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 ContentType="application/vnd.visi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visteon-my.sharepoint.com/personal/ssingh29_visteon_com/Documents/TATA_SKYLARK/Testing/Mezz_Board/"/>
    </mc:Choice>
  </mc:AlternateContent>
  <xr:revisionPtr revIDLastSave="52" documentId="11_0BFE7B5C55CC50F7AAB672059C0023E47BEDA0A7" xr6:coauthVersionLast="47" xr6:coauthVersionMax="47" xr10:uidLastSave="{BC52AD99-AD75-44C7-B396-B97C6014DC78}"/>
  <workbookProtection workbookPassword="E1A4" lockStructure="1"/>
  <bookViews>
    <workbookView xWindow="-108" yWindow="-108" windowWidth="23256" windowHeight="12576" xr2:uid="{00000000-000D-0000-FFFF-FFFF00000000}"/>
  </bookViews>
  <sheets>
    <sheet name="LM5150 Quck Start" sheetId="10" r:id="rId1"/>
    <sheet name="Raw data" sheetId="11" state="hidden" r:id="rId2"/>
  </sheets>
  <definedNames>
    <definedName name="Afb">'Raw data'!$I$70</definedName>
    <definedName name="Am">'Raw data'!$E$70</definedName>
    <definedName name="Ccomp">'LM5150 Quck Start'!$I$100</definedName>
    <definedName name="Ccomp_odamp">'LM5150 Quck Start'!$I$96</definedName>
    <definedName name="Ccs">'LM5150 Quck Start'!$I$58</definedName>
    <definedName name="Chf">'LM5150 Quck Start'!$I$107</definedName>
    <definedName name="Cout">'LM5150 Quck Start'!$I$92</definedName>
    <definedName name="Cout1">'LM5150 Quck Start'!$I$90</definedName>
    <definedName name="Cout2">'LM5150 Quck Start'!$I$91</definedName>
    <definedName name="Dmax_ideal">'LM5150 Quck Start'!$I$18</definedName>
    <definedName name="Dmax_prac">'LM5150 Quck Start'!$I$69</definedName>
    <definedName name="Dmaxlim_prac">'LM5150 Quck Start'!$I$68</definedName>
    <definedName name="Dmaxlimit">'Raw data'!$D$8</definedName>
    <definedName name="Dmaxmargin">'Raw data'!$D$9</definedName>
    <definedName name="Dtyp">'LM5150 Quck Start'!#REF!</definedName>
    <definedName name="Eff">'LM5150 Quck Start'!$I$15</definedName>
    <definedName name="ESR">'LM5150 Quck Start'!$I$105</definedName>
    <definedName name="Fcross">'LM5150 Quck Start'!$I$86</definedName>
    <definedName name="Fdp">'Raw data'!$E$77</definedName>
    <definedName name="Fesrp">'Raw data'!$E$73</definedName>
    <definedName name="Flp">'LM5150 Quck Start'!$I$88</definedName>
    <definedName name="Fpea">'LM5150 Quck Start'!$I$108</definedName>
    <definedName name="Frhp">'LM5150 Quck Start'!$I$85</definedName>
    <definedName name="Fsp">'Raw data'!$E$76</definedName>
    <definedName name="Fsw">'LM5150 Quck Start'!$I$13</definedName>
    <definedName name="Fsync">'LM5150 Quck Start'!$I$14</definedName>
    <definedName name="Fzea">'LM5150 Quck Start'!$I$103</definedName>
    <definedName name="Fzeat">'LM5150 Quck Start'!$I$98</definedName>
    <definedName name="Fzesr">'LM5150 Quck Start'!$I$106</definedName>
    <definedName name="Iinmax">'LM5150 Quck Start'!$I$63</definedName>
    <definedName name="Iload">'LM5150 Quck Start'!$I$11</definedName>
    <definedName name="Ipp">'LM5150 Quck Start'!$I$45</definedName>
    <definedName name="Ivcc">'LM5150 Quck Start'!$J$33</definedName>
    <definedName name="K1factor">'LM5150 Quck Start'!$I$87</definedName>
    <definedName name="K2_factor">'LM5150 Quck Start'!$I$97</definedName>
    <definedName name="Kfactor">'Raw data'!$E$75</definedName>
    <definedName name="Lm">'LM5150 Quck Start'!$I$43</definedName>
    <definedName name="Lm_min">'LM5150 Quck Start'!$I$42</definedName>
    <definedName name="Lm_recommened">'LM5150 Quck Start'!$I$41</definedName>
    <definedName name="Mcl">'LM5150 Quck Start'!$G$51</definedName>
    <definedName name="MODE">'Raw data'!$D$6</definedName>
    <definedName name="pi">'Raw data'!$E$68</definedName>
    <definedName name="Pout">'LM5150 Quck Start'!$I$16</definedName>
    <definedName name="_xlnm.Print_Area" localSheetId="0">'LM5150 Quck Start'!$A$1:$P$114</definedName>
    <definedName name="Qg">'LM5150 Quck Start'!$I$33</definedName>
    <definedName name="Qrr">'LM5150 Quck Start'!$I$28</definedName>
    <definedName name="Rcomp">'LM5150 Quck Start'!$I$102</definedName>
    <definedName name="Rcs">'LM5150 Quck Start'!$I$57</definedName>
    <definedName name="Rdcr">'LM5150 Quck Start'!$I$44</definedName>
    <definedName name="Rdson">'LM5150 Quck Start'!$I$34</definedName>
    <definedName name="Rload">'LM5150 Quck Start'!$I$17</definedName>
    <definedName name="RR">'LM5150 Quck Start'!$I$40</definedName>
    <definedName name="Rs">'LM5150 Quck Start'!$I$53</definedName>
    <definedName name="Rs_recommended">'LM5150 Quck Start'!$I$52</definedName>
    <definedName name="Rset">'LM5150 Quck Start'!$I$21</definedName>
    <definedName name="Rsl">'LM5150 Quck Start'!$I$48</definedName>
    <definedName name="RT">'LM5150 Quck Start'!$I$24</definedName>
    <definedName name="RT_selected">'LM5150 Quck Start'!$G$24</definedName>
    <definedName name="Tf">'LM5150 Quck Start'!$I$36</definedName>
    <definedName name="Tr">'LM5150 Quck Start'!$I$35</definedName>
    <definedName name="Vds">'LM5150 Quck Start'!$I$37</definedName>
    <definedName name="Vf">'LM5150 Quck Start'!$I$27</definedName>
    <definedName name="Vouttarget">'Raw data'!$D$4</definedName>
    <definedName name="Vr">'LM5150 Quck Start'!$I$29</definedName>
    <definedName name="Vsupplymax">'LM5150 Quck Start'!$I$9</definedName>
    <definedName name="Vsupplymin">'LM5150 Quck Start'!$I$7</definedName>
    <definedName name="Vsupplytyp">'LM5150 Quck Start'!$I$8</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0" l="1"/>
  <c r="G105" i="10" l="1"/>
  <c r="D6" i="11" l="1"/>
  <c r="I12" i="10" s="1"/>
  <c r="D4" i="11"/>
  <c r="C100" i="11"/>
  <c r="C109" i="1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C217" i="11" s="1"/>
  <c r="C218" i="11" s="1"/>
  <c r="C219" i="11" s="1"/>
  <c r="C220" i="11" s="1"/>
  <c r="C221" i="11" s="1"/>
  <c r="C222" i="11" s="1"/>
  <c r="C223" i="11" s="1"/>
  <c r="C224" i="11" s="1"/>
  <c r="C225" i="11" s="1"/>
  <c r="C226" i="11" s="1"/>
  <c r="C227" i="11" s="1"/>
  <c r="C228" i="11" s="1"/>
  <c r="C229" i="11" s="1"/>
  <c r="C230" i="11" s="1"/>
  <c r="C231" i="11" s="1"/>
  <c r="C232" i="11" s="1"/>
  <c r="C233" i="11" s="1"/>
  <c r="C234" i="11" s="1"/>
  <c r="C235" i="11" s="1"/>
  <c r="C236" i="11" s="1"/>
  <c r="C237" i="11" s="1"/>
  <c r="C238" i="11" s="1"/>
  <c r="C239" i="11" s="1"/>
  <c r="C240" i="11" s="1"/>
  <c r="C241" i="11" s="1"/>
  <c r="C242" i="11" s="1"/>
  <c r="C243" i="11" s="1"/>
  <c r="C244" i="11" s="1"/>
  <c r="C245" i="11" s="1"/>
  <c r="C246" i="11" s="1"/>
  <c r="C247" i="11" s="1"/>
  <c r="C248" i="11" s="1"/>
  <c r="C249" i="11" s="1"/>
  <c r="C250" i="11" s="1"/>
  <c r="C251" i="11" s="1"/>
  <c r="C252" i="11" s="1"/>
  <c r="C253" i="11" s="1"/>
  <c r="C254" i="11" s="1"/>
  <c r="C255" i="11" s="1"/>
  <c r="C256" i="11" s="1"/>
  <c r="C257" i="11" s="1"/>
  <c r="C258" i="11" s="1"/>
  <c r="C259" i="11" s="1"/>
  <c r="C260" i="11" s="1"/>
  <c r="C261" i="11" s="1"/>
  <c r="C262" i="11" s="1"/>
  <c r="C263" i="11" s="1"/>
  <c r="C264" i="11" s="1"/>
  <c r="C265" i="11" s="1"/>
  <c r="C266" i="11" s="1"/>
  <c r="C267" i="11" s="1"/>
  <c r="C268" i="11" s="1"/>
  <c r="C269" i="11" s="1"/>
  <c r="C270" i="11" s="1"/>
  <c r="C271" i="11" s="1"/>
  <c r="C272" i="11" s="1"/>
  <c r="C273" i="11" s="1"/>
  <c r="C274" i="11" s="1"/>
  <c r="C275" i="11" s="1"/>
  <c r="C276" i="11" s="1"/>
  <c r="C277" i="11" s="1"/>
  <c r="C278" i="11" s="1"/>
  <c r="C279" i="11" s="1"/>
  <c r="C280" i="11" s="1"/>
  <c r="C281" i="11" s="1"/>
  <c r="C282" i="11" s="1"/>
  <c r="C283" i="11" s="1"/>
  <c r="C284" i="11" s="1"/>
  <c r="C285" i="11" s="1"/>
  <c r="C286" i="11" s="1"/>
  <c r="C287" i="11" s="1"/>
  <c r="C288" i="11" s="1"/>
  <c r="C289" i="11" s="1"/>
  <c r="C290" i="11" s="1"/>
  <c r="C291" i="11" s="1"/>
  <c r="C292" i="11" s="1"/>
  <c r="C293" i="11" s="1"/>
  <c r="C294" i="11" s="1"/>
  <c r="C295" i="11" s="1"/>
  <c r="C296" i="11" s="1"/>
  <c r="C297" i="11" s="1"/>
  <c r="C298" i="11" s="1"/>
  <c r="C299" i="11" s="1"/>
  <c r="C300" i="11" s="1"/>
  <c r="C301" i="11" s="1"/>
  <c r="C302" i="11" s="1"/>
  <c r="C303" i="11" s="1"/>
  <c r="C304" i="11" s="1"/>
  <c r="C305" i="11" s="1"/>
  <c r="C306" i="11" s="1"/>
  <c r="C307" i="11" s="1"/>
  <c r="C308" i="11" s="1"/>
  <c r="C309" i="11" s="1"/>
  <c r="C310" i="11" s="1"/>
  <c r="C311" i="11" s="1"/>
  <c r="C312" i="11" s="1"/>
  <c r="C313" i="11" s="1"/>
  <c r="C314" i="11" s="1"/>
  <c r="C315" i="11" s="1"/>
  <c r="C316" i="11" s="1"/>
  <c r="C317" i="11" s="1"/>
  <c r="C318" i="11" s="1"/>
  <c r="C319" i="11" s="1"/>
  <c r="C320" i="11" s="1"/>
  <c r="C321" i="11" s="1"/>
  <c r="C322" i="11" s="1"/>
  <c r="C323" i="11" s="1"/>
  <c r="C324" i="11" s="1"/>
  <c r="C325" i="11" s="1"/>
  <c r="C326" i="11" s="1"/>
  <c r="C327" i="11" s="1"/>
  <c r="C328" i="11" s="1"/>
  <c r="C329" i="11" s="1"/>
  <c r="C330" i="11" s="1"/>
  <c r="C331" i="11" s="1"/>
  <c r="C332" i="11" s="1"/>
  <c r="C333" i="11" s="1"/>
  <c r="C334" i="11" s="1"/>
  <c r="C335" i="11" s="1"/>
  <c r="C336" i="11" s="1"/>
  <c r="C337" i="11" s="1"/>
  <c r="C338" i="11" s="1"/>
  <c r="C339" i="11" s="1"/>
  <c r="C340" i="11" s="1"/>
  <c r="C341" i="11" s="1"/>
  <c r="C342" i="11" s="1"/>
  <c r="C343" i="11" s="1"/>
  <c r="C344" i="11" s="1"/>
  <c r="C345" i="11" s="1"/>
  <c r="C346" i="11" s="1"/>
  <c r="C347" i="11" s="1"/>
  <c r="C348" i="11" s="1"/>
  <c r="C349" i="11" s="1"/>
  <c r="C350" i="11" s="1"/>
  <c r="C351" i="11" s="1"/>
  <c r="C352" i="11" s="1"/>
  <c r="C353" i="11" s="1"/>
  <c r="C354" i="11" s="1"/>
  <c r="C355" i="11" s="1"/>
  <c r="C356" i="11" s="1"/>
  <c r="C357" i="11" s="1"/>
  <c r="C358" i="11" s="1"/>
  <c r="C359" i="11" s="1"/>
  <c r="C360" i="11" s="1"/>
  <c r="C361" i="11" s="1"/>
  <c r="C362" i="11" s="1"/>
  <c r="C363" i="11" s="1"/>
  <c r="C364" i="11" s="1"/>
  <c r="C365" i="11" s="1"/>
  <c r="C366" i="11" s="1"/>
  <c r="C367" i="11" s="1"/>
  <c r="C368" i="11" s="1"/>
  <c r="C369" i="11" s="1"/>
  <c r="C370" i="11" s="1"/>
  <c r="C371" i="11" s="1"/>
  <c r="C372" i="11" s="1"/>
  <c r="C373" i="11" s="1"/>
  <c r="C374" i="11" s="1"/>
  <c r="C375" i="11" s="1"/>
  <c r="C376" i="11" s="1"/>
  <c r="C377" i="11" s="1"/>
  <c r="C378" i="11" s="1"/>
  <c r="C379" i="11" s="1"/>
  <c r="C380" i="11" s="1"/>
  <c r="C381" i="11" s="1"/>
  <c r="C382" i="11" s="1"/>
  <c r="C383" i="11" s="1"/>
  <c r="C384" i="11" s="1"/>
  <c r="C385" i="11" s="1"/>
  <c r="C386" i="11" s="1"/>
  <c r="C387" i="11" s="1"/>
  <c r="C388" i="11" s="1"/>
  <c r="C389" i="11" s="1"/>
  <c r="C390" i="11" s="1"/>
  <c r="C391" i="11" s="1"/>
  <c r="C392" i="11" s="1"/>
  <c r="C393" i="11" s="1"/>
  <c r="C394" i="11" s="1"/>
  <c r="C395" i="11" s="1"/>
  <c r="C396" i="11" s="1"/>
  <c r="C397" i="11" s="1"/>
  <c r="C398" i="11" s="1"/>
  <c r="C399" i="11" s="1"/>
  <c r="C400" i="11" s="1"/>
  <c r="C401" i="11" s="1"/>
  <c r="C402" i="11" s="1"/>
  <c r="C403" i="11" s="1"/>
  <c r="C404" i="11" s="1"/>
  <c r="C405" i="11" s="1"/>
  <c r="C406" i="11" s="1"/>
  <c r="C407" i="11" s="1"/>
  <c r="C408" i="11" s="1"/>
  <c r="C409" i="11" s="1"/>
  <c r="C410" i="11" s="1"/>
  <c r="C411" i="11" s="1"/>
  <c r="C412" i="11" s="1"/>
  <c r="C413" i="11" s="1"/>
  <c r="C414" i="11" s="1"/>
  <c r="C415" i="11" s="1"/>
  <c r="C416" i="11" s="1"/>
  <c r="C417" i="11" s="1"/>
  <c r="C418" i="11" s="1"/>
  <c r="C419" i="11" s="1"/>
  <c r="C420" i="11" s="1"/>
  <c r="C421" i="11" s="1"/>
  <c r="C422" i="11" s="1"/>
  <c r="C423" i="11" s="1"/>
  <c r="C424" i="11" s="1"/>
  <c r="C425" i="11" s="1"/>
  <c r="C426" i="11" s="1"/>
  <c r="C427" i="11" s="1"/>
  <c r="C428" i="11" s="1"/>
  <c r="C429" i="11" s="1"/>
  <c r="C430" i="11" s="1"/>
  <c r="C431" i="11" s="1"/>
  <c r="C432" i="11" s="1"/>
  <c r="C433" i="11" s="1"/>
  <c r="C434" i="11" s="1"/>
  <c r="C435" i="11" s="1"/>
  <c r="C436" i="11" s="1"/>
  <c r="C437" i="11" s="1"/>
  <c r="C438" i="11" s="1"/>
  <c r="C439" i="11" s="1"/>
  <c r="C440" i="11" s="1"/>
  <c r="C441" i="11" s="1"/>
  <c r="C442" i="11" s="1"/>
  <c r="C443" i="11" s="1"/>
  <c r="C444" i="11" s="1"/>
  <c r="C445" i="11" s="1"/>
  <c r="C446" i="11" s="1"/>
  <c r="C447" i="11" s="1"/>
  <c r="C448" i="11" s="1"/>
  <c r="C449" i="11" s="1"/>
  <c r="C450" i="11" s="1"/>
  <c r="C451" i="11" s="1"/>
  <c r="C452" i="11" s="1"/>
  <c r="C453" i="11" s="1"/>
  <c r="C454" i="11" s="1"/>
  <c r="C455" i="11" s="1"/>
  <c r="C456" i="11" s="1"/>
  <c r="C457" i="11" s="1"/>
  <c r="C458" i="11" s="1"/>
  <c r="C459" i="11" s="1"/>
  <c r="C460" i="11" s="1"/>
  <c r="C461" i="11" s="1"/>
  <c r="C462" i="11" s="1"/>
  <c r="C463" i="11" s="1"/>
  <c r="C464" i="11" s="1"/>
  <c r="C465" i="11" s="1"/>
  <c r="C466" i="11" s="1"/>
  <c r="C467" i="11" s="1"/>
  <c r="C468" i="11" s="1"/>
  <c r="C469" i="11" s="1"/>
  <c r="C470" i="11" s="1"/>
  <c r="C471" i="11" s="1"/>
  <c r="C472" i="11" s="1"/>
  <c r="C473" i="11" s="1"/>
  <c r="C474" i="11" s="1"/>
  <c r="C475" i="11" s="1"/>
  <c r="C476" i="11" s="1"/>
  <c r="C477" i="11" s="1"/>
  <c r="C478" i="11" s="1"/>
  <c r="C479" i="11" s="1"/>
  <c r="C480" i="11" s="1"/>
  <c r="C481" i="11" s="1"/>
  <c r="C482" i="11" s="1"/>
  <c r="C483" i="11" s="1"/>
  <c r="C484" i="11" s="1"/>
  <c r="C485" i="11" s="1"/>
  <c r="C486" i="11" s="1"/>
  <c r="C487" i="11" s="1"/>
  <c r="C488" i="11" s="1"/>
  <c r="C489" i="11" s="1"/>
  <c r="C490" i="11" s="1"/>
  <c r="C491" i="11" s="1"/>
  <c r="C492" i="11" s="1"/>
  <c r="C493" i="11" s="1"/>
  <c r="C494" i="11" s="1"/>
  <c r="C495" i="11" s="1"/>
  <c r="C496" i="11" s="1"/>
  <c r="C497" i="11" s="1"/>
  <c r="C498" i="11" s="1"/>
  <c r="C499" i="11" s="1"/>
  <c r="C500" i="11" s="1"/>
  <c r="C501" i="11" s="1"/>
  <c r="C502" i="11" s="1"/>
  <c r="C503" i="11" s="1"/>
  <c r="C504" i="11" s="1"/>
  <c r="C505" i="11" s="1"/>
  <c r="C506" i="11" s="1"/>
  <c r="C507" i="11" s="1"/>
  <c r="C508" i="11" s="1"/>
  <c r="C509" i="11" s="1"/>
  <c r="C510" i="11" s="1"/>
  <c r="C511" i="11" s="1"/>
  <c r="C512" i="11" s="1"/>
  <c r="C513" i="11" s="1"/>
  <c r="C514" i="11" s="1"/>
  <c r="C515" i="11" s="1"/>
  <c r="C516" i="11" s="1"/>
  <c r="C517" i="11" s="1"/>
  <c r="C518" i="11" s="1"/>
  <c r="C519" i="11" s="1"/>
  <c r="C520" i="11" s="1"/>
  <c r="C521" i="11" s="1"/>
  <c r="C522" i="11" s="1"/>
  <c r="C523" i="11" s="1"/>
  <c r="C524" i="11" s="1"/>
  <c r="C525" i="11" s="1"/>
  <c r="C526" i="11" s="1"/>
  <c r="C527" i="11" s="1"/>
  <c r="C528" i="11" s="1"/>
  <c r="C529" i="11" s="1"/>
  <c r="C530" i="11" s="1"/>
  <c r="C531" i="11" s="1"/>
  <c r="C532" i="11" s="1"/>
  <c r="C533" i="11" s="1"/>
  <c r="C534" i="11" s="1"/>
  <c r="C535" i="11" s="1"/>
  <c r="C536" i="11" s="1"/>
  <c r="C537" i="11" s="1"/>
  <c r="C538" i="11" s="1"/>
  <c r="C539" i="11" s="1"/>
  <c r="C540" i="11" s="1"/>
  <c r="C541" i="11" s="1"/>
  <c r="C542" i="11" s="1"/>
  <c r="C543" i="11" s="1"/>
  <c r="C544" i="11" s="1"/>
  <c r="C545" i="11" s="1"/>
  <c r="C546" i="11" s="1"/>
  <c r="C547" i="11" s="1"/>
  <c r="C548" i="11" s="1"/>
  <c r="C549" i="11" s="1"/>
  <c r="C550" i="11" s="1"/>
  <c r="C551" i="11" s="1"/>
  <c r="C552" i="11" s="1"/>
  <c r="C553" i="11" s="1"/>
  <c r="C554" i="11" s="1"/>
  <c r="C555" i="11" s="1"/>
  <c r="C556" i="11" s="1"/>
  <c r="C557" i="11" s="1"/>
  <c r="C558" i="11" s="1"/>
  <c r="C559" i="11" s="1"/>
  <c r="C560" i="11" s="1"/>
  <c r="C561" i="11" s="1"/>
  <c r="C562" i="11" s="1"/>
  <c r="C563" i="11" s="1"/>
  <c r="C564" i="11" s="1"/>
  <c r="C565" i="11" s="1"/>
  <c r="C566" i="11" s="1"/>
  <c r="C567" i="11" s="1"/>
  <c r="C568" i="11" s="1"/>
  <c r="C569" i="11" s="1"/>
  <c r="C570" i="11" s="1"/>
  <c r="C571" i="11" s="1"/>
  <c r="C572" i="11" s="1"/>
  <c r="C573" i="11" s="1"/>
  <c r="C574" i="11" s="1"/>
  <c r="C575" i="11" s="1"/>
  <c r="C576" i="11" s="1"/>
  <c r="C577" i="11" s="1"/>
  <c r="C578" i="11" s="1"/>
  <c r="C579" i="11" s="1"/>
  <c r="C580" i="11" s="1"/>
  <c r="C581" i="11" s="1"/>
  <c r="C582" i="11" s="1"/>
  <c r="C583" i="11" s="1"/>
  <c r="C584" i="11" s="1"/>
  <c r="C585" i="11" s="1"/>
  <c r="C586" i="11" s="1"/>
  <c r="C587" i="11" s="1"/>
  <c r="C588" i="11" s="1"/>
  <c r="C589" i="11" s="1"/>
  <c r="C590" i="11" s="1"/>
  <c r="C591" i="11" s="1"/>
  <c r="C592" i="11" s="1"/>
  <c r="C593" i="11" s="1"/>
  <c r="C594" i="11" s="1"/>
  <c r="C595" i="11" s="1"/>
  <c r="C596" i="11" s="1"/>
  <c r="C597" i="11" s="1"/>
  <c r="C598" i="11" s="1"/>
  <c r="C599" i="11" s="1"/>
  <c r="C600" i="11" s="1"/>
  <c r="C601" i="11" s="1"/>
  <c r="C602" i="11" s="1"/>
  <c r="C603" i="11" s="1"/>
  <c r="C604" i="11" s="1"/>
  <c r="C605" i="11" s="1"/>
  <c r="C606" i="11" s="1"/>
  <c r="C607" i="11" s="1"/>
  <c r="C608" i="11" s="1"/>
  <c r="C609" i="11" s="1"/>
  <c r="C610" i="11" s="1"/>
  <c r="C611" i="11" s="1"/>
  <c r="C612" i="11" s="1"/>
  <c r="C613" i="11" s="1"/>
  <c r="C614" i="11" s="1"/>
  <c r="C615" i="11" s="1"/>
  <c r="C616" i="11" s="1"/>
  <c r="C617" i="11" s="1"/>
  <c r="C618" i="11" s="1"/>
  <c r="C619" i="11" s="1"/>
  <c r="C620" i="11" s="1"/>
  <c r="C621" i="11" s="1"/>
  <c r="C622" i="11" s="1"/>
  <c r="C623" i="11" s="1"/>
  <c r="C624" i="11" s="1"/>
  <c r="C625" i="11" s="1"/>
  <c r="C626" i="11" s="1"/>
  <c r="C627" i="11" s="1"/>
  <c r="C628" i="11" s="1"/>
  <c r="C629" i="11" s="1"/>
  <c r="C630" i="11" s="1"/>
  <c r="C631" i="11" s="1"/>
  <c r="C632" i="11" s="1"/>
  <c r="C633" i="11" s="1"/>
  <c r="C634" i="11" s="1"/>
  <c r="C635" i="11" s="1"/>
  <c r="C636" i="11" s="1"/>
  <c r="C637" i="11" s="1"/>
  <c r="C638" i="11" s="1"/>
  <c r="C639" i="11" s="1"/>
  <c r="C640" i="11" s="1"/>
  <c r="C641" i="11" s="1"/>
  <c r="C642" i="11" s="1"/>
  <c r="C643" i="11" s="1"/>
  <c r="C644" i="11" s="1"/>
  <c r="C645" i="11" s="1"/>
  <c r="C646" i="11" s="1"/>
  <c r="C647" i="11" s="1"/>
  <c r="C648" i="11" s="1"/>
  <c r="C649" i="11" s="1"/>
  <c r="C650" i="11" s="1"/>
  <c r="C651" i="11" s="1"/>
  <c r="C652" i="11" s="1"/>
  <c r="C653" i="11" s="1"/>
  <c r="C654" i="11" s="1"/>
  <c r="C655" i="11" s="1"/>
  <c r="C656" i="11" s="1"/>
  <c r="C657" i="11" s="1"/>
  <c r="C658" i="11" s="1"/>
  <c r="C659" i="11" s="1"/>
  <c r="C660" i="11" s="1"/>
  <c r="C661" i="11" s="1"/>
  <c r="C662" i="11" s="1"/>
  <c r="C663" i="11" s="1"/>
  <c r="C664" i="11" s="1"/>
  <c r="C665" i="11" s="1"/>
  <c r="C666" i="11" s="1"/>
  <c r="C667" i="11" s="1"/>
  <c r="C668" i="11" s="1"/>
  <c r="C669" i="11" s="1"/>
  <c r="C670" i="11" s="1"/>
  <c r="C671" i="11" s="1"/>
  <c r="C672" i="11" s="1"/>
  <c r="C673" i="11" s="1"/>
  <c r="C674" i="11" s="1"/>
  <c r="C675" i="11" s="1"/>
  <c r="C676" i="11" s="1"/>
  <c r="C677" i="11" s="1"/>
  <c r="C678" i="11" s="1"/>
  <c r="C679" i="11" s="1"/>
  <c r="C680" i="11" s="1"/>
  <c r="C681" i="11" s="1"/>
  <c r="C682" i="11" s="1"/>
  <c r="C683" i="11" s="1"/>
  <c r="C684" i="11" s="1"/>
  <c r="C685" i="11" s="1"/>
  <c r="C686" i="11" s="1"/>
  <c r="C687" i="11" s="1"/>
  <c r="C688" i="11" s="1"/>
  <c r="C689" i="11" s="1"/>
  <c r="C690" i="11" s="1"/>
  <c r="C691" i="11" s="1"/>
  <c r="C692" i="11" s="1"/>
  <c r="C693" i="11" s="1"/>
  <c r="C694" i="11" s="1"/>
  <c r="C695" i="11" s="1"/>
  <c r="C696" i="11" s="1"/>
  <c r="C697" i="11" s="1"/>
  <c r="C698" i="11" s="1"/>
  <c r="C699" i="11" s="1"/>
  <c r="C700" i="11" s="1"/>
  <c r="C701" i="11" s="1"/>
  <c r="C702" i="11" s="1"/>
  <c r="C703" i="11" s="1"/>
  <c r="C704" i="11" s="1"/>
  <c r="C705" i="11" s="1"/>
  <c r="C706" i="11" s="1"/>
  <c r="C707" i="11" s="1"/>
  <c r="C708" i="11" s="1"/>
  <c r="C709" i="11" s="1"/>
  <c r="C710" i="11" s="1"/>
  <c r="C711" i="11" s="1"/>
  <c r="C712" i="11" s="1"/>
  <c r="C713" i="11" s="1"/>
  <c r="C714" i="11" s="1"/>
  <c r="C715" i="11" s="1"/>
  <c r="C716" i="11" s="1"/>
  <c r="C717" i="11" s="1"/>
  <c r="C718" i="11" s="1"/>
  <c r="C719" i="11" s="1"/>
  <c r="C720" i="11" s="1"/>
  <c r="C721" i="11" s="1"/>
  <c r="C722" i="11" s="1"/>
  <c r="C723" i="11" s="1"/>
  <c r="C724" i="11" s="1"/>
  <c r="C725" i="11" s="1"/>
  <c r="C726" i="11" s="1"/>
  <c r="C727" i="11" s="1"/>
  <c r="C728" i="11" s="1"/>
  <c r="C729" i="11" s="1"/>
  <c r="C730" i="11" s="1"/>
  <c r="C731" i="11" s="1"/>
  <c r="C732" i="11" s="1"/>
  <c r="C733" i="11" s="1"/>
  <c r="C734" i="11" s="1"/>
  <c r="C735" i="11" s="1"/>
  <c r="C736" i="11" s="1"/>
  <c r="C737" i="11" s="1"/>
  <c r="C738" i="11" s="1"/>
  <c r="C739" i="11" s="1"/>
  <c r="C740" i="11" s="1"/>
  <c r="C741" i="11" s="1"/>
  <c r="C742" i="11" s="1"/>
  <c r="C743" i="11" s="1"/>
  <c r="C744" i="11" s="1"/>
  <c r="C745" i="11" s="1"/>
  <c r="C746" i="11" s="1"/>
  <c r="C747" i="11" s="1"/>
  <c r="C748" i="11" s="1"/>
  <c r="C749" i="11" s="1"/>
  <c r="I90" i="10"/>
  <c r="I91" i="10"/>
  <c r="I105" i="10"/>
  <c r="I11" i="10"/>
  <c r="C48" i="11" s="1"/>
  <c r="I43" i="10"/>
  <c r="I7" i="10"/>
  <c r="I14" i="10"/>
  <c r="I87" i="10"/>
  <c r="I53" i="10"/>
  <c r="I102" i="10"/>
  <c r="I100" i="10"/>
  <c r="C99" i="11"/>
  <c r="C108" i="11" s="1"/>
  <c r="C98" i="11"/>
  <c r="C107" i="11" s="1"/>
  <c r="C97" i="11"/>
  <c r="C106" i="11"/>
  <c r="C96" i="11"/>
  <c r="C105" i="11"/>
  <c r="C95" i="11"/>
  <c r="C104" i="11"/>
  <c r="C94" i="11"/>
  <c r="C103" i="11"/>
  <c r="C93" i="11"/>
  <c r="C102" i="11" s="1"/>
  <c r="C92" i="11"/>
  <c r="C101" i="11"/>
  <c r="I44" i="10"/>
  <c r="I8" i="10"/>
  <c r="I28" i="10"/>
  <c r="I35" i="10"/>
  <c r="I36" i="10"/>
  <c r="I34" i="10"/>
  <c r="I33" i="10"/>
  <c r="D9" i="11"/>
  <c r="I13" i="10"/>
  <c r="I9" i="10"/>
  <c r="I27" i="10"/>
  <c r="I97" i="10"/>
  <c r="I76" i="10"/>
  <c r="I58" i="10"/>
  <c r="I57" i="10"/>
  <c r="I48" i="10"/>
  <c r="I15" i="10"/>
  <c r="C52" i="11" l="1"/>
  <c r="C51" i="11"/>
  <c r="J33" i="10"/>
  <c r="I24" i="10"/>
  <c r="J24" i="10" s="1"/>
  <c r="G24" i="10" s="1"/>
  <c r="C19" i="11"/>
  <c r="J19" i="11" s="1"/>
  <c r="C43" i="11"/>
  <c r="N43" i="11" s="1"/>
  <c r="I67" i="10"/>
  <c r="G67" i="10" s="1"/>
  <c r="I68" i="10"/>
  <c r="G68" i="10" s="1"/>
  <c r="I59" i="10"/>
  <c r="G59" i="10" s="1"/>
  <c r="C22" i="11"/>
  <c r="G22" i="11" s="1"/>
  <c r="C16" i="11"/>
  <c r="H16" i="11" s="1"/>
  <c r="C47" i="11"/>
  <c r="H47" i="11" s="1"/>
  <c r="I10" i="10"/>
  <c r="I62" i="10"/>
  <c r="G62" i="10" s="1"/>
  <c r="I103" i="10"/>
  <c r="I71" i="11" s="1"/>
  <c r="E73" i="11"/>
  <c r="I92" i="10"/>
  <c r="G92" i="10" s="1"/>
  <c r="E18" i="11"/>
  <c r="I18" i="10"/>
  <c r="I65" i="10" s="1"/>
  <c r="E77" i="11"/>
  <c r="I30" i="10"/>
  <c r="G30" i="10" s="1"/>
  <c r="C20" i="11"/>
  <c r="F20" i="11" s="1"/>
  <c r="C24" i="11"/>
  <c r="H24" i="11" s="1"/>
  <c r="C45" i="11"/>
  <c r="F45" i="11" s="1"/>
  <c r="C49" i="11"/>
  <c r="G49" i="11" s="1"/>
  <c r="H51" i="11"/>
  <c r="C18" i="11"/>
  <c r="L18" i="11" s="1"/>
  <c r="L30" i="11" s="1"/>
  <c r="C21" i="11"/>
  <c r="N21" i="11" s="1"/>
  <c r="C25" i="11"/>
  <c r="L25" i="11" s="1"/>
  <c r="L37" i="11" s="1"/>
  <c r="C46" i="11"/>
  <c r="J46" i="11" s="1"/>
  <c r="K46" i="11" s="1"/>
  <c r="K58" i="11" s="1"/>
  <c r="C50" i="11"/>
  <c r="F50" i="11" s="1"/>
  <c r="J52" i="11"/>
  <c r="K52" i="11" s="1"/>
  <c r="C17" i="11"/>
  <c r="J17" i="11" s="1"/>
  <c r="K17" i="11" s="1"/>
  <c r="C23" i="11"/>
  <c r="N23" i="11" s="1"/>
  <c r="C44" i="11"/>
  <c r="J44" i="11" s="1"/>
  <c r="K44" i="11" s="1"/>
  <c r="E17" i="11"/>
  <c r="D21" i="11"/>
  <c r="E23" i="11"/>
  <c r="E43" i="11"/>
  <c r="E19" i="11"/>
  <c r="I42" i="10"/>
  <c r="G42" i="10" s="1"/>
  <c r="I17" i="11"/>
  <c r="I18" i="11"/>
  <c r="I19" i="11"/>
  <c r="I22" i="11"/>
  <c r="D24" i="11"/>
  <c r="E22" i="11"/>
  <c r="I23" i="11"/>
  <c r="I43" i="11"/>
  <c r="G48" i="11"/>
  <c r="I49" i="11"/>
  <c r="I29" i="10"/>
  <c r="G29" i="10" s="1"/>
  <c r="D20" i="11"/>
  <c r="I25" i="11"/>
  <c r="N51" i="11"/>
  <c r="I44" i="11"/>
  <c r="J48" i="11"/>
  <c r="K48" i="11" s="1"/>
  <c r="D51" i="11"/>
  <c r="G52" i="11"/>
  <c r="L52" i="11"/>
  <c r="L64" i="11" s="1"/>
  <c r="D16" i="11"/>
  <c r="E25" i="11"/>
  <c r="E44" i="11"/>
  <c r="D45" i="11"/>
  <c r="D46" i="11"/>
  <c r="E49" i="11"/>
  <c r="E47" i="11"/>
  <c r="E48" i="11"/>
  <c r="I48" i="11"/>
  <c r="L48" i="11"/>
  <c r="L60" i="11" s="1"/>
  <c r="D50" i="11"/>
  <c r="F51" i="11"/>
  <c r="J51" i="11"/>
  <c r="K51" i="11" s="1"/>
  <c r="D52" i="11"/>
  <c r="F52" i="11"/>
  <c r="I16" i="10"/>
  <c r="I47" i="10"/>
  <c r="G47" i="10" s="1"/>
  <c r="D17" i="11"/>
  <c r="D19" i="11"/>
  <c r="E20" i="11"/>
  <c r="I20" i="11"/>
  <c r="D23" i="11"/>
  <c r="D25" i="11"/>
  <c r="D43" i="11"/>
  <c r="E45" i="11"/>
  <c r="I45" i="11"/>
  <c r="D47" i="11"/>
  <c r="I47" i="11"/>
  <c r="D48" i="11"/>
  <c r="H48" i="11"/>
  <c r="E51" i="11"/>
  <c r="I51" i="11"/>
  <c r="L51" i="11"/>
  <c r="L63" i="11" s="1"/>
  <c r="H52" i="11"/>
  <c r="I17" i="10"/>
  <c r="I37" i="10"/>
  <c r="G37" i="10" s="1"/>
  <c r="I70" i="10"/>
  <c r="G70" i="10" s="1"/>
  <c r="E16" i="11"/>
  <c r="I16" i="11"/>
  <c r="D18" i="11"/>
  <c r="F19" i="11"/>
  <c r="E21" i="11"/>
  <c r="I21" i="11"/>
  <c r="D22" i="11"/>
  <c r="E24" i="11"/>
  <c r="I24" i="11"/>
  <c r="N48" i="11"/>
  <c r="N52" i="11"/>
  <c r="D44" i="11"/>
  <c r="E46" i="11"/>
  <c r="I46" i="11"/>
  <c r="F48" i="11"/>
  <c r="D49" i="11"/>
  <c r="E50" i="11"/>
  <c r="I50" i="11"/>
  <c r="G51" i="11"/>
  <c r="E52" i="11"/>
  <c r="I52" i="11"/>
  <c r="I21" i="10"/>
  <c r="G21" i="10" s="1"/>
  <c r="F16" i="11" l="1"/>
  <c r="N25" i="11"/>
  <c r="I106" i="10"/>
  <c r="E72" i="11" s="1"/>
  <c r="N19" i="11"/>
  <c r="G43" i="11"/>
  <c r="H19" i="11"/>
  <c r="J31" i="11" s="1"/>
  <c r="J22" i="11"/>
  <c r="K22" i="11" s="1"/>
  <c r="G19" i="11"/>
  <c r="I31" i="11" s="1"/>
  <c r="J43" i="11"/>
  <c r="K43" i="11" s="1"/>
  <c r="L19" i="11"/>
  <c r="L31" i="11" s="1"/>
  <c r="F43" i="11"/>
  <c r="H43" i="11"/>
  <c r="J55" i="11" s="1"/>
  <c r="F22" i="11"/>
  <c r="I34" i="11" s="1"/>
  <c r="L43" i="11"/>
  <c r="L55" i="11" s="1"/>
  <c r="L22" i="11"/>
  <c r="L34" i="11" s="1"/>
  <c r="N22" i="11"/>
  <c r="G17" i="11"/>
  <c r="G16" i="10"/>
  <c r="I93" i="10"/>
  <c r="G93" i="10" s="1"/>
  <c r="F47" i="11"/>
  <c r="N18" i="11"/>
  <c r="G16" i="11"/>
  <c r="L44" i="11"/>
  <c r="L56" i="11" s="1"/>
  <c r="L16" i="11"/>
  <c r="L28" i="11" s="1"/>
  <c r="G44" i="11"/>
  <c r="G103" i="10"/>
  <c r="G47" i="11"/>
  <c r="H22" i="11"/>
  <c r="J34" i="11" s="1"/>
  <c r="J47" i="11"/>
  <c r="K47" i="11" s="1"/>
  <c r="N47" i="11"/>
  <c r="L47" i="11"/>
  <c r="L59" i="11" s="1"/>
  <c r="H25" i="11"/>
  <c r="J37" i="11" s="1"/>
  <c r="J16" i="11"/>
  <c r="K16" i="11" s="1"/>
  <c r="K28" i="11" s="1"/>
  <c r="L24" i="11"/>
  <c r="L36" i="11" s="1"/>
  <c r="J18" i="11"/>
  <c r="K18" i="11" s="1"/>
  <c r="N16" i="11"/>
  <c r="J49" i="11"/>
  <c r="K49" i="11" s="1"/>
  <c r="K61" i="11" s="1"/>
  <c r="H30" i="11"/>
  <c r="J23" i="11"/>
  <c r="K23" i="11" s="1"/>
  <c r="H46" i="11"/>
  <c r="J58" i="11" s="1"/>
  <c r="G20" i="11"/>
  <c r="I32" i="11" s="1"/>
  <c r="J20" i="11"/>
  <c r="K20" i="11" s="1"/>
  <c r="K32" i="11" s="1"/>
  <c r="G46" i="11"/>
  <c r="N20" i="11"/>
  <c r="N44" i="11"/>
  <c r="G50" i="11"/>
  <c r="I62" i="11" s="1"/>
  <c r="L50" i="11"/>
  <c r="L62" i="11" s="1"/>
  <c r="G45" i="11"/>
  <c r="I57" i="11" s="1"/>
  <c r="J24" i="11"/>
  <c r="K24" i="11" s="1"/>
  <c r="K36" i="11" s="1"/>
  <c r="H31" i="11"/>
  <c r="G24" i="11"/>
  <c r="F18" i="11"/>
  <c r="G18" i="11"/>
  <c r="H18" i="11"/>
  <c r="J30" i="11" s="1"/>
  <c r="F44" i="11"/>
  <c r="L23" i="11"/>
  <c r="L35" i="11" s="1"/>
  <c r="H50" i="11"/>
  <c r="J62" i="11" s="1"/>
  <c r="G23" i="11"/>
  <c r="F46" i="11"/>
  <c r="H44" i="11"/>
  <c r="J56" i="11" s="1"/>
  <c r="N50" i="11"/>
  <c r="N24" i="11"/>
  <c r="J50" i="11"/>
  <c r="K50" i="11" s="1"/>
  <c r="K62" i="11" s="1"/>
  <c r="F24" i="11"/>
  <c r="N45" i="11"/>
  <c r="L21" i="11"/>
  <c r="L33" i="11" s="1"/>
  <c r="F25" i="11"/>
  <c r="L49" i="11"/>
  <c r="L61" i="11" s="1"/>
  <c r="N49" i="11"/>
  <c r="N17" i="11"/>
  <c r="H49" i="11"/>
  <c r="J61" i="11" s="1"/>
  <c r="F17" i="11"/>
  <c r="F49" i="11"/>
  <c r="I61" i="11" s="1"/>
  <c r="H57" i="11"/>
  <c r="F21" i="11"/>
  <c r="G25" i="11"/>
  <c r="J25" i="11"/>
  <c r="K25" i="11" s="1"/>
  <c r="L17" i="11"/>
  <c r="L29" i="11" s="1"/>
  <c r="H17" i="11"/>
  <c r="J29" i="11" s="1"/>
  <c r="J28" i="11"/>
  <c r="H59" i="11"/>
  <c r="G21" i="11"/>
  <c r="H21" i="11"/>
  <c r="J33" i="11" s="1"/>
  <c r="I107" i="10"/>
  <c r="G107" i="10" s="1"/>
  <c r="J45" i="11"/>
  <c r="K45" i="11" s="1"/>
  <c r="J63" i="11"/>
  <c r="L45" i="11"/>
  <c r="L57" i="11" s="1"/>
  <c r="N46" i="11"/>
  <c r="H20" i="11"/>
  <c r="J32" i="11" s="1"/>
  <c r="H45" i="11"/>
  <c r="J57" i="11" s="1"/>
  <c r="J21" i="11"/>
  <c r="K21" i="11" s="1"/>
  <c r="L46" i="11"/>
  <c r="L58" i="11" s="1"/>
  <c r="F23" i="11"/>
  <c r="H23" i="11"/>
  <c r="J35" i="11" s="1"/>
  <c r="L20" i="11"/>
  <c r="L32" i="11" s="1"/>
  <c r="K64" i="11"/>
  <c r="H29" i="11"/>
  <c r="H35" i="11"/>
  <c r="H33" i="11"/>
  <c r="I63" i="11"/>
  <c r="H55" i="11"/>
  <c r="K60" i="11"/>
  <c r="I60" i="11"/>
  <c r="J59" i="11"/>
  <c r="H32" i="11"/>
  <c r="H63" i="11"/>
  <c r="K19" i="11"/>
  <c r="K31" i="11" s="1"/>
  <c r="H58" i="11"/>
  <c r="J36" i="11"/>
  <c r="K29" i="11"/>
  <c r="H28" i="11"/>
  <c r="H37" i="11"/>
  <c r="J60" i="11"/>
  <c r="H56" i="11"/>
  <c r="H36" i="11"/>
  <c r="H34" i="11"/>
  <c r="H61" i="11"/>
  <c r="H64" i="11"/>
  <c r="M51" i="11"/>
  <c r="O51" i="11" s="1"/>
  <c r="K56" i="11"/>
  <c r="H62" i="11"/>
  <c r="J64" i="11"/>
  <c r="M48" i="11"/>
  <c r="O48" i="11" s="1"/>
  <c r="M52" i="11"/>
  <c r="O52" i="11" s="1"/>
  <c r="I64" i="11"/>
  <c r="I85" i="10"/>
  <c r="I86" i="10" s="1"/>
  <c r="I104" i="10" s="1"/>
  <c r="G17" i="10"/>
  <c r="H60" i="11"/>
  <c r="K63" i="11"/>
  <c r="I63" i="10"/>
  <c r="G65" i="10" s="1"/>
  <c r="I35" i="11" l="1"/>
  <c r="G106" i="10"/>
  <c r="I28" i="11"/>
  <c r="I56" i="11"/>
  <c r="I55" i="11"/>
  <c r="K34" i="11"/>
  <c r="M43" i="11"/>
  <c r="O43" i="11" s="1"/>
  <c r="I29" i="11"/>
  <c r="M22" i="11"/>
  <c r="O22" i="11" s="1"/>
  <c r="I59" i="11"/>
  <c r="M47" i="11"/>
  <c r="O47" i="11" s="1"/>
  <c r="K30" i="11"/>
  <c r="M16" i="11"/>
  <c r="O16" i="11" s="1"/>
  <c r="M24" i="11"/>
  <c r="O24" i="11" s="1"/>
  <c r="I58" i="11"/>
  <c r="I33" i="11"/>
  <c r="I30" i="11"/>
  <c r="M44" i="11"/>
  <c r="O44" i="11" s="1"/>
  <c r="I36" i="11"/>
  <c r="K33" i="11"/>
  <c r="K57" i="11"/>
  <c r="I52" i="10"/>
  <c r="G52" i="10" s="1"/>
  <c r="I37" i="11"/>
  <c r="M18" i="11"/>
  <c r="O18" i="11" s="1"/>
  <c r="M21" i="11"/>
  <c r="O21" i="11" s="1"/>
  <c r="G18" i="10"/>
  <c r="M49" i="11"/>
  <c r="O49" i="11" s="1"/>
  <c r="I66" i="10"/>
  <c r="G66" i="10" s="1"/>
  <c r="E70" i="11"/>
  <c r="I45" i="10"/>
  <c r="I70" i="11"/>
  <c r="M17" i="11"/>
  <c r="O17" i="11" s="1"/>
  <c r="M45" i="11"/>
  <c r="O45" i="11" s="1"/>
  <c r="E75" i="11"/>
  <c r="E76" i="11" s="1"/>
  <c r="M25" i="11"/>
  <c r="O25" i="11" s="1"/>
  <c r="I54" i="10"/>
  <c r="G54" i="10" s="1"/>
  <c r="K37" i="11"/>
  <c r="I108" i="10"/>
  <c r="G290" i="11" s="1"/>
  <c r="M20" i="11"/>
  <c r="O20" i="11" s="1"/>
  <c r="M23" i="11"/>
  <c r="O23" i="11" s="1"/>
  <c r="M46" i="11"/>
  <c r="O46" i="11" s="1"/>
  <c r="M50" i="11"/>
  <c r="O50" i="11" s="1"/>
  <c r="K55" i="11"/>
  <c r="M19" i="11"/>
  <c r="O19" i="11" s="1"/>
  <c r="K59" i="11"/>
  <c r="K35" i="11"/>
  <c r="G63" i="10"/>
  <c r="I72" i="10"/>
  <c r="G72" i="10" s="1"/>
  <c r="I69" i="10"/>
  <c r="E71" i="11"/>
  <c r="G85" i="10"/>
  <c r="G350" i="11" l="1"/>
  <c r="G244" i="11"/>
  <c r="G497" i="11"/>
  <c r="G151" i="11"/>
  <c r="G556" i="11"/>
  <c r="G261" i="11"/>
  <c r="G319" i="11"/>
  <c r="G87" i="11"/>
  <c r="G248" i="11"/>
  <c r="G725" i="11"/>
  <c r="G92" i="11"/>
  <c r="G665" i="11"/>
  <c r="G727" i="11"/>
  <c r="G464" i="11"/>
  <c r="G305" i="11"/>
  <c r="G620" i="11"/>
  <c r="G103" i="11"/>
  <c r="G423" i="11"/>
  <c r="G541" i="11"/>
  <c r="G700" i="11"/>
  <c r="G576" i="11"/>
  <c r="G599" i="11"/>
  <c r="G241" i="11"/>
  <c r="G529" i="11"/>
  <c r="G211" i="11"/>
  <c r="G251" i="11"/>
  <c r="G298" i="11"/>
  <c r="G242" i="11"/>
  <c r="G427" i="11"/>
  <c r="G303" i="11"/>
  <c r="G166" i="11"/>
  <c r="G104" i="11"/>
  <c r="G293" i="11"/>
  <c r="G99" i="11"/>
  <c r="G640" i="11"/>
  <c r="G250" i="11"/>
  <c r="G637" i="11"/>
  <c r="G374" i="11"/>
  <c r="G108" i="11"/>
  <c r="G144" i="11"/>
  <c r="G380" i="11"/>
  <c r="G474" i="11"/>
  <c r="G334" i="11"/>
  <c r="G147" i="11"/>
  <c r="G608" i="11"/>
  <c r="G254" i="11"/>
  <c r="G281" i="11"/>
  <c r="G313" i="11"/>
  <c r="G619" i="11"/>
  <c r="G101" i="11"/>
  <c r="G188" i="11"/>
  <c r="G448" i="11"/>
  <c r="I72" i="11"/>
  <c r="G392" i="11"/>
  <c r="G393" i="11"/>
  <c r="G154" i="11"/>
  <c r="G693" i="11"/>
  <c r="G471" i="11"/>
  <c r="G544" i="11"/>
  <c r="G282" i="11"/>
  <c r="G325" i="11"/>
  <c r="G703" i="11"/>
  <c r="G528" i="11"/>
  <c r="G504" i="11"/>
  <c r="G249" i="11"/>
  <c r="G733" i="11"/>
  <c r="G747" i="11"/>
  <c r="G283" i="11"/>
  <c r="G351" i="11"/>
  <c r="G390" i="11"/>
  <c r="G84" i="11"/>
  <c r="G661" i="11"/>
  <c r="G187" i="11"/>
  <c r="G676" i="11"/>
  <c r="G345" i="11"/>
  <c r="G477" i="11"/>
  <c r="F587" i="11"/>
  <c r="G597" i="11"/>
  <c r="G639" i="11"/>
  <c r="G267" i="11"/>
  <c r="G577" i="11"/>
  <c r="G590" i="11"/>
  <c r="G169" i="11"/>
  <c r="G335" i="11"/>
  <c r="F334" i="11"/>
  <c r="F377" i="11"/>
  <c r="F512" i="11"/>
  <c r="F455" i="11"/>
  <c r="F442" i="11"/>
  <c r="I64" i="10"/>
  <c r="G64" i="10" s="1"/>
  <c r="F514" i="11"/>
  <c r="F697" i="11"/>
  <c r="F684" i="11"/>
  <c r="F613" i="11"/>
  <c r="F648" i="11"/>
  <c r="G510" i="11"/>
  <c r="F119" i="11"/>
  <c r="F266" i="11"/>
  <c r="F543" i="11"/>
  <c r="F595" i="11"/>
  <c r="F359" i="11"/>
  <c r="F695" i="11"/>
  <c r="F546" i="11"/>
  <c r="F319" i="11"/>
  <c r="G376" i="11"/>
  <c r="G409" i="11"/>
  <c r="G118" i="11"/>
  <c r="G179" i="11"/>
  <c r="G717" i="11"/>
  <c r="G729" i="11"/>
  <c r="G195" i="11"/>
  <c r="G289" i="11"/>
  <c r="G653" i="11"/>
  <c r="G663" i="11"/>
  <c r="G100" i="11"/>
  <c r="G301" i="11"/>
  <c r="G276" i="11"/>
  <c r="G666" i="11"/>
  <c r="G355" i="11"/>
  <c r="G450" i="11"/>
  <c r="G641" i="11"/>
  <c r="F745" i="11"/>
  <c r="G429" i="11"/>
  <c r="G539" i="11"/>
  <c r="G426" i="11"/>
  <c r="G466" i="11"/>
  <c r="G240" i="11"/>
  <c r="G631" i="11"/>
  <c r="G346" i="11"/>
  <c r="G175" i="11"/>
  <c r="G202" i="11"/>
  <c r="G435" i="11"/>
  <c r="F226" i="11"/>
  <c r="G503" i="11"/>
  <c r="G152" i="11"/>
  <c r="G207" i="11"/>
  <c r="G138" i="11"/>
  <c r="G485" i="11"/>
  <c r="G607" i="11"/>
  <c r="G595" i="11"/>
  <c r="G488" i="11"/>
  <c r="G470" i="11"/>
  <c r="G518" i="11"/>
  <c r="G516" i="11"/>
  <c r="G520" i="11"/>
  <c r="G391" i="11"/>
  <c r="G322" i="11"/>
  <c r="F275" i="11"/>
  <c r="F192" i="11"/>
  <c r="F652" i="11"/>
  <c r="F545" i="11"/>
  <c r="F90" i="11"/>
  <c r="F350" i="11"/>
  <c r="F603" i="11"/>
  <c r="F288" i="11"/>
  <c r="F356" i="11"/>
  <c r="F416" i="11"/>
  <c r="F520" i="11"/>
  <c r="F207" i="11"/>
  <c r="F562" i="11"/>
  <c r="F276" i="11"/>
  <c r="F748" i="11"/>
  <c r="I75" i="10"/>
  <c r="G75" i="10" s="1"/>
  <c r="G553" i="11"/>
  <c r="G333" i="11"/>
  <c r="G422" i="11"/>
  <c r="G243" i="11"/>
  <c r="G461" i="11"/>
  <c r="G168" i="11"/>
  <c r="G227" i="11"/>
  <c r="G257" i="11"/>
  <c r="G525" i="11"/>
  <c r="G535" i="11"/>
  <c r="G622" i="11"/>
  <c r="G89" i="11"/>
  <c r="G406" i="11"/>
  <c r="G337" i="11"/>
  <c r="G398" i="11"/>
  <c r="G385" i="11"/>
  <c r="G182" i="11"/>
  <c r="F402" i="11"/>
  <c r="G685" i="11"/>
  <c r="G550" i="11"/>
  <c r="G585" i="11"/>
  <c r="G88" i="11"/>
  <c r="G93" i="11"/>
  <c r="G338" i="11"/>
  <c r="G505" i="11"/>
  <c r="G111" i="11"/>
  <c r="G502" i="11"/>
  <c r="G196" i="11"/>
  <c r="F321" i="11"/>
  <c r="G694" i="11"/>
  <c r="G633" i="11"/>
  <c r="G143" i="11"/>
  <c r="G316" i="11"/>
  <c r="G415" i="11"/>
  <c r="G543" i="11"/>
  <c r="G531" i="11"/>
  <c r="G645" i="11"/>
  <c r="G726" i="11"/>
  <c r="G739" i="11"/>
  <c r="G701" i="11"/>
  <c r="G456" i="11"/>
  <c r="G598" i="11"/>
  <c r="G646" i="11"/>
  <c r="F191" i="11"/>
  <c r="F530" i="11"/>
  <c r="F716" i="11"/>
  <c r="F374" i="11"/>
  <c r="F214" i="11"/>
  <c r="F541" i="11"/>
  <c r="G569" i="11"/>
  <c r="F291" i="11"/>
  <c r="F240" i="11"/>
  <c r="F702" i="11"/>
  <c r="F449" i="11"/>
  <c r="F215" i="11"/>
  <c r="G291" i="11"/>
  <c r="G157" i="11"/>
  <c r="G642" i="11"/>
  <c r="G704" i="11"/>
  <c r="G201" i="11"/>
  <c r="G414" i="11"/>
  <c r="G83" i="11"/>
  <c r="G369" i="11"/>
  <c r="G524" i="11"/>
  <c r="G218" i="11"/>
  <c r="G601" i="11"/>
  <c r="G307" i="11"/>
  <c r="G163" i="11"/>
  <c r="G181" i="11"/>
  <c r="G321" i="11"/>
  <c r="G602" i="11"/>
  <c r="G428" i="11"/>
  <c r="G684" i="11"/>
  <c r="G566" i="11"/>
  <c r="G278" i="11"/>
  <c r="G681" i="11"/>
  <c r="G183" i="11"/>
  <c r="G514" i="11"/>
  <c r="G443" i="11"/>
  <c r="G537" i="11"/>
  <c r="G213" i="11"/>
  <c r="G589" i="11"/>
  <c r="G156" i="11"/>
  <c r="G231" i="11"/>
  <c r="G253" i="11"/>
  <c r="G501" i="11"/>
  <c r="G507" i="11"/>
  <c r="G228" i="11"/>
  <c r="G702" i="11"/>
  <c r="F338" i="11"/>
  <c r="G695" i="11"/>
  <c r="G297" i="11"/>
  <c r="G697" i="11"/>
  <c r="G432" i="11"/>
  <c r="G159" i="11"/>
  <c r="G605" i="11"/>
  <c r="G274" i="11"/>
  <c r="G696" i="11"/>
  <c r="G96" i="11"/>
  <c r="F368" i="11"/>
  <c r="F611" i="11"/>
  <c r="G476" i="11"/>
  <c r="G139" i="11"/>
  <c r="G214" i="11"/>
  <c r="G377" i="11"/>
  <c r="G408" i="11"/>
  <c r="G612" i="11"/>
  <c r="G478" i="11"/>
  <c r="G511" i="11"/>
  <c r="G417" i="11"/>
  <c r="F297" i="11"/>
  <c r="F434" i="11"/>
  <c r="G128" i="11"/>
  <c r="G749" i="11"/>
  <c r="G171" i="11"/>
  <c r="G375" i="11"/>
  <c r="G341" i="11"/>
  <c r="G521" i="11"/>
  <c r="G660" i="11"/>
  <c r="G434" i="11"/>
  <c r="G287" i="11"/>
  <c r="G536" i="11"/>
  <c r="G342" i="11"/>
  <c r="G370" i="11"/>
  <c r="G494" i="11"/>
  <c r="G386" i="11"/>
  <c r="G184" i="11"/>
  <c r="G744" i="11"/>
  <c r="G180" i="11"/>
  <c r="G130" i="11"/>
  <c r="G112" i="11"/>
  <c r="G142" i="11"/>
  <c r="G405" i="11"/>
  <c r="G455" i="11"/>
  <c r="G410" i="11"/>
  <c r="G459" i="11"/>
  <c r="G463" i="11"/>
  <c r="G98" i="11"/>
  <c r="G451" i="11"/>
  <c r="G609" i="11"/>
  <c r="G193" i="11"/>
  <c r="F135" i="11"/>
  <c r="F304" i="11"/>
  <c r="F400" i="11"/>
  <c r="F189" i="11"/>
  <c r="F451" i="11"/>
  <c r="F548" i="11"/>
  <c r="G519" i="11"/>
  <c r="F426" i="11"/>
  <c r="F553" i="11"/>
  <c r="F633" i="11"/>
  <c r="F516" i="11"/>
  <c r="G513" i="11"/>
  <c r="G568" i="11"/>
  <c r="G430" i="11"/>
  <c r="F200" i="11"/>
  <c r="F411" i="11"/>
  <c r="F659" i="11"/>
  <c r="F394" i="11"/>
  <c r="F296" i="11"/>
  <c r="F393" i="11"/>
  <c r="F227" i="11"/>
  <c r="G549" i="11"/>
  <c r="G401" i="11"/>
  <c r="G682" i="11"/>
  <c r="G490" i="11"/>
  <c r="G634" i="11"/>
  <c r="F248" i="11"/>
  <c r="F602" i="11"/>
  <c r="F239" i="11"/>
  <c r="F236" i="11"/>
  <c r="F486" i="11"/>
  <c r="F671" i="11"/>
  <c r="F425" i="11"/>
  <c r="F483" i="11"/>
  <c r="F157" i="11"/>
  <c r="F198" i="11"/>
  <c r="F94" i="11"/>
  <c r="F536" i="11"/>
  <c r="F624" i="11"/>
  <c r="F363" i="11"/>
  <c r="F385" i="11"/>
  <c r="F692" i="11"/>
  <c r="F708" i="11"/>
  <c r="F673" i="11"/>
  <c r="F305" i="11"/>
  <c r="F549" i="11"/>
  <c r="F575" i="11"/>
  <c r="F628" i="11"/>
  <c r="F539" i="11"/>
  <c r="F271" i="11"/>
  <c r="F238" i="11"/>
  <c r="F346" i="11"/>
  <c r="F351" i="11"/>
  <c r="F180" i="11"/>
  <c r="F353" i="11"/>
  <c r="F158" i="11"/>
  <c r="F178" i="11"/>
  <c r="F635" i="11"/>
  <c r="F268" i="11"/>
  <c r="F678" i="11"/>
  <c r="F609" i="11"/>
  <c r="F295" i="11"/>
  <c r="F501" i="11"/>
  <c r="F699" i="11"/>
  <c r="F606" i="11"/>
  <c r="F475" i="11"/>
  <c r="F259" i="11"/>
  <c r="F318" i="11"/>
  <c r="F667" i="11"/>
  <c r="F287" i="11"/>
  <c r="F660" i="11"/>
  <c r="F375" i="11"/>
  <c r="F86" i="11"/>
  <c r="F552" i="11"/>
  <c r="F125" i="11"/>
  <c r="F415" i="11"/>
  <c r="F202" i="11"/>
  <c r="F522" i="11"/>
  <c r="F195" i="11"/>
  <c r="F194" i="11"/>
  <c r="F310" i="11"/>
  <c r="F113" i="11"/>
  <c r="F432" i="11"/>
  <c r="F146" i="11"/>
  <c r="F736" i="11"/>
  <c r="F608" i="11"/>
  <c r="F129" i="11"/>
  <c r="F336" i="11"/>
  <c r="F148" i="11"/>
  <c r="F734" i="11"/>
  <c r="F206" i="11"/>
  <c r="F722" i="11"/>
  <c r="F370" i="11"/>
  <c r="F658" i="11"/>
  <c r="F283" i="11"/>
  <c r="F111" i="11"/>
  <c r="F441" i="11"/>
  <c r="F398" i="11"/>
  <c r="F433" i="11"/>
  <c r="F407" i="11"/>
  <c r="F424" i="11"/>
  <c r="F406" i="11"/>
  <c r="F252" i="11"/>
  <c r="F696" i="11"/>
  <c r="F703" i="11"/>
  <c r="F505" i="11"/>
  <c r="F358" i="11"/>
  <c r="F260" i="11"/>
  <c r="F694" i="11"/>
  <c r="F112" i="11"/>
  <c r="F654" i="11"/>
  <c r="F373" i="11"/>
  <c r="F439" i="11"/>
  <c r="F655" i="11"/>
  <c r="F413" i="11"/>
  <c r="F422" i="11"/>
  <c r="F709" i="11"/>
  <c r="G562" i="11"/>
  <c r="F729" i="11"/>
  <c r="F466" i="11"/>
  <c r="F610" i="11"/>
  <c r="F459" i="11"/>
  <c r="F141" i="11"/>
  <c r="G624" i="11"/>
  <c r="F169" i="11"/>
  <c r="F467" i="11"/>
  <c r="F204" i="11"/>
  <c r="F496" i="11"/>
  <c r="F347" i="11"/>
  <c r="F177" i="11"/>
  <c r="F386" i="11"/>
  <c r="F730" i="11"/>
  <c r="F713" i="11"/>
  <c r="F313" i="11"/>
  <c r="F581" i="11"/>
  <c r="F463" i="11"/>
  <c r="F265" i="11"/>
  <c r="F618" i="11"/>
  <c r="F267" i="11"/>
  <c r="F626" i="11"/>
  <c r="F182" i="11"/>
  <c r="F308" i="11"/>
  <c r="F488" i="11"/>
  <c r="F332" i="11"/>
  <c r="F480" i="11"/>
  <c r="F337" i="11"/>
  <c r="F167" i="11"/>
  <c r="F418" i="11"/>
  <c r="F698" i="11"/>
  <c r="F649" i="11"/>
  <c r="F303" i="11"/>
  <c r="F533" i="11"/>
  <c r="F527" i="11"/>
  <c r="F201" i="11"/>
  <c r="F532" i="11"/>
  <c r="F289" i="11"/>
  <c r="F668" i="11"/>
  <c r="F174" i="11"/>
  <c r="F604" i="11"/>
  <c r="F737" i="11"/>
  <c r="F597" i="11"/>
  <c r="F650" i="11"/>
  <c r="F281" i="11"/>
  <c r="F731" i="11"/>
  <c r="F574" i="11"/>
  <c r="F396" i="11"/>
  <c r="F108" i="11"/>
  <c r="F114" i="11"/>
  <c r="F513" i="11"/>
  <c r="F640" i="11"/>
  <c r="F554" i="11"/>
  <c r="F105" i="11"/>
  <c r="F116" i="11"/>
  <c r="F529" i="11"/>
  <c r="F85" i="11"/>
  <c r="F404" i="11"/>
  <c r="F683" i="11"/>
  <c r="F110" i="11"/>
  <c r="F369" i="11"/>
  <c r="F322" i="11"/>
  <c r="F474" i="11"/>
  <c r="F741" i="11"/>
  <c r="F243" i="11"/>
  <c r="F225" i="11"/>
  <c r="F224" i="11"/>
  <c r="F717" i="11"/>
  <c r="F154" i="11"/>
  <c r="F728" i="11"/>
  <c r="F600" i="11"/>
  <c r="F256" i="11"/>
  <c r="F457" i="11"/>
  <c r="F156" i="11"/>
  <c r="F726" i="11"/>
  <c r="F326" i="11"/>
  <c r="F706" i="11"/>
  <c r="F568" i="11"/>
  <c r="F534" i="11"/>
  <c r="F184" i="11"/>
  <c r="F666" i="11"/>
  <c r="F273" i="11"/>
  <c r="F538" i="11"/>
  <c r="F477" i="11"/>
  <c r="F130" i="11"/>
  <c r="F596" i="11"/>
  <c r="F614" i="11"/>
  <c r="F263" i="11"/>
  <c r="F149" i="11"/>
  <c r="F409" i="11"/>
  <c r="F170" i="11"/>
  <c r="F507" i="11"/>
  <c r="F531" i="11"/>
  <c r="F211" i="11"/>
  <c r="F685" i="11"/>
  <c r="F447" i="11"/>
  <c r="F382" i="11"/>
  <c r="F564" i="11"/>
  <c r="F217" i="11"/>
  <c r="F274" i="11"/>
  <c r="F96" i="11"/>
  <c r="F361" i="11"/>
  <c r="F740" i="11"/>
  <c r="F511" i="11"/>
  <c r="F453" i="11"/>
  <c r="F331" i="11"/>
  <c r="F342" i="11"/>
  <c r="F704" i="11"/>
  <c r="F328" i="11"/>
  <c r="F228" i="11"/>
  <c r="F88" i="11"/>
  <c r="F343" i="11"/>
  <c r="F199" i="11"/>
  <c r="F335" i="11"/>
  <c r="F727" i="11"/>
  <c r="F143" i="11"/>
  <c r="F380" i="11"/>
  <c r="F578" i="11"/>
  <c r="F84" i="11"/>
  <c r="F392" i="11"/>
  <c r="F612" i="11"/>
  <c r="F462" i="11"/>
  <c r="F429" i="11"/>
  <c r="F301" i="11"/>
  <c r="F173" i="11"/>
  <c r="F282" i="11"/>
  <c r="F150" i="11"/>
  <c r="F630" i="11"/>
  <c r="F508" i="11"/>
  <c r="F547" i="11"/>
  <c r="F440" i="11"/>
  <c r="F139" i="11"/>
  <c r="F312" i="11"/>
  <c r="F500" i="11"/>
  <c r="F102" i="11"/>
  <c r="F341" i="11"/>
  <c r="F663" i="11"/>
  <c r="F196" i="11"/>
  <c r="F712" i="11"/>
  <c r="F278" i="11"/>
  <c r="F701" i="11"/>
  <c r="F245" i="11"/>
  <c r="F161" i="11"/>
  <c r="F197" i="11"/>
  <c r="F452" i="11"/>
  <c r="F749" i="11"/>
  <c r="F479" i="11"/>
  <c r="F589" i="11"/>
  <c r="F399" i="11"/>
  <c r="F242" i="11"/>
  <c r="F506" i="11"/>
  <c r="F185" i="11"/>
  <c r="F179" i="11"/>
  <c r="F183" i="11"/>
  <c r="F193" i="11"/>
  <c r="F257" i="11"/>
  <c r="F550" i="11"/>
  <c r="F209" i="11"/>
  <c r="F244" i="11"/>
  <c r="F345" i="11"/>
  <c r="F362" i="11"/>
  <c r="F691" i="11"/>
  <c r="F540" i="11"/>
  <c r="F171" i="11"/>
  <c r="F231" i="11"/>
  <c r="F367" i="11"/>
  <c r="F401" i="11"/>
  <c r="F95" i="11"/>
  <c r="F348" i="11"/>
  <c r="F607" i="11"/>
  <c r="F651" i="11"/>
  <c r="F151" i="11"/>
  <c r="F255" i="11"/>
  <c r="F675" i="11"/>
  <c r="F586" i="11"/>
  <c r="F446" i="11"/>
  <c r="F262" i="11"/>
  <c r="F122" i="11"/>
  <c r="F632" i="11"/>
  <c r="F109" i="11"/>
  <c r="F605" i="11"/>
  <c r="F497" i="11"/>
  <c r="F494" i="11"/>
  <c r="F491" i="11"/>
  <c r="F333" i="11"/>
  <c r="F205" i="11"/>
  <c r="F503" i="11"/>
  <c r="F551" i="11"/>
  <c r="F674" i="11"/>
  <c r="F544" i="11"/>
  <c r="F593" i="11"/>
  <c r="F379" i="11"/>
  <c r="F216" i="11"/>
  <c r="F376" i="11"/>
  <c r="F625" i="11"/>
  <c r="F172" i="11"/>
  <c r="F253" i="11"/>
  <c r="F502" i="11"/>
  <c r="F710" i="11"/>
  <c r="F584" i="11"/>
  <c r="F98" i="11"/>
  <c r="F311" i="11"/>
  <c r="F493" i="11"/>
  <c r="F450" i="11"/>
  <c r="F481" i="11"/>
  <c r="G499" i="11"/>
  <c r="G170" i="11"/>
  <c r="G191" i="11"/>
  <c r="G367" i="11"/>
  <c r="G567" i="11"/>
  <c r="G575" i="11"/>
  <c r="G628" i="11"/>
  <c r="G357" i="11"/>
  <c r="G155" i="11"/>
  <c r="G190" i="11"/>
  <c r="G344" i="11"/>
  <c r="G572" i="11"/>
  <c r="G468" i="11"/>
  <c r="G165" i="11"/>
  <c r="F473" i="11"/>
  <c r="F579" i="11"/>
  <c r="F566" i="11"/>
  <c r="F428" i="11"/>
  <c r="F250" i="11"/>
  <c r="F221" i="11"/>
  <c r="F232" i="11"/>
  <c r="F686" i="11"/>
  <c r="F176" i="11"/>
  <c r="F687" i="11"/>
  <c r="F572" i="11"/>
  <c r="F152" i="11"/>
  <c r="F330" i="11"/>
  <c r="F504" i="11"/>
  <c r="F390" i="11"/>
  <c r="F290" i="11"/>
  <c r="F175" i="11"/>
  <c r="F203" i="11"/>
  <c r="F631" i="11"/>
  <c r="F298" i="11"/>
  <c r="F747" i="11"/>
  <c r="F489" i="11"/>
  <c r="F160" i="11"/>
  <c r="F461" i="11"/>
  <c r="F106" i="11"/>
  <c r="F577" i="11"/>
  <c r="F124" i="11"/>
  <c r="F711" i="11"/>
  <c r="F397" i="11"/>
  <c r="F573" i="11"/>
  <c r="F364" i="11"/>
  <c r="F476" i="11"/>
  <c r="F115" i="11"/>
  <c r="F387" i="11"/>
  <c r="F414" i="11"/>
  <c r="F676" i="11"/>
  <c r="F444" i="11"/>
  <c r="F681" i="11"/>
  <c r="F585" i="11"/>
  <c r="F464" i="11"/>
  <c r="G412" i="11"/>
  <c r="G669" i="11"/>
  <c r="G667" i="11"/>
  <c r="G314" i="11"/>
  <c r="G132" i="11"/>
  <c r="G127" i="11"/>
  <c r="G329" i="11"/>
  <c r="G117" i="11"/>
  <c r="G91" i="11"/>
  <c r="G259" i="11"/>
  <c r="F83" i="11"/>
  <c r="F435" i="11"/>
  <c r="F743" i="11"/>
  <c r="F254" i="11"/>
  <c r="F181" i="11"/>
  <c r="F389" i="11"/>
  <c r="F470" i="11"/>
  <c r="F634" i="11"/>
  <c r="F145" i="11"/>
  <c r="F92" i="11"/>
  <c r="F570" i="11"/>
  <c r="F412" i="11"/>
  <c r="F93" i="11"/>
  <c r="F436" i="11"/>
  <c r="F661" i="11"/>
  <c r="F354" i="11"/>
  <c r="F142" i="11"/>
  <c r="G209" i="11"/>
  <c r="G114" i="11"/>
  <c r="F556" i="11"/>
  <c r="F320" i="11"/>
  <c r="F381" i="11"/>
  <c r="F622" i="11"/>
  <c r="F100" i="11"/>
  <c r="F104" i="11"/>
  <c r="F147" i="11"/>
  <c r="F643" i="11"/>
  <c r="F576" i="11"/>
  <c r="F300" i="11"/>
  <c r="F218" i="11"/>
  <c r="F229" i="11"/>
  <c r="F405" i="11"/>
  <c r="F478" i="11"/>
  <c r="F644" i="11"/>
  <c r="F153" i="11"/>
  <c r="F519" i="11"/>
  <c r="F639" i="11"/>
  <c r="F316" i="11"/>
  <c r="F384" i="11"/>
  <c r="F495" i="11"/>
  <c r="F542" i="11"/>
  <c r="F431" i="11"/>
  <c r="F482" i="11"/>
  <c r="F314" i="11"/>
  <c r="G679" i="11"/>
  <c r="G116" i="11"/>
  <c r="G185" i="11"/>
  <c r="G110" i="11"/>
  <c r="G407" i="11"/>
  <c r="G579" i="11"/>
  <c r="G148" i="11"/>
  <c r="G654" i="11"/>
  <c r="G561" i="11"/>
  <c r="G306" i="11"/>
  <c r="G655" i="11"/>
  <c r="G462" i="11"/>
  <c r="G384" i="11"/>
  <c r="G715" i="11"/>
  <c r="G648" i="11"/>
  <c r="G709" i="11"/>
  <c r="G530" i="11"/>
  <c r="G177" i="11"/>
  <c r="G402" i="11"/>
  <c r="G708" i="11"/>
  <c r="G452" i="11"/>
  <c r="G650" i="11"/>
  <c r="G160" i="11"/>
  <c r="G125" i="11"/>
  <c r="G737" i="11"/>
  <c r="G364" i="11"/>
  <c r="G611" i="11"/>
  <c r="G224" i="11"/>
  <c r="G340" i="11"/>
  <c r="G433" i="11"/>
  <c r="G263" i="11"/>
  <c r="G687" i="11"/>
  <c r="G431" i="11"/>
  <c r="G299" i="11"/>
  <c r="G614" i="11"/>
  <c r="G680" i="11"/>
  <c r="G424" i="11"/>
  <c r="G526" i="11"/>
  <c r="G404" i="11"/>
  <c r="G545" i="11"/>
  <c r="G300" i="11"/>
  <c r="G659" i="11"/>
  <c r="G324" i="11"/>
  <c r="G124" i="11"/>
  <c r="G358" i="11"/>
  <c r="G210" i="11"/>
  <c r="G735" i="11"/>
  <c r="G479" i="11"/>
  <c r="G109" i="11"/>
  <c r="G354" i="11"/>
  <c r="G728" i="11"/>
  <c r="G472" i="11"/>
  <c r="G690" i="11"/>
  <c r="G454" i="11"/>
  <c r="G625" i="11"/>
  <c r="G449" i="11"/>
  <c r="G594" i="11"/>
  <c r="G347" i="11"/>
  <c r="F132" i="11"/>
  <c r="F284" i="11"/>
  <c r="F408" i="11"/>
  <c r="F746" i="11"/>
  <c r="F499" i="11"/>
  <c r="F599" i="11"/>
  <c r="F270" i="11"/>
  <c r="F264" i="11"/>
  <c r="F594" i="11"/>
  <c r="F190" i="11"/>
  <c r="F210" i="11"/>
  <c r="F739" i="11"/>
  <c r="F315" i="11"/>
  <c r="F223" i="11"/>
  <c r="F220" i="11"/>
  <c r="F294" i="11"/>
  <c r="F423" i="11"/>
  <c r="F372" i="11"/>
  <c r="F591" i="11"/>
  <c r="F664" i="11"/>
  <c r="F388" i="11"/>
  <c r="F526" i="11"/>
  <c r="F365" i="11"/>
  <c r="F222" i="11"/>
  <c r="F732" i="11"/>
  <c r="F721" i="11"/>
  <c r="F163" i="11"/>
  <c r="F427" i="11"/>
  <c r="F165" i="11"/>
  <c r="F715" i="11"/>
  <c r="F188" i="11"/>
  <c r="F557" i="11"/>
  <c r="F670" i="11"/>
  <c r="F560" i="11"/>
  <c r="G555" i="11"/>
  <c r="G373" i="11"/>
  <c r="G219" i="11"/>
  <c r="G331" i="11"/>
  <c r="G359" i="11"/>
  <c r="G496" i="11"/>
  <c r="G444" i="11"/>
  <c r="G548" i="11"/>
  <c r="G710" i="11"/>
  <c r="G738" i="11"/>
  <c r="F91" i="11"/>
  <c r="F657" i="11"/>
  <c r="F642" i="11"/>
  <c r="F127" i="11"/>
  <c r="F261" i="11"/>
  <c r="F437" i="11"/>
  <c r="F510" i="11"/>
  <c r="F690" i="11"/>
  <c r="F718" i="11"/>
  <c r="F166" i="11"/>
  <c r="F592" i="11"/>
  <c r="F162" i="11"/>
  <c r="F448" i="11"/>
  <c r="F329" i="11"/>
  <c r="F323" i="11"/>
  <c r="F187" i="11"/>
  <c r="F391" i="11"/>
  <c r="G296" i="11"/>
  <c r="F537" i="11"/>
  <c r="F620" i="11"/>
  <c r="F509" i="11"/>
  <c r="F523" i="11"/>
  <c r="F340" i="11"/>
  <c r="F101" i="11"/>
  <c r="F99" i="11"/>
  <c r="F733" i="11"/>
  <c r="F689" i="11"/>
  <c r="F598" i="11"/>
  <c r="F118" i="11"/>
  <c r="F286" i="11"/>
  <c r="F277" i="11"/>
  <c r="F445" i="11"/>
  <c r="F518" i="11"/>
  <c r="F738" i="11"/>
  <c r="F742" i="11"/>
  <c r="F208" i="11"/>
  <c r="F616" i="11"/>
  <c r="F138" i="11"/>
  <c r="F705" i="11"/>
  <c r="F258" i="11"/>
  <c r="F438" i="11"/>
  <c r="F707" i="11"/>
  <c r="F285" i="11"/>
  <c r="F219" i="11"/>
  <c r="F498" i="11"/>
  <c r="F383" i="11"/>
  <c r="F469" i="11"/>
  <c r="F120" i="11"/>
  <c r="F672" i="11"/>
  <c r="F567" i="11"/>
  <c r="F133" i="11"/>
  <c r="F107" i="11"/>
  <c r="F269" i="11"/>
  <c r="F588" i="11"/>
  <c r="F280" i="11"/>
  <c r="F421" i="11"/>
  <c r="F168" i="11"/>
  <c r="F677" i="11"/>
  <c r="G388" i="11"/>
  <c r="G265" i="11"/>
  <c r="G509" i="11"/>
  <c r="G438" i="11"/>
  <c r="G134" i="11"/>
  <c r="F621" i="11"/>
  <c r="F700" i="11"/>
  <c r="F309" i="11"/>
  <c r="F558" i="11"/>
  <c r="F420" i="11"/>
  <c r="F656" i="11"/>
  <c r="F582" i="11"/>
  <c r="F458" i="11"/>
  <c r="F653" i="11"/>
  <c r="F515" i="11"/>
  <c r="F213" i="11"/>
  <c r="F87" i="11"/>
  <c r="F123" i="11"/>
  <c r="F484" i="11"/>
  <c r="F521" i="11"/>
  <c r="F317" i="11"/>
  <c r="F583" i="11"/>
  <c r="F324" i="11"/>
  <c r="F680" i="11"/>
  <c r="F714" i="11"/>
  <c r="F471" i="11"/>
  <c r="F485" i="11"/>
  <c r="G122" i="11"/>
  <c r="G192" i="11"/>
  <c r="G638" i="11"/>
  <c r="G174" i="11"/>
  <c r="G707" i="11"/>
  <c r="G260" i="11"/>
  <c r="G161" i="11"/>
  <c r="G162" i="11"/>
  <c r="G719" i="11"/>
  <c r="G216" i="11"/>
  <c r="G230" i="11"/>
  <c r="G712" i="11"/>
  <c r="G581" i="11"/>
  <c r="G232" i="11"/>
  <c r="G234" i="11"/>
  <c r="G644" i="11"/>
  <c r="G573" i="11"/>
  <c r="G649" i="11"/>
  <c r="G256" i="11"/>
  <c r="G206" i="11"/>
  <c r="G675" i="11"/>
  <c r="G542" i="11"/>
  <c r="G225" i="11"/>
  <c r="G194" i="11"/>
  <c r="G623" i="11"/>
  <c r="G106" i="11"/>
  <c r="G311" i="11"/>
  <c r="G616" i="11"/>
  <c r="G517" i="11"/>
  <c r="G308" i="11"/>
  <c r="G94" i="11"/>
  <c r="G582" i="11"/>
  <c r="G467" i="11"/>
  <c r="G446" i="11"/>
  <c r="G82" i="11"/>
  <c r="G534" i="11"/>
  <c r="G176" i="11"/>
  <c r="G705" i="11"/>
  <c r="G491" i="11"/>
  <c r="G741" i="11"/>
  <c r="G217" i="11"/>
  <c r="G718" i="11"/>
  <c r="G683" i="11"/>
  <c r="G399" i="11"/>
  <c r="G743" i="11"/>
  <c r="G564" i="11"/>
  <c r="G714" i="11"/>
  <c r="G366" i="11"/>
  <c r="G294" i="11"/>
  <c r="G418" i="11"/>
  <c r="G592" i="11"/>
  <c r="G86" i="11"/>
  <c r="G403" i="11"/>
  <c r="G107" i="11"/>
  <c r="G381" i="11"/>
  <c r="G540" i="11"/>
  <c r="G186" i="11"/>
  <c r="F89" i="11"/>
  <c r="F430" i="11"/>
  <c r="F233" i="11"/>
  <c r="F637" i="11"/>
  <c r="F617" i="11"/>
  <c r="F299" i="11"/>
  <c r="G258" i="11"/>
  <c r="G315" i="11"/>
  <c r="G362" i="11"/>
  <c r="G421" i="11"/>
  <c r="G246" i="11"/>
  <c r="G647" i="11"/>
  <c r="G532" i="11"/>
  <c r="G618" i="11"/>
  <c r="G323" i="11"/>
  <c r="G205" i="11"/>
  <c r="G546" i="11"/>
  <c r="G656" i="11"/>
  <c r="G363" i="11"/>
  <c r="G360" i="11"/>
  <c r="G262" i="11"/>
  <c r="G442" i="11"/>
  <c r="G604" i="11"/>
  <c r="G657" i="11"/>
  <c r="F279" i="11"/>
  <c r="F571" i="11"/>
  <c r="F725" i="11"/>
  <c r="G673" i="11"/>
  <c r="G255" i="11"/>
  <c r="G447" i="11"/>
  <c r="G440" i="11"/>
  <c r="G383" i="11"/>
  <c r="G630" i="11"/>
  <c r="G596" i="11"/>
  <c r="G746" i="11"/>
  <c r="G387" i="11"/>
  <c r="G95" i="11"/>
  <c r="G397" i="11"/>
  <c r="G560" i="11"/>
  <c r="G150" i="11"/>
  <c r="G441" i="11"/>
  <c r="G123" i="11"/>
  <c r="G361" i="11"/>
  <c r="G508" i="11"/>
  <c r="G252" i="11"/>
  <c r="F646" i="11"/>
  <c r="F638" i="11"/>
  <c r="F235" i="11"/>
  <c r="G236" i="11"/>
  <c r="F352" i="11"/>
  <c r="G734" i="11"/>
  <c r="G332" i="11"/>
  <c r="G736" i="11"/>
  <c r="G480" i="11"/>
  <c r="G706" i="11"/>
  <c r="G349" i="11"/>
  <c r="G121" i="11"/>
  <c r="G135" i="11"/>
  <c r="G270" i="11"/>
  <c r="G489" i="11"/>
  <c r="G145" i="11"/>
  <c r="G652" i="11"/>
  <c r="F186" i="11"/>
  <c r="F669" i="11"/>
  <c r="F302" i="11"/>
  <c r="F360" i="11"/>
  <c r="F251" i="11"/>
  <c r="F371" i="11"/>
  <c r="F627" i="11"/>
  <c r="F735" i="11"/>
  <c r="F528" i="11"/>
  <c r="F82" i="11"/>
  <c r="F212" i="11"/>
  <c r="F237" i="11"/>
  <c r="F615" i="11"/>
  <c r="F344" i="11"/>
  <c r="F601" i="11"/>
  <c r="F724" i="11"/>
  <c r="F327" i="11"/>
  <c r="G724" i="11"/>
  <c r="G557" i="11"/>
  <c r="G457" i="11"/>
  <c r="G378" i="11"/>
  <c r="G465" i="11"/>
  <c r="F395" i="11"/>
  <c r="F134" i="11"/>
  <c r="F349" i="11"/>
  <c r="F580" i="11"/>
  <c r="F164" i="11"/>
  <c r="F720" i="11"/>
  <c r="F247" i="11"/>
  <c r="F561" i="11"/>
  <c r="F272" i="11"/>
  <c r="F460" i="11"/>
  <c r="F293" i="11"/>
  <c r="F465" i="11"/>
  <c r="F131" i="11"/>
  <c r="F524" i="11"/>
  <c r="F569" i="11"/>
  <c r="F357" i="11"/>
  <c r="F590" i="11"/>
  <c r="F140" i="11"/>
  <c r="F744" i="11"/>
  <c r="F307" i="11"/>
  <c r="F241" i="11"/>
  <c r="F234" i="11"/>
  <c r="G382" i="11"/>
  <c r="G742" i="11"/>
  <c r="G310" i="11"/>
  <c r="G238" i="11"/>
  <c r="G643" i="11"/>
  <c r="G200" i="11"/>
  <c r="G288" i="11"/>
  <c r="G226" i="11"/>
  <c r="G591" i="11"/>
  <c r="G204" i="11"/>
  <c r="G396" i="11"/>
  <c r="G584" i="11"/>
  <c r="G453" i="11"/>
  <c r="G220" i="11"/>
  <c r="G711" i="11"/>
  <c r="G580" i="11"/>
  <c r="G445" i="11"/>
  <c r="G120" i="11"/>
  <c r="G352" i="11"/>
  <c r="G279" i="11"/>
  <c r="G547" i="11"/>
  <c r="G356" i="11"/>
  <c r="G336" i="11"/>
  <c r="G348" i="11"/>
  <c r="G559" i="11"/>
  <c r="G670" i="11"/>
  <c r="G651" i="11"/>
  <c r="G552" i="11"/>
  <c r="G722" i="11"/>
  <c r="G153" i="11"/>
  <c r="G158" i="11"/>
  <c r="G723" i="11"/>
  <c r="G208" i="11"/>
  <c r="G133" i="11"/>
  <c r="G146" i="11"/>
  <c r="G671" i="11"/>
  <c r="G606" i="11"/>
  <c r="G198" i="11"/>
  <c r="G664" i="11"/>
  <c r="G613" i="11"/>
  <c r="G126" i="11"/>
  <c r="G327" i="11"/>
  <c r="G632" i="11"/>
  <c r="G686" i="11"/>
  <c r="G551" i="11"/>
  <c r="G484" i="11"/>
  <c r="G554" i="11"/>
  <c r="G280" i="11"/>
  <c r="G141" i="11"/>
  <c r="G674" i="11"/>
  <c r="G720" i="11"/>
  <c r="G137" i="11"/>
  <c r="G318" i="11"/>
  <c r="G197" i="11"/>
  <c r="G570" i="11"/>
  <c r="G668" i="11"/>
  <c r="G326" i="11"/>
  <c r="F559" i="11"/>
  <c r="F517" i="11"/>
  <c r="F647" i="11"/>
  <c r="F306" i="11"/>
  <c r="F682" i="11"/>
  <c r="F641" i="11"/>
  <c r="G691" i="11"/>
  <c r="G178" i="11"/>
  <c r="G268" i="11"/>
  <c r="G498" i="11"/>
  <c r="G593" i="11"/>
  <c r="G487" i="11"/>
  <c r="G436" i="11"/>
  <c r="G458" i="11"/>
  <c r="G239" i="11"/>
  <c r="G245" i="11"/>
  <c r="G469" i="11"/>
  <c r="G475" i="11"/>
  <c r="G140" i="11"/>
  <c r="G275" i="11"/>
  <c r="G129" i="11"/>
  <c r="G698" i="11"/>
  <c r="G732" i="11"/>
  <c r="G85" i="11"/>
  <c r="F136" i="11"/>
  <c r="F246" i="11"/>
  <c r="F456" i="11"/>
  <c r="G343" i="11"/>
  <c r="G400" i="11"/>
  <c r="G233" i="11"/>
  <c r="G626" i="11"/>
  <c r="G304" i="11"/>
  <c r="G615" i="11"/>
  <c r="G500" i="11"/>
  <c r="G586" i="11"/>
  <c r="G302" i="11"/>
  <c r="G173" i="11"/>
  <c r="G610" i="11"/>
  <c r="G688" i="11"/>
  <c r="G272" i="11"/>
  <c r="G339" i="11"/>
  <c r="G229" i="11"/>
  <c r="G506" i="11"/>
  <c r="G636" i="11"/>
  <c r="G411" i="11"/>
  <c r="F525" i="11"/>
  <c r="F645" i="11"/>
  <c r="F679" i="11"/>
  <c r="G164" i="11"/>
  <c r="G108" i="10"/>
  <c r="G320" i="11"/>
  <c r="G678" i="11"/>
  <c r="G672" i="11"/>
  <c r="G416" i="11"/>
  <c r="G578" i="11"/>
  <c r="G317" i="11"/>
  <c r="G189" i="11"/>
  <c r="G167" i="11"/>
  <c r="G312" i="11"/>
  <c r="G617" i="11"/>
  <c r="G90" i="11"/>
  <c r="G588" i="11"/>
  <c r="G413" i="11"/>
  <c r="G115" i="11"/>
  <c r="G371" i="11"/>
  <c r="G247" i="11"/>
  <c r="G512" i="11"/>
  <c r="G365" i="11"/>
  <c r="G119" i="11"/>
  <c r="G215" i="11"/>
  <c r="G269" i="11"/>
  <c r="G565" i="11"/>
  <c r="G571" i="11"/>
  <c r="G292" i="11"/>
  <c r="G328" i="11"/>
  <c r="G149" i="11"/>
  <c r="G538" i="11"/>
  <c r="G716" i="11"/>
  <c r="G368" i="11"/>
  <c r="G473" i="11"/>
  <c r="G264" i="11"/>
  <c r="G131" i="11"/>
  <c r="G113" i="11"/>
  <c r="G353" i="11"/>
  <c r="G730" i="11"/>
  <c r="G492" i="11"/>
  <c r="G748" i="11"/>
  <c r="G295" i="11"/>
  <c r="G574" i="11"/>
  <c r="G425" i="11"/>
  <c r="G221" i="11"/>
  <c r="G437" i="11"/>
  <c r="G699" i="11"/>
  <c r="G286" i="11"/>
  <c r="G273" i="11"/>
  <c r="G460" i="11"/>
  <c r="G745" i="11"/>
  <c r="G199" i="11"/>
  <c r="G285" i="11"/>
  <c r="G629" i="11"/>
  <c r="G635" i="11"/>
  <c r="G330" i="11"/>
  <c r="F378" i="11"/>
  <c r="F126" i="11"/>
  <c r="G439" i="11"/>
  <c r="G97" i="11"/>
  <c r="G558" i="11"/>
  <c r="G533" i="11"/>
  <c r="G223" i="11"/>
  <c r="G420" i="11"/>
  <c r="G721" i="11"/>
  <c r="G486" i="11"/>
  <c r="G627" i="11"/>
  <c r="F417" i="11"/>
  <c r="G372" i="11"/>
  <c r="G621" i="11"/>
  <c r="G203" i="11"/>
  <c r="G731" i="11"/>
  <c r="G309" i="11"/>
  <c r="G713" i="11"/>
  <c r="G692" i="11"/>
  <c r="G212" i="11"/>
  <c r="G662" i="11"/>
  <c r="G172" i="11"/>
  <c r="F565" i="11"/>
  <c r="F137" i="11"/>
  <c r="G266" i="11"/>
  <c r="G493" i="11"/>
  <c r="G235" i="11"/>
  <c r="G603" i="11"/>
  <c r="G277" i="11"/>
  <c r="G389" i="11"/>
  <c r="G740" i="11"/>
  <c r="G677" i="11"/>
  <c r="G563" i="11"/>
  <c r="G600" i="11"/>
  <c r="G394" i="11"/>
  <c r="G284" i="11"/>
  <c r="G136" i="11"/>
  <c r="G222" i="11"/>
  <c r="G102" i="11"/>
  <c r="G523" i="11"/>
  <c r="G495" i="11"/>
  <c r="G689" i="11"/>
  <c r="G483" i="11"/>
  <c r="G481" i="11"/>
  <c r="G522" i="11"/>
  <c r="G583" i="11"/>
  <c r="G658" i="11"/>
  <c r="G587" i="11"/>
  <c r="G527" i="11"/>
  <c r="G379" i="11"/>
  <c r="G515" i="11"/>
  <c r="G395" i="11"/>
  <c r="G237" i="11"/>
  <c r="F719" i="11"/>
  <c r="F619" i="11"/>
  <c r="F144" i="11"/>
  <c r="F629" i="11"/>
  <c r="F403" i="11"/>
  <c r="F454" i="11"/>
  <c r="G105" i="11"/>
  <c r="F410" i="11"/>
  <c r="F159" i="11"/>
  <c r="F555" i="11"/>
  <c r="F468" i="11"/>
  <c r="G482" i="11"/>
  <c r="G271" i="11"/>
  <c r="F366" i="11"/>
  <c r="F230" i="11"/>
  <c r="F443" i="11"/>
  <c r="F665" i="11"/>
  <c r="F249" i="11"/>
  <c r="F472" i="11"/>
  <c r="F490" i="11"/>
  <c r="F355" i="11"/>
  <c r="G419" i="11"/>
  <c r="F563" i="11"/>
  <c r="F103" i="11"/>
  <c r="F97" i="11"/>
  <c r="F723" i="11"/>
  <c r="F662" i="11"/>
  <c r="F128" i="11"/>
  <c r="F419" i="11"/>
  <c r="F535" i="11"/>
  <c r="F688" i="11"/>
  <c r="F623" i="11"/>
  <c r="F117" i="11"/>
  <c r="F155" i="11"/>
  <c r="F339" i="11"/>
  <c r="F636" i="11"/>
  <c r="F292" i="11"/>
  <c r="F325" i="11"/>
  <c r="F492" i="11"/>
  <c r="F121" i="11"/>
  <c r="F487" i="11"/>
  <c r="F693" i="11"/>
  <c r="I71" i="10"/>
  <c r="G71" i="10" s="1"/>
  <c r="G69" i="10"/>
  <c r="I88" i="10"/>
  <c r="G104" i="10"/>
  <c r="I96" i="10"/>
  <c r="G86" i="10"/>
  <c r="D747" i="11" l="1"/>
  <c r="H747" i="11" s="1"/>
  <c r="D508" i="11"/>
  <c r="H508" i="11" s="1"/>
  <c r="E418" i="11"/>
  <c r="I418" i="11" s="1"/>
  <c r="E354" i="11"/>
  <c r="I354" i="11" s="1"/>
  <c r="D308" i="11"/>
  <c r="H308" i="11" s="1"/>
  <c r="D244" i="11"/>
  <c r="H244" i="11" s="1"/>
  <c r="E194" i="11"/>
  <c r="I194" i="11" s="1"/>
  <c r="E185" i="11"/>
  <c r="I185" i="11" s="1"/>
  <c r="E166" i="11"/>
  <c r="I166" i="11" s="1"/>
  <c r="E149" i="11"/>
  <c r="I149" i="11" s="1"/>
  <c r="E134" i="11"/>
  <c r="I134" i="11" s="1"/>
  <c r="E117" i="11"/>
  <c r="I117" i="11" s="1"/>
  <c r="D94" i="11"/>
  <c r="H94" i="11" s="1"/>
  <c r="D585" i="11"/>
  <c r="H585" i="11" s="1"/>
  <c r="D423" i="11"/>
  <c r="H423" i="11" s="1"/>
  <c r="D359" i="11"/>
  <c r="H359" i="11" s="1"/>
  <c r="D311" i="11"/>
  <c r="H311" i="11" s="1"/>
  <c r="D268" i="11"/>
  <c r="H268" i="11" s="1"/>
  <c r="D204" i="11"/>
  <c r="H204" i="11" s="1"/>
  <c r="E190" i="11"/>
  <c r="I190" i="11" s="1"/>
  <c r="E181" i="11"/>
  <c r="I181" i="11" s="1"/>
  <c r="E165" i="11"/>
  <c r="I165" i="11" s="1"/>
  <c r="E150" i="11"/>
  <c r="I150" i="11" s="1"/>
  <c r="E133" i="11"/>
  <c r="I133" i="11" s="1"/>
  <c r="E118" i="11"/>
  <c r="I118" i="11" s="1"/>
  <c r="D103" i="11"/>
  <c r="H103" i="11" s="1"/>
  <c r="E86" i="11"/>
  <c r="I86" i="11" s="1"/>
  <c r="D408" i="11"/>
  <c r="H408" i="11" s="1"/>
  <c r="D344" i="11"/>
  <c r="H344" i="11" s="1"/>
  <c r="D211" i="11"/>
  <c r="H211" i="11" s="1"/>
  <c r="D152" i="11"/>
  <c r="H152" i="11" s="1"/>
  <c r="D120" i="11"/>
  <c r="H120" i="11" s="1"/>
  <c r="D424" i="11"/>
  <c r="H424" i="11" s="1"/>
  <c r="D106" i="11"/>
  <c r="H106" i="11" s="1"/>
  <c r="E85" i="11"/>
  <c r="I85" i="11" s="1"/>
  <c r="D288" i="11"/>
  <c r="H288" i="11" s="1"/>
  <c r="D167" i="11"/>
  <c r="H167" i="11" s="1"/>
  <c r="D135" i="11"/>
  <c r="H135" i="11" s="1"/>
  <c r="D100" i="11"/>
  <c r="H100" i="11" s="1"/>
  <c r="D594" i="11"/>
  <c r="H594" i="11" s="1"/>
  <c r="D304" i="11"/>
  <c r="H304" i="11" s="1"/>
  <c r="E380" i="11"/>
  <c r="I380" i="11" s="1"/>
  <c r="D91" i="11"/>
  <c r="H91" i="11" s="1"/>
  <c r="E171" i="11"/>
  <c r="I171" i="11" s="1"/>
  <c r="E139" i="11"/>
  <c r="I139" i="11" s="1"/>
  <c r="E107" i="11"/>
  <c r="I107" i="11" s="1"/>
  <c r="D116" i="11"/>
  <c r="H116" i="11" s="1"/>
  <c r="E159" i="11"/>
  <c r="I159" i="11" s="1"/>
  <c r="D224" i="11"/>
  <c r="H224" i="11" s="1"/>
  <c r="D326" i="11"/>
  <c r="H326" i="11" s="1"/>
  <c r="D441" i="11"/>
  <c r="H441" i="11" s="1"/>
  <c r="D685" i="11"/>
  <c r="H685" i="11" s="1"/>
  <c r="D704" i="11"/>
  <c r="H704" i="11" s="1"/>
  <c r="D699" i="11"/>
  <c r="H699" i="11" s="1"/>
  <c r="D584" i="11"/>
  <c r="H584" i="11" s="1"/>
  <c r="D694" i="11"/>
  <c r="H694" i="11" s="1"/>
  <c r="D620" i="11"/>
  <c r="H620" i="11" s="1"/>
  <c r="D571" i="11"/>
  <c r="H571" i="11" s="1"/>
  <c r="D581" i="11"/>
  <c r="H581" i="11" s="1"/>
  <c r="D679" i="11"/>
  <c r="H679" i="11" s="1"/>
  <c r="D558" i="11"/>
  <c r="H558" i="11" s="1"/>
  <c r="D511" i="11"/>
  <c r="H511" i="11" s="1"/>
  <c r="D467" i="11"/>
  <c r="H467" i="11" s="1"/>
  <c r="D602" i="11"/>
  <c r="H602" i="11" s="1"/>
  <c r="D490" i="11"/>
  <c r="H490" i="11" s="1"/>
  <c r="D358" i="11"/>
  <c r="H358" i="11" s="1"/>
  <c r="E135" i="11"/>
  <c r="I135" i="11" s="1"/>
  <c r="D179" i="11"/>
  <c r="H179" i="11" s="1"/>
  <c r="D278" i="11"/>
  <c r="H278" i="11" s="1"/>
  <c r="E372" i="11"/>
  <c r="I372" i="11" s="1"/>
  <c r="E563" i="11"/>
  <c r="I563" i="11" s="1"/>
  <c r="D740" i="11"/>
  <c r="H740" i="11" s="1"/>
  <c r="D676" i="11"/>
  <c r="H676" i="11" s="1"/>
  <c r="D652" i="11"/>
  <c r="H652" i="11" s="1"/>
  <c r="D556" i="11"/>
  <c r="H556" i="11" s="1"/>
  <c r="D649" i="11"/>
  <c r="H649" i="11" s="1"/>
  <c r="D603" i="11"/>
  <c r="H603" i="11" s="1"/>
  <c r="D655" i="11"/>
  <c r="H655" i="11" s="1"/>
  <c r="D532" i="11"/>
  <c r="H532" i="11" s="1"/>
  <c r="D630" i="11"/>
  <c r="H630" i="11" s="1"/>
  <c r="D535" i="11"/>
  <c r="H535" i="11" s="1"/>
  <c r="D491" i="11"/>
  <c r="H491" i="11" s="1"/>
  <c r="D448" i="11"/>
  <c r="H448" i="11" s="1"/>
  <c r="D538" i="11"/>
  <c r="H538" i="11" s="1"/>
  <c r="I98" i="10"/>
  <c r="I101" i="10" s="1"/>
  <c r="D476" i="11"/>
  <c r="H476" i="11" s="1"/>
  <c r="E402" i="11"/>
  <c r="I402" i="11" s="1"/>
  <c r="D340" i="11"/>
  <c r="H340" i="11" s="1"/>
  <c r="D303" i="11"/>
  <c r="H303" i="11" s="1"/>
  <c r="D236" i="11"/>
  <c r="H236" i="11" s="1"/>
  <c r="E193" i="11"/>
  <c r="I193" i="11" s="1"/>
  <c r="D178" i="11"/>
  <c r="H178" i="11" s="1"/>
  <c r="D161" i="11"/>
  <c r="H161" i="11" s="1"/>
  <c r="D145" i="11"/>
  <c r="H145" i="11" s="1"/>
  <c r="D130" i="11"/>
  <c r="H130" i="11" s="1"/>
  <c r="D113" i="11"/>
  <c r="H113" i="11" s="1"/>
  <c r="E90" i="11"/>
  <c r="I90" i="11" s="1"/>
  <c r="E545" i="11"/>
  <c r="I545" i="11" s="1"/>
  <c r="D407" i="11"/>
  <c r="H407" i="11" s="1"/>
  <c r="D343" i="11"/>
  <c r="H343" i="11" s="1"/>
  <c r="D292" i="11"/>
  <c r="H292" i="11" s="1"/>
  <c r="D260" i="11"/>
  <c r="H260" i="11" s="1"/>
  <c r="D199" i="11"/>
  <c r="H199" i="11" s="1"/>
  <c r="E189" i="11"/>
  <c r="I189" i="11" s="1"/>
  <c r="D177" i="11"/>
  <c r="H177" i="11" s="1"/>
  <c r="D162" i="11"/>
  <c r="H162" i="11" s="1"/>
  <c r="D146" i="11"/>
  <c r="H146" i="11" s="1"/>
  <c r="D129" i="11"/>
  <c r="H129" i="11" s="1"/>
  <c r="D114" i="11"/>
  <c r="H114" i="11" s="1"/>
  <c r="D101" i="11"/>
  <c r="H101" i="11" s="1"/>
  <c r="D529" i="11"/>
  <c r="H529" i="11" s="1"/>
  <c r="E396" i="11"/>
  <c r="I396" i="11" s="1"/>
  <c r="D312" i="11"/>
  <c r="H312" i="11" s="1"/>
  <c r="D176" i="11"/>
  <c r="H176" i="11" s="1"/>
  <c r="D144" i="11"/>
  <c r="H144" i="11" s="1"/>
  <c r="D112" i="11"/>
  <c r="H112" i="11" s="1"/>
  <c r="D392" i="11"/>
  <c r="H392" i="11" s="1"/>
  <c r="E105" i="11"/>
  <c r="I105" i="11" s="1"/>
  <c r="E74" i="11"/>
  <c r="D227" i="11"/>
  <c r="H227" i="11" s="1"/>
  <c r="D159" i="11"/>
  <c r="H159" i="11" s="1"/>
  <c r="D127" i="11"/>
  <c r="H127" i="11" s="1"/>
  <c r="D92" i="11"/>
  <c r="H92" i="11" s="1"/>
  <c r="D486" i="11"/>
  <c r="H486" i="11" s="1"/>
  <c r="D200" i="11"/>
  <c r="H200" i="11" s="1"/>
  <c r="E348" i="11"/>
  <c r="I348" i="11" s="1"/>
  <c r="D87" i="11"/>
  <c r="H87" i="11" s="1"/>
  <c r="E163" i="11"/>
  <c r="I163" i="11" s="1"/>
  <c r="E131" i="11"/>
  <c r="I131" i="11" s="1"/>
  <c r="D84" i="11"/>
  <c r="H84" i="11" s="1"/>
  <c r="E127" i="11"/>
  <c r="I127" i="11" s="1"/>
  <c r="D171" i="11"/>
  <c r="H171" i="11" s="1"/>
  <c r="D259" i="11"/>
  <c r="H259" i="11" s="1"/>
  <c r="D352" i="11"/>
  <c r="H352" i="11" s="1"/>
  <c r="D505" i="11"/>
  <c r="H505" i="11" s="1"/>
  <c r="D669" i="11"/>
  <c r="H669" i="11" s="1"/>
  <c r="D688" i="11"/>
  <c r="H688" i="11" s="1"/>
  <c r="D667" i="11"/>
  <c r="H667" i="11" s="1"/>
  <c r="D568" i="11"/>
  <c r="H568" i="11" s="1"/>
  <c r="D658" i="11"/>
  <c r="H658" i="11" s="1"/>
  <c r="D611" i="11"/>
  <c r="H611" i="11" s="1"/>
  <c r="D555" i="11"/>
  <c r="H555" i="11" s="1"/>
  <c r="D545" i="11"/>
  <c r="H545" i="11" s="1"/>
  <c r="D656" i="11"/>
  <c r="H656" i="11" s="1"/>
  <c r="D544" i="11"/>
  <c r="H544" i="11" s="1"/>
  <c r="D499" i="11"/>
  <c r="H499" i="11" s="1"/>
  <c r="D456" i="11"/>
  <c r="H456" i="11" s="1"/>
  <c r="D547" i="11"/>
  <c r="H547" i="11" s="1"/>
  <c r="D458" i="11"/>
  <c r="H458" i="11" s="1"/>
  <c r="D105" i="11"/>
  <c r="H105" i="11" s="1"/>
  <c r="D147" i="11"/>
  <c r="H147" i="11" s="1"/>
  <c r="D192" i="11"/>
  <c r="H192" i="11" s="1"/>
  <c r="E300" i="11"/>
  <c r="I300" i="11" s="1"/>
  <c r="E404" i="11"/>
  <c r="I404" i="11" s="1"/>
  <c r="D705" i="11"/>
  <c r="H705" i="11" s="1"/>
  <c r="D724" i="11"/>
  <c r="H724" i="11" s="1"/>
  <c r="D663" i="11"/>
  <c r="H663" i="11" s="1"/>
  <c r="D612" i="11"/>
  <c r="H612" i="11" s="1"/>
  <c r="D730" i="11"/>
  <c r="H730" i="11" s="1"/>
  <c r="D631" i="11"/>
  <c r="H631" i="11" s="1"/>
  <c r="D591" i="11"/>
  <c r="H591" i="11" s="1"/>
  <c r="D621" i="11"/>
  <c r="H621" i="11" s="1"/>
  <c r="D718" i="11"/>
  <c r="H718" i="11" s="1"/>
  <c r="D598" i="11"/>
  <c r="H598" i="11" s="1"/>
  <c r="D523" i="11"/>
  <c r="H523" i="11" s="1"/>
  <c r="D480" i="11"/>
  <c r="H480" i="11" s="1"/>
  <c r="D439" i="11"/>
  <c r="H439" i="11" s="1"/>
  <c r="D522" i="11"/>
  <c r="H522" i="11" s="1"/>
  <c r="D398" i="11"/>
  <c r="H398" i="11" s="1"/>
  <c r="G88" i="10"/>
  <c r="E386" i="11"/>
  <c r="I386" i="11" s="1"/>
  <c r="D295" i="11"/>
  <c r="H295" i="11" s="1"/>
  <c r="E188" i="11"/>
  <c r="I188" i="11" s="1"/>
  <c r="E158" i="11"/>
  <c r="I158" i="11" s="1"/>
  <c r="E125" i="11"/>
  <c r="I125" i="11" s="1"/>
  <c r="E82" i="11"/>
  <c r="I82" i="11" s="1"/>
  <c r="D391" i="11"/>
  <c r="H391" i="11" s="1"/>
  <c r="D287" i="11"/>
  <c r="H287" i="11" s="1"/>
  <c r="E196" i="11"/>
  <c r="I196" i="11" s="1"/>
  <c r="E173" i="11"/>
  <c r="I173" i="11" s="1"/>
  <c r="E141" i="11"/>
  <c r="I141" i="11" s="1"/>
  <c r="E109" i="11"/>
  <c r="I109" i="11" s="1"/>
  <c r="D454" i="11"/>
  <c r="H454" i="11" s="1"/>
  <c r="D280" i="11"/>
  <c r="H280" i="11" s="1"/>
  <c r="D136" i="11"/>
  <c r="H136" i="11" s="1"/>
  <c r="D360" i="11"/>
  <c r="H360" i="11" s="1"/>
  <c r="I89" i="10"/>
  <c r="G89" i="10" s="1"/>
  <c r="D151" i="11"/>
  <c r="H151" i="11" s="1"/>
  <c r="D88" i="11"/>
  <c r="H88" i="11" s="1"/>
  <c r="D489" i="11"/>
  <c r="H489" i="11" s="1"/>
  <c r="D83" i="11"/>
  <c r="H83" i="11" s="1"/>
  <c r="E123" i="11"/>
  <c r="I123" i="11" s="1"/>
  <c r="D139" i="11"/>
  <c r="H139" i="11" s="1"/>
  <c r="E284" i="11"/>
  <c r="I284" i="11" s="1"/>
  <c r="E582" i="11"/>
  <c r="I582" i="11" s="1"/>
  <c r="D672" i="11"/>
  <c r="H672" i="11" s="1"/>
  <c r="D552" i="11"/>
  <c r="H552" i="11" s="1"/>
  <c r="D600" i="11"/>
  <c r="H600" i="11" s="1"/>
  <c r="D524" i="11"/>
  <c r="H524" i="11" s="1"/>
  <c r="D531" i="11"/>
  <c r="H531" i="11" s="1"/>
  <c r="D447" i="11"/>
  <c r="H447" i="11" s="1"/>
  <c r="D422" i="11"/>
  <c r="H422" i="11" s="1"/>
  <c r="D156" i="11"/>
  <c r="H156" i="11" s="1"/>
  <c r="D323" i="11"/>
  <c r="H323" i="11" s="1"/>
  <c r="D689" i="11"/>
  <c r="H689" i="11" s="1"/>
  <c r="D707" i="11"/>
  <c r="H707" i="11" s="1"/>
  <c r="D702" i="11"/>
  <c r="H702" i="11" s="1"/>
  <c r="D575" i="11"/>
  <c r="H575" i="11" s="1"/>
  <c r="D682" i="11"/>
  <c r="H682" i="11" s="1"/>
  <c r="D512" i="11"/>
  <c r="H512" i="11" s="1"/>
  <c r="D618" i="11"/>
  <c r="H618" i="11" s="1"/>
  <c r="D430" i="11"/>
  <c r="H430" i="11" s="1"/>
  <c r="D534" i="11"/>
  <c r="H534" i="11" s="1"/>
  <c r="E175" i="11"/>
  <c r="I175" i="11" s="1"/>
  <c r="D368" i="11"/>
  <c r="H368" i="11" s="1"/>
  <c r="D744" i="11"/>
  <c r="H744" i="11" s="1"/>
  <c r="D659" i="11"/>
  <c r="H659" i="11" s="1"/>
  <c r="D650" i="11"/>
  <c r="H650" i="11" s="1"/>
  <c r="D661" i="11"/>
  <c r="H661" i="11" s="1"/>
  <c r="D642" i="11"/>
  <c r="H642" i="11" s="1"/>
  <c r="D495" i="11"/>
  <c r="H495" i="11" s="1"/>
  <c r="D539" i="11"/>
  <c r="H539" i="11" s="1"/>
  <c r="D653" i="11"/>
  <c r="H653" i="11" s="1"/>
  <c r="D410" i="11"/>
  <c r="H410" i="11" s="1"/>
  <c r="D369" i="11"/>
  <c r="H369" i="11" s="1"/>
  <c r="D325" i="11"/>
  <c r="H325" i="11" s="1"/>
  <c r="D285" i="11"/>
  <c r="H285" i="11" s="1"/>
  <c r="D241" i="11"/>
  <c r="H241" i="11" s="1"/>
  <c r="D206" i="11"/>
  <c r="H206" i="11" s="1"/>
  <c r="D542" i="11"/>
  <c r="H542" i="11" s="1"/>
  <c r="D363" i="11"/>
  <c r="H363" i="11" s="1"/>
  <c r="D484" i="11"/>
  <c r="H484" i="11" s="1"/>
  <c r="D380" i="11"/>
  <c r="H380" i="11" s="1"/>
  <c r="D282" i="11"/>
  <c r="H282" i="11" s="1"/>
  <c r="D108" i="11"/>
  <c r="H108" i="11" s="1"/>
  <c r="E702" i="11"/>
  <c r="I702" i="11" s="1"/>
  <c r="E670" i="11"/>
  <c r="I670" i="11" s="1"/>
  <c r="E679" i="11"/>
  <c r="I679" i="11" s="1"/>
  <c r="E744" i="11"/>
  <c r="I744" i="11" s="1"/>
  <c r="E641" i="11"/>
  <c r="I641" i="11" s="1"/>
  <c r="E589" i="11"/>
  <c r="I589" i="11" s="1"/>
  <c r="E557" i="11"/>
  <c r="I557" i="11" s="1"/>
  <c r="E583" i="11"/>
  <c r="I583" i="11" s="1"/>
  <c r="E716" i="11"/>
  <c r="I716" i="11" s="1"/>
  <c r="E554" i="11"/>
  <c r="I554" i="11" s="1"/>
  <c r="E493" i="11"/>
  <c r="I493" i="11" s="1"/>
  <c r="E452" i="11"/>
  <c r="I452" i="11" s="1"/>
  <c r="E535" i="11"/>
  <c r="I535" i="11" s="1"/>
  <c r="E408" i="11"/>
  <c r="I408" i="11" s="1"/>
  <c r="E623" i="11"/>
  <c r="I623" i="11" s="1"/>
  <c r="E495" i="11"/>
  <c r="I495" i="11" s="1"/>
  <c r="E463" i="11"/>
  <c r="I463" i="11" s="1"/>
  <c r="E427" i="11"/>
  <c r="I427" i="11" s="1"/>
  <c r="E383" i="11"/>
  <c r="I383" i="11" s="1"/>
  <c r="E518" i="11"/>
  <c r="I518" i="11" s="1"/>
  <c r="E370" i="11"/>
  <c r="I370" i="11" s="1"/>
  <c r="D276" i="11"/>
  <c r="H276" i="11" s="1"/>
  <c r="E186" i="11"/>
  <c r="I186" i="11" s="1"/>
  <c r="D154" i="11"/>
  <c r="H154" i="11" s="1"/>
  <c r="D122" i="11"/>
  <c r="H122" i="11" s="1"/>
  <c r="E684" i="11"/>
  <c r="I684" i="11" s="1"/>
  <c r="D375" i="11"/>
  <c r="H375" i="11" s="1"/>
  <c r="D279" i="11"/>
  <c r="H279" i="11" s="1"/>
  <c r="E192" i="11"/>
  <c r="I192" i="11" s="1"/>
  <c r="D169" i="11"/>
  <c r="H169" i="11" s="1"/>
  <c r="D137" i="11"/>
  <c r="H137" i="11" s="1"/>
  <c r="E104" i="11"/>
  <c r="I104" i="11" s="1"/>
  <c r="E428" i="11"/>
  <c r="I428" i="11" s="1"/>
  <c r="D216" i="11"/>
  <c r="H216" i="11" s="1"/>
  <c r="D128" i="11"/>
  <c r="H128" i="11" s="1"/>
  <c r="D296" i="11"/>
  <c r="H296" i="11" s="1"/>
  <c r="D320" i="11"/>
  <c r="H320" i="11" s="1"/>
  <c r="D143" i="11"/>
  <c r="H143" i="11" s="1"/>
  <c r="E595" i="11"/>
  <c r="I595" i="11" s="1"/>
  <c r="E412" i="11"/>
  <c r="I412" i="11" s="1"/>
  <c r="D232" i="11"/>
  <c r="H232" i="11" s="1"/>
  <c r="E115" i="11"/>
  <c r="I115" i="11" s="1"/>
  <c r="D148" i="11"/>
  <c r="H148" i="11" s="1"/>
  <c r="D307" i="11"/>
  <c r="H307" i="11" s="1"/>
  <c r="D701" i="11"/>
  <c r="H701" i="11" s="1"/>
  <c r="D646" i="11"/>
  <c r="H646" i="11" s="1"/>
  <c r="D722" i="11"/>
  <c r="H722" i="11" s="1"/>
  <c r="D587" i="11"/>
  <c r="H587" i="11" s="1"/>
  <c r="D711" i="11"/>
  <c r="H711" i="11" s="1"/>
  <c r="D520" i="11"/>
  <c r="H520" i="11" s="1"/>
  <c r="D648" i="11"/>
  <c r="H648" i="11" s="1"/>
  <c r="D390" i="11"/>
  <c r="H390" i="11" s="1"/>
  <c r="E167" i="11"/>
  <c r="I167" i="11" s="1"/>
  <c r="D342" i="11"/>
  <c r="H342" i="11" s="1"/>
  <c r="D673" i="11"/>
  <c r="H673" i="11" s="1"/>
  <c r="D675" i="11"/>
  <c r="H675" i="11" s="1"/>
  <c r="D670" i="11"/>
  <c r="H670" i="11" s="1"/>
  <c r="D559" i="11"/>
  <c r="H559" i="11" s="1"/>
  <c r="D662" i="11"/>
  <c r="H662" i="11" s="1"/>
  <c r="D503" i="11"/>
  <c r="H503" i="11" s="1"/>
  <c r="D554" i="11"/>
  <c r="H554" i="11" s="1"/>
  <c r="D366" i="11"/>
  <c r="H366" i="11" s="1"/>
  <c r="E111" i="11"/>
  <c r="I111" i="11" s="1"/>
  <c r="D208" i="11"/>
  <c r="H208" i="11" s="1"/>
  <c r="D432" i="11"/>
  <c r="H432" i="11" s="1"/>
  <c r="D712" i="11"/>
  <c r="H712" i="11" s="1"/>
  <c r="D592" i="11"/>
  <c r="H592" i="11" s="1"/>
  <c r="D624" i="11"/>
  <c r="H624" i="11" s="1"/>
  <c r="D597" i="11"/>
  <c r="H597" i="11" s="1"/>
  <c r="D574" i="11"/>
  <c r="H574" i="11" s="1"/>
  <c r="D472" i="11"/>
  <c r="H472" i="11" s="1"/>
  <c r="D506" i="11"/>
  <c r="H506" i="11" s="1"/>
  <c r="D561" i="11"/>
  <c r="H561" i="11" s="1"/>
  <c r="D401" i="11"/>
  <c r="H401" i="11" s="1"/>
  <c r="D357" i="11"/>
  <c r="H357" i="11" s="1"/>
  <c r="D317" i="11"/>
  <c r="H317" i="11" s="1"/>
  <c r="D273" i="11"/>
  <c r="H273" i="11" s="1"/>
  <c r="D230" i="11"/>
  <c r="H230" i="11" s="1"/>
  <c r="D198" i="11"/>
  <c r="H198" i="11" s="1"/>
  <c r="D477" i="11"/>
  <c r="H477" i="11" s="1"/>
  <c r="D647" i="11"/>
  <c r="H647" i="11" s="1"/>
  <c r="D465" i="11"/>
  <c r="H465" i="11" s="1"/>
  <c r="D348" i="11"/>
  <c r="H348" i="11" s="1"/>
  <c r="D264" i="11"/>
  <c r="H264" i="11" s="1"/>
  <c r="E742" i="11"/>
  <c r="I742" i="11" s="1"/>
  <c r="E694" i="11"/>
  <c r="I694" i="11" s="1"/>
  <c r="E660" i="11"/>
  <c r="I660" i="11" s="1"/>
  <c r="E645" i="11"/>
  <c r="I645" i="11" s="1"/>
  <c r="E712" i="11"/>
  <c r="I712" i="11" s="1"/>
  <c r="E621" i="11"/>
  <c r="I621" i="11" s="1"/>
  <c r="E581" i="11"/>
  <c r="I581" i="11" s="1"/>
  <c r="E549" i="11"/>
  <c r="I549" i="11" s="1"/>
  <c r="E551" i="11"/>
  <c r="I551" i="11" s="1"/>
  <c r="E659" i="11"/>
  <c r="I659" i="11" s="1"/>
  <c r="E525" i="11"/>
  <c r="I525" i="11" s="1"/>
  <c r="E484" i="11"/>
  <c r="I484" i="11" s="1"/>
  <c r="E441" i="11"/>
  <c r="I441" i="11" s="1"/>
  <c r="E502" i="11"/>
  <c r="I502" i="11" s="1"/>
  <c r="E376" i="11"/>
  <c r="I376" i="11" s="1"/>
  <c r="D444" i="11"/>
  <c r="H444" i="11" s="1"/>
  <c r="D220" i="11"/>
  <c r="H220" i="11" s="1"/>
  <c r="E142" i="11"/>
  <c r="I142" i="11" s="1"/>
  <c r="D485" i="11"/>
  <c r="H485" i="11" s="1"/>
  <c r="D252" i="11"/>
  <c r="H252" i="11" s="1"/>
  <c r="E157" i="11"/>
  <c r="I157" i="11" s="1"/>
  <c r="E97" i="11"/>
  <c r="I97" i="11" s="1"/>
  <c r="D168" i="11"/>
  <c r="H168" i="11" s="1"/>
  <c r="E95" i="11"/>
  <c r="I95" i="11" s="1"/>
  <c r="D119" i="11"/>
  <c r="H119" i="11" s="1"/>
  <c r="D328" i="11"/>
  <c r="H328" i="11" s="1"/>
  <c r="D674" i="11"/>
  <c r="H674" i="11" s="1"/>
  <c r="D384" i="11"/>
  <c r="H384" i="11" s="1"/>
  <c r="D651" i="11"/>
  <c r="H651" i="11" s="1"/>
  <c r="D641" i="11"/>
  <c r="H641" i="11" s="1"/>
  <c r="D488" i="11"/>
  <c r="H488" i="11" s="1"/>
  <c r="D115" i="11"/>
  <c r="H115" i="11" s="1"/>
  <c r="D438" i="11"/>
  <c r="H438" i="11" s="1"/>
  <c r="D588" i="11"/>
  <c r="H588" i="11" s="1"/>
  <c r="D589" i="11"/>
  <c r="H589" i="11" s="1"/>
  <c r="D471" i="11"/>
  <c r="H471" i="11" s="1"/>
  <c r="D690" i="11"/>
  <c r="H690" i="11" s="1"/>
  <c r="D275" i="11"/>
  <c r="H275" i="11" s="1"/>
  <c r="D680" i="11"/>
  <c r="H680" i="11" s="1"/>
  <c r="D607" i="11"/>
  <c r="H607" i="11" s="1"/>
  <c r="D536" i="11"/>
  <c r="H536" i="11" s="1"/>
  <c r="D442" i="11"/>
  <c r="H442" i="11" s="1"/>
  <c r="D389" i="11"/>
  <c r="H389" i="11" s="1"/>
  <c r="D305" i="11"/>
  <c r="H305" i="11" s="1"/>
  <c r="D222" i="11"/>
  <c r="H222" i="11" s="1"/>
  <c r="D427" i="11"/>
  <c r="H427" i="11" s="1"/>
  <c r="D446" i="11"/>
  <c r="H446" i="11" s="1"/>
  <c r="D255" i="11"/>
  <c r="H255" i="11" s="1"/>
  <c r="E686" i="11"/>
  <c r="I686" i="11" s="1"/>
  <c r="E635" i="11"/>
  <c r="I635" i="11" s="1"/>
  <c r="E609" i="11"/>
  <c r="I609" i="11" s="1"/>
  <c r="E676" i="11"/>
  <c r="I676" i="11" s="1"/>
  <c r="E619" i="11"/>
  <c r="I619" i="11" s="1"/>
  <c r="E473" i="11"/>
  <c r="I473" i="11" s="1"/>
  <c r="E470" i="11"/>
  <c r="I470" i="11" s="1"/>
  <c r="E536" i="11"/>
  <c r="I536" i="11" s="1"/>
  <c r="E479" i="11"/>
  <c r="I479" i="11" s="1"/>
  <c r="E439" i="11"/>
  <c r="I439" i="11" s="1"/>
  <c r="E374" i="11"/>
  <c r="I374" i="11" s="1"/>
  <c r="E330" i="11"/>
  <c r="I330" i="11" s="1"/>
  <c r="E287" i="11"/>
  <c r="I287" i="11" s="1"/>
  <c r="E246" i="11"/>
  <c r="I246" i="11" s="1"/>
  <c r="E187" i="11"/>
  <c r="I187" i="11" s="1"/>
  <c r="E373" i="11"/>
  <c r="I373" i="11" s="1"/>
  <c r="E318" i="11"/>
  <c r="I318" i="11" s="1"/>
  <c r="E286" i="11"/>
  <c r="I286" i="11" s="1"/>
  <c r="E252" i="11"/>
  <c r="I252" i="11" s="1"/>
  <c r="E225" i="11"/>
  <c r="I225" i="11" s="1"/>
  <c r="E204" i="11"/>
  <c r="I204" i="11" s="1"/>
  <c r="E425" i="11"/>
  <c r="I425" i="11" s="1"/>
  <c r="E180" i="11"/>
  <c r="I180" i="11" s="1"/>
  <c r="E116" i="11"/>
  <c r="I116" i="11" s="1"/>
  <c r="E94" i="11"/>
  <c r="I94" i="11" s="1"/>
  <c r="E129" i="11"/>
  <c r="I129" i="11" s="1"/>
  <c r="E161" i="11"/>
  <c r="I161" i="11" s="1"/>
  <c r="D212" i="11"/>
  <c r="H212" i="11" s="1"/>
  <c r="E410" i="11"/>
  <c r="I410" i="11" s="1"/>
  <c r="E715" i="11"/>
  <c r="I715" i="11" s="1"/>
  <c r="E747" i="11"/>
  <c r="I747" i="11" s="1"/>
  <c r="D743" i="11"/>
  <c r="H743" i="11" s="1"/>
  <c r="D223" i="11"/>
  <c r="H223" i="11" s="1"/>
  <c r="E717" i="11"/>
  <c r="I717" i="11" s="1"/>
  <c r="D745" i="11"/>
  <c r="H745" i="11" s="1"/>
  <c r="D294" i="11"/>
  <c r="H294" i="11" s="1"/>
  <c r="D664" i="11"/>
  <c r="H664" i="11" s="1"/>
  <c r="D595" i="11"/>
  <c r="H595" i="11" s="1"/>
  <c r="D527" i="11"/>
  <c r="H527" i="11" s="1"/>
  <c r="D406" i="11"/>
  <c r="H406" i="11" s="1"/>
  <c r="D385" i="11"/>
  <c r="H385" i="11" s="1"/>
  <c r="D301" i="11"/>
  <c r="H301" i="11" s="1"/>
  <c r="D218" i="11"/>
  <c r="H218" i="11" s="1"/>
  <c r="D411" i="11"/>
  <c r="H411" i="11" s="1"/>
  <c r="D428" i="11"/>
  <c r="H428" i="11" s="1"/>
  <c r="D262" i="11"/>
  <c r="H262" i="11" s="1"/>
  <c r="E682" i="11"/>
  <c r="I682" i="11" s="1"/>
  <c r="E626" i="11"/>
  <c r="I626" i="11" s="1"/>
  <c r="E604" i="11"/>
  <c r="I604" i="11" s="1"/>
  <c r="E632" i="11"/>
  <c r="I632" i="11" s="1"/>
  <c r="E602" i="11"/>
  <c r="I602" i="11" s="1"/>
  <c r="E468" i="11"/>
  <c r="I468" i="11" s="1"/>
  <c r="E454" i="11"/>
  <c r="I454" i="11" s="1"/>
  <c r="E506" i="11"/>
  <c r="I506" i="11" s="1"/>
  <c r="E442" i="11"/>
  <c r="I442" i="11" s="1"/>
  <c r="E358" i="11"/>
  <c r="I358" i="11" s="1"/>
  <c r="E271" i="11"/>
  <c r="I271" i="11" s="1"/>
  <c r="E540" i="11"/>
  <c r="I540" i="11" s="1"/>
  <c r="E305" i="11"/>
  <c r="I305" i="11" s="1"/>
  <c r="E241" i="11"/>
  <c r="I241" i="11" s="1"/>
  <c r="E724" i="11"/>
  <c r="I724" i="11" s="1"/>
  <c r="E156" i="11"/>
  <c r="I156" i="11" s="1"/>
  <c r="D98" i="11"/>
  <c r="H98" i="11" s="1"/>
  <c r="D165" i="11"/>
  <c r="H165" i="11" s="1"/>
  <c r="E426" i="11"/>
  <c r="I426" i="11" s="1"/>
  <c r="D715" i="11"/>
  <c r="H715" i="11" s="1"/>
  <c r="D203" i="11"/>
  <c r="H203" i="11" s="1"/>
  <c r="D716" i="11"/>
  <c r="H716" i="11" s="1"/>
  <c r="D608" i="11"/>
  <c r="H608" i="11" s="1"/>
  <c r="D582" i="11"/>
  <c r="H582" i="11" s="1"/>
  <c r="D514" i="11"/>
  <c r="H514" i="11" s="1"/>
  <c r="D402" i="11"/>
  <c r="H402" i="11" s="1"/>
  <c r="D318" i="11"/>
  <c r="H318" i="11" s="1"/>
  <c r="D233" i="11"/>
  <c r="H233" i="11" s="1"/>
  <c r="D493" i="11"/>
  <c r="H493" i="11" s="1"/>
  <c r="D468" i="11"/>
  <c r="H468" i="11" s="1"/>
  <c r="D270" i="11"/>
  <c r="H270" i="11" s="1"/>
  <c r="E697" i="11"/>
  <c r="I697" i="11" s="1"/>
  <c r="E647" i="11"/>
  <c r="I647" i="11" s="1"/>
  <c r="E625" i="11"/>
  <c r="I625" i="11" s="1"/>
  <c r="E552" i="11"/>
  <c r="I552" i="11" s="1"/>
  <c r="E667" i="11"/>
  <c r="I667" i="11" s="1"/>
  <c r="E485" i="11"/>
  <c r="I485" i="11" s="1"/>
  <c r="E510" i="11"/>
  <c r="I510" i="11" s="1"/>
  <c r="E544" i="11"/>
  <c r="I544" i="11" s="1"/>
  <c r="E456" i="11"/>
  <c r="I456" i="11" s="1"/>
  <c r="E375" i="11"/>
  <c r="I375" i="11" s="1"/>
  <c r="E291" i="11"/>
  <c r="I291" i="11" s="1"/>
  <c r="E191" i="11"/>
  <c r="I191" i="11" s="1"/>
  <c r="E320" i="11"/>
  <c r="I320" i="11" s="1"/>
  <c r="E253" i="11"/>
  <c r="I253" i="11" s="1"/>
  <c r="E205" i="11"/>
  <c r="I205" i="11" s="1"/>
  <c r="E277" i="11"/>
  <c r="I277" i="11" s="1"/>
  <c r="E99" i="11"/>
  <c r="I99" i="11" s="1"/>
  <c r="D150" i="11"/>
  <c r="H150" i="11" s="1"/>
  <c r="D367" i="11"/>
  <c r="H367" i="11" s="1"/>
  <c r="E737" i="11"/>
  <c r="I737" i="11" s="1"/>
  <c r="E119" i="11"/>
  <c r="I119" i="11" s="1"/>
  <c r="D235" i="11"/>
  <c r="H235" i="11" s="1"/>
  <c r="D470" i="11"/>
  <c r="H470" i="11" s="1"/>
  <c r="D700" i="11"/>
  <c r="H700" i="11" s="1"/>
  <c r="D580" i="11"/>
  <c r="H580" i="11" s="1"/>
  <c r="D619" i="11"/>
  <c r="H619" i="11" s="1"/>
  <c r="D573" i="11"/>
  <c r="H573" i="11" s="1"/>
  <c r="D550" i="11"/>
  <c r="H550" i="11" s="1"/>
  <c r="D464" i="11"/>
  <c r="H464" i="11" s="1"/>
  <c r="D482" i="11"/>
  <c r="H482" i="11" s="1"/>
  <c r="D526" i="11"/>
  <c r="H526" i="11" s="1"/>
  <c r="D397" i="11"/>
  <c r="H397" i="11" s="1"/>
  <c r="D354" i="11"/>
  <c r="H354" i="11" s="1"/>
  <c r="D313" i="11"/>
  <c r="H313" i="11" s="1"/>
  <c r="D269" i="11"/>
  <c r="H269" i="11" s="1"/>
  <c r="D229" i="11"/>
  <c r="H229" i="11" s="1"/>
  <c r="D197" i="11"/>
  <c r="H197" i="11" s="1"/>
  <c r="D461" i="11"/>
  <c r="H461" i="11" s="1"/>
  <c r="D633" i="11"/>
  <c r="H633" i="11" s="1"/>
  <c r="D462" i="11"/>
  <c r="H462" i="11" s="1"/>
  <c r="D332" i="11"/>
  <c r="H332" i="11" s="1"/>
  <c r="D263" i="11"/>
  <c r="H263" i="11" s="1"/>
  <c r="E738" i="11"/>
  <c r="I738" i="11" s="1"/>
  <c r="E693" i="11"/>
  <c r="I693" i="11" s="1"/>
  <c r="E656" i="11"/>
  <c r="I656" i="11" s="1"/>
  <c r="E644" i="11"/>
  <c r="I644" i="11" s="1"/>
  <c r="E704" i="11"/>
  <c r="I704" i="11" s="1"/>
  <c r="E617" i="11"/>
  <c r="I617" i="11" s="1"/>
  <c r="E580" i="11"/>
  <c r="I580" i="11" s="1"/>
  <c r="E548" i="11"/>
  <c r="I548" i="11" s="1"/>
  <c r="E547" i="11"/>
  <c r="I547" i="11" s="1"/>
  <c r="E658" i="11"/>
  <c r="I658" i="11" s="1"/>
  <c r="E524" i="11"/>
  <c r="I524" i="11" s="1"/>
  <c r="E481" i="11"/>
  <c r="I481" i="11" s="1"/>
  <c r="E437" i="11"/>
  <c r="I437" i="11" s="1"/>
  <c r="E494" i="11"/>
  <c r="I494" i="11" s="1"/>
  <c r="E368" i="11"/>
  <c r="I368" i="11" s="1"/>
  <c r="E528" i="11"/>
  <c r="I528" i="11" s="1"/>
  <c r="E483" i="11"/>
  <c r="I483" i="11" s="1"/>
  <c r="E451" i="11"/>
  <c r="I451" i="11" s="1"/>
  <c r="E434" i="11"/>
  <c r="I434" i="11" s="1"/>
  <c r="D215" i="11"/>
  <c r="H215" i="11" s="1"/>
  <c r="D138" i="11"/>
  <c r="H138" i="11" s="1"/>
  <c r="D453" i="11"/>
  <c r="H453" i="11" s="1"/>
  <c r="D231" i="11"/>
  <c r="H231" i="11" s="1"/>
  <c r="D153" i="11"/>
  <c r="H153" i="11" s="1"/>
  <c r="D93" i="11"/>
  <c r="H93" i="11" s="1"/>
  <c r="D160" i="11"/>
  <c r="H160" i="11" s="1"/>
  <c r="E89" i="11"/>
  <c r="I89" i="11" s="1"/>
  <c r="D111" i="11"/>
  <c r="H111" i="11" s="1"/>
  <c r="D99" i="11"/>
  <c r="H99" i="11" s="1"/>
  <c r="D107" i="11"/>
  <c r="H107" i="11" s="1"/>
  <c r="D416" i="11"/>
  <c r="H416" i="11" s="1"/>
  <c r="D604" i="11"/>
  <c r="H604" i="11" s="1"/>
  <c r="D613" i="11"/>
  <c r="H613" i="11" s="1"/>
  <c r="D479" i="11"/>
  <c r="H479" i="11" s="1"/>
  <c r="D124" i="11"/>
  <c r="H124" i="11" s="1"/>
  <c r="D502" i="11"/>
  <c r="H502" i="11" s="1"/>
  <c r="D572" i="11"/>
  <c r="H572" i="11" s="1"/>
  <c r="D557" i="11"/>
  <c r="H557" i="11" s="1"/>
  <c r="D459" i="11"/>
  <c r="H459" i="11" s="1"/>
  <c r="D609" i="11"/>
  <c r="H609" i="11" s="1"/>
  <c r="E316" i="11"/>
  <c r="I316" i="11" s="1"/>
  <c r="D749" i="11"/>
  <c r="H749" i="11" s="1"/>
  <c r="D579" i="11"/>
  <c r="H579" i="11" s="1"/>
  <c r="D515" i="11"/>
  <c r="H515" i="11" s="1"/>
  <c r="D374" i="11"/>
  <c r="H374" i="11" s="1"/>
  <c r="D378" i="11"/>
  <c r="H378" i="11" s="1"/>
  <c r="D293" i="11"/>
  <c r="H293" i="11" s="1"/>
  <c r="D214" i="11"/>
  <c r="H214" i="11" s="1"/>
  <c r="D395" i="11"/>
  <c r="H395" i="11" s="1"/>
  <c r="D412" i="11"/>
  <c r="H412" i="11" s="1"/>
  <c r="D246" i="11"/>
  <c r="H246" i="11" s="1"/>
  <c r="E678" i="11"/>
  <c r="I678" i="11" s="1"/>
  <c r="E618" i="11"/>
  <c r="I618" i="11" s="1"/>
  <c r="E597" i="11"/>
  <c r="I597" i="11" s="1"/>
  <c r="E616" i="11"/>
  <c r="I616" i="11" s="1"/>
  <c r="E586" i="11"/>
  <c r="I586" i="11" s="1"/>
  <c r="E461" i="11"/>
  <c r="I461" i="11" s="1"/>
  <c r="E438" i="11"/>
  <c r="I438" i="11" s="1"/>
  <c r="E511" i="11"/>
  <c r="I511" i="11" s="1"/>
  <c r="E471" i="11"/>
  <c r="I471" i="11" s="1"/>
  <c r="E415" i="11"/>
  <c r="I415" i="11" s="1"/>
  <c r="E363" i="11"/>
  <c r="I363" i="11" s="1"/>
  <c r="E319" i="11"/>
  <c r="I319" i="11" s="1"/>
  <c r="E278" i="11"/>
  <c r="I278" i="11" s="1"/>
  <c r="E235" i="11"/>
  <c r="I235" i="11" s="1"/>
  <c r="E640" i="11"/>
  <c r="I640" i="11" s="1"/>
  <c r="E340" i="11"/>
  <c r="I340" i="11" s="1"/>
  <c r="E308" i="11"/>
  <c r="I308" i="11" s="1"/>
  <c r="E276" i="11"/>
  <c r="I276" i="11" s="1"/>
  <c r="E244" i="11"/>
  <c r="I244" i="11" s="1"/>
  <c r="E220" i="11"/>
  <c r="I220" i="11" s="1"/>
  <c r="E198" i="11"/>
  <c r="I198" i="11" s="1"/>
  <c r="E393" i="11"/>
  <c r="I393" i="11" s="1"/>
  <c r="E164" i="11"/>
  <c r="I164" i="11" s="1"/>
  <c r="E100" i="11"/>
  <c r="I100" i="11" s="1"/>
  <c r="D102" i="11"/>
  <c r="H102" i="11" s="1"/>
  <c r="E137" i="11"/>
  <c r="I137" i="11" s="1"/>
  <c r="E169" i="11"/>
  <c r="I169" i="11" s="1"/>
  <c r="E248" i="11"/>
  <c r="I248" i="11" s="1"/>
  <c r="D437" i="11"/>
  <c r="H437" i="11" s="1"/>
  <c r="E723" i="11"/>
  <c r="I723" i="11" s="1"/>
  <c r="D719" i="11"/>
  <c r="H719" i="11" s="1"/>
  <c r="E146" i="11"/>
  <c r="I146" i="11" s="1"/>
  <c r="D351" i="11"/>
  <c r="H351" i="11" s="1"/>
  <c r="E733" i="11"/>
  <c r="I733" i="11" s="1"/>
  <c r="D123" i="11"/>
  <c r="H123" i="11" s="1"/>
  <c r="D400" i="11"/>
  <c r="H400" i="11" s="1"/>
  <c r="D639" i="11"/>
  <c r="H639" i="11" s="1"/>
  <c r="D629" i="11"/>
  <c r="H629" i="11" s="1"/>
  <c r="D483" i="11"/>
  <c r="H483" i="11" s="1"/>
  <c r="D593" i="11"/>
  <c r="H593" i="11" s="1"/>
  <c r="D362" i="11"/>
  <c r="H362" i="11" s="1"/>
  <c r="D277" i="11"/>
  <c r="H277" i="11" s="1"/>
  <c r="D202" i="11"/>
  <c r="H202" i="11" s="1"/>
  <c r="D347" i="11"/>
  <c r="H347" i="11" s="1"/>
  <c r="D364" i="11"/>
  <c r="H364" i="11" s="1"/>
  <c r="D239" i="11"/>
  <c r="H239" i="11" s="1"/>
  <c r="E666" i="11"/>
  <c r="I666" i="11" s="1"/>
  <c r="E728" i="11"/>
  <c r="I728" i="11" s="1"/>
  <c r="E585" i="11"/>
  <c r="I585" i="11" s="1"/>
  <c r="E567" i="11"/>
  <c r="I567" i="11" s="1"/>
  <c r="E532" i="11"/>
  <c r="I532" i="11" s="1"/>
  <c r="E445" i="11"/>
  <c r="I445" i="11" s="1"/>
  <c r="E392" i="11"/>
  <c r="I392" i="11" s="1"/>
  <c r="E490" i="11"/>
  <c r="I490" i="11" s="1"/>
  <c r="E422" i="11"/>
  <c r="I422" i="11" s="1"/>
  <c r="E335" i="11"/>
  <c r="I335" i="11" s="1"/>
  <c r="E251" i="11"/>
  <c r="I251" i="11" s="1"/>
  <c r="E389" i="11"/>
  <c r="I389" i="11" s="1"/>
  <c r="E289" i="11"/>
  <c r="I289" i="11" s="1"/>
  <c r="E228" i="11"/>
  <c r="I228" i="11" s="1"/>
  <c r="E523" i="11"/>
  <c r="I523" i="11" s="1"/>
  <c r="E124" i="11"/>
  <c r="I124" i="11" s="1"/>
  <c r="D117" i="11"/>
  <c r="H117" i="11" s="1"/>
  <c r="D181" i="11"/>
  <c r="H181" i="11" s="1"/>
  <c r="E615" i="11"/>
  <c r="I615" i="11" s="1"/>
  <c r="D731" i="11"/>
  <c r="H731" i="11" s="1"/>
  <c r="D310" i="11"/>
  <c r="H310" i="11" s="1"/>
  <c r="D660" i="11"/>
  <c r="H660" i="11" s="1"/>
  <c r="D583" i="11"/>
  <c r="H583" i="11" s="1"/>
  <c r="D519" i="11"/>
  <c r="H519" i="11" s="1"/>
  <c r="D382" i="11"/>
  <c r="H382" i="11" s="1"/>
  <c r="D381" i="11"/>
  <c r="H381" i="11" s="1"/>
  <c r="D297" i="11"/>
  <c r="H297" i="11" s="1"/>
  <c r="D217" i="11"/>
  <c r="H217" i="11" s="1"/>
  <c r="D403" i="11"/>
  <c r="H403" i="11" s="1"/>
  <c r="D420" i="11"/>
  <c r="H420" i="11" s="1"/>
  <c r="D247" i="11"/>
  <c r="H247" i="11" s="1"/>
  <c r="E681" i="11"/>
  <c r="I681" i="11" s="1"/>
  <c r="E622" i="11"/>
  <c r="I622" i="11" s="1"/>
  <c r="E601" i="11"/>
  <c r="I601" i="11" s="1"/>
  <c r="E624" i="11"/>
  <c r="I624" i="11" s="1"/>
  <c r="E594" i="11"/>
  <c r="I594" i="11" s="1"/>
  <c r="E465" i="11"/>
  <c r="I465" i="11" s="1"/>
  <c r="E446" i="11"/>
  <c r="I446" i="11" s="1"/>
  <c r="E504" i="11"/>
  <c r="I504" i="11" s="1"/>
  <c r="E440" i="11"/>
  <c r="I440" i="11" s="1"/>
  <c r="E355" i="11"/>
  <c r="I355" i="11" s="1"/>
  <c r="E270" i="11"/>
  <c r="I270" i="11" s="1"/>
  <c r="E534" i="11"/>
  <c r="I534" i="11" s="1"/>
  <c r="E304" i="11"/>
  <c r="I304" i="11" s="1"/>
  <c r="E237" i="11"/>
  <c r="I237" i="11" s="1"/>
  <c r="E631" i="11"/>
  <c r="I631" i="11" s="1"/>
  <c r="E152" i="11"/>
  <c r="I152" i="11" s="1"/>
  <c r="E101" i="11"/>
  <c r="I101" i="11" s="1"/>
  <c r="D166" i="11"/>
  <c r="H166" i="11" s="1"/>
  <c r="D431" i="11"/>
  <c r="H431" i="11" s="1"/>
  <c r="D717" i="11"/>
  <c r="H717" i="11" s="1"/>
  <c r="D140" i="11"/>
  <c r="H140" i="11" s="1"/>
  <c r="D291" i="11"/>
  <c r="H291" i="11" s="1"/>
  <c r="D626" i="11"/>
  <c r="H626" i="11" s="1"/>
  <c r="D668" i="11"/>
  <c r="H668" i="11" s="1"/>
  <c r="D746" i="11"/>
  <c r="H746" i="11" s="1"/>
  <c r="D599" i="11"/>
  <c r="H599" i="11" s="1"/>
  <c r="D516" i="11"/>
  <c r="H516" i="11" s="1"/>
  <c r="D528" i="11"/>
  <c r="H528" i="11" s="1"/>
  <c r="D443" i="11"/>
  <c r="H443" i="11" s="1"/>
  <c r="D414" i="11"/>
  <c r="H414" i="11" s="1"/>
  <c r="D429" i="11"/>
  <c r="H429" i="11" s="1"/>
  <c r="D386" i="11"/>
  <c r="H386" i="11" s="1"/>
  <c r="D345" i="11"/>
  <c r="H345" i="11" s="1"/>
  <c r="D302" i="11"/>
  <c r="H302" i="11" s="1"/>
  <c r="D258" i="11"/>
  <c r="H258" i="11" s="1"/>
  <c r="D221" i="11"/>
  <c r="H221" i="11" s="1"/>
  <c r="D189" i="11"/>
  <c r="H189" i="11" s="1"/>
  <c r="D335" i="11"/>
  <c r="H335" i="11" s="1"/>
  <c r="E110" i="11"/>
  <c r="I110" i="11" s="1"/>
  <c r="E184" i="11"/>
  <c r="I184" i="11" s="1"/>
  <c r="D376" i="11"/>
  <c r="H376" i="11" s="1"/>
  <c r="E179" i="11"/>
  <c r="I179" i="11" s="1"/>
  <c r="E155" i="11"/>
  <c r="I155" i="11" s="1"/>
  <c r="D736" i="11"/>
  <c r="H736" i="11" s="1"/>
  <c r="D622" i="11"/>
  <c r="H622" i="11" s="1"/>
  <c r="D219" i="11"/>
  <c r="H219" i="11" s="1"/>
  <c r="D623" i="11"/>
  <c r="H623" i="11" s="1"/>
  <c r="D498" i="11"/>
  <c r="H498" i="11" s="1"/>
  <c r="D562" i="11"/>
  <c r="H562" i="11" s="1"/>
  <c r="D537" i="11"/>
  <c r="H537" i="11" s="1"/>
  <c r="D433" i="11"/>
  <c r="H433" i="11" s="1"/>
  <c r="D261" i="11"/>
  <c r="H261" i="11" s="1"/>
  <c r="D578" i="11"/>
  <c r="H578" i="11" s="1"/>
  <c r="E726" i="11"/>
  <c r="I726" i="11" s="1"/>
  <c r="E680" i="11"/>
  <c r="I680" i="11" s="1"/>
  <c r="E542" i="11"/>
  <c r="I542" i="11" s="1"/>
  <c r="E603" i="11"/>
  <c r="I603" i="11" s="1"/>
  <c r="E503" i="11"/>
  <c r="I503" i="11" s="1"/>
  <c r="E406" i="11"/>
  <c r="I406" i="11" s="1"/>
  <c r="E310" i="11"/>
  <c r="I310" i="11" s="1"/>
  <c r="E219" i="11"/>
  <c r="I219" i="11" s="1"/>
  <c r="E334" i="11"/>
  <c r="I334" i="11" s="1"/>
  <c r="E268" i="11"/>
  <c r="I268" i="11" s="1"/>
  <c r="E214" i="11"/>
  <c r="I214" i="11" s="1"/>
  <c r="E361" i="11"/>
  <c r="I361" i="11" s="1"/>
  <c r="D85" i="11"/>
  <c r="H85" i="11" s="1"/>
  <c r="E145" i="11"/>
  <c r="I145" i="11" s="1"/>
  <c r="E346" i="11"/>
  <c r="I346" i="11" s="1"/>
  <c r="E731" i="11"/>
  <c r="I731" i="11" s="1"/>
  <c r="E162" i="11"/>
  <c r="I162" i="11" s="1"/>
  <c r="D713" i="11"/>
  <c r="H713" i="11" s="1"/>
  <c r="D709" i="11"/>
  <c r="H709" i="11" s="1"/>
  <c r="D734" i="11"/>
  <c r="H734" i="11" s="1"/>
  <c r="D426" i="11"/>
  <c r="H426" i="11" s="1"/>
  <c r="D257" i="11"/>
  <c r="H257" i="11" s="1"/>
  <c r="D543" i="11"/>
  <c r="H543" i="11" s="1"/>
  <c r="E718" i="11"/>
  <c r="I718" i="11" s="1"/>
  <c r="E663" i="11"/>
  <c r="I663" i="11" s="1"/>
  <c r="E538" i="11"/>
  <c r="I538" i="11" s="1"/>
  <c r="E587" i="11"/>
  <c r="I587" i="11" s="1"/>
  <c r="E474" i="11"/>
  <c r="I474" i="11" s="1"/>
  <c r="E314" i="11"/>
  <c r="I314" i="11" s="1"/>
  <c r="E337" i="11"/>
  <c r="I337" i="11" s="1"/>
  <c r="E217" i="11"/>
  <c r="I217" i="11" s="1"/>
  <c r="E92" i="11"/>
  <c r="I92" i="11" s="1"/>
  <c r="D228" i="11"/>
  <c r="H228" i="11" s="1"/>
  <c r="E108" i="11"/>
  <c r="I108" i="11" s="1"/>
  <c r="D564" i="11"/>
  <c r="H564" i="11" s="1"/>
  <c r="D475" i="11"/>
  <c r="H475" i="11" s="1"/>
  <c r="D361" i="11"/>
  <c r="H361" i="11" s="1"/>
  <c r="D201" i="11"/>
  <c r="H201" i="11" s="1"/>
  <c r="D356" i="11"/>
  <c r="H356" i="11" s="1"/>
  <c r="E665" i="11"/>
  <c r="I665" i="11" s="1"/>
  <c r="E584" i="11"/>
  <c r="I584" i="11" s="1"/>
  <c r="E529" i="11"/>
  <c r="I529" i="11" s="1"/>
  <c r="E384" i="11"/>
  <c r="I384" i="11" s="1"/>
  <c r="E419" i="11"/>
  <c r="I419" i="11" s="1"/>
  <c r="E247" i="11"/>
  <c r="I247" i="11" s="1"/>
  <c r="E288" i="11"/>
  <c r="I288" i="11" s="1"/>
  <c r="E433" i="11"/>
  <c r="I433" i="11" s="1"/>
  <c r="D118" i="11"/>
  <c r="H118" i="11" s="1"/>
  <c r="D617" i="11"/>
  <c r="H617" i="11" s="1"/>
  <c r="D163" i="11"/>
  <c r="H163" i="11" s="1"/>
  <c r="D681" i="11"/>
  <c r="H681" i="11" s="1"/>
  <c r="D686" i="11"/>
  <c r="H686" i="11" s="1"/>
  <c r="D666" i="11"/>
  <c r="H666" i="11" s="1"/>
  <c r="D586" i="11"/>
  <c r="H586" i="11" s="1"/>
  <c r="D418" i="11"/>
  <c r="H418" i="11" s="1"/>
  <c r="D334" i="11"/>
  <c r="H334" i="11" s="1"/>
  <c r="D249" i="11"/>
  <c r="H249" i="11" s="1"/>
  <c r="D706" i="11"/>
  <c r="H706" i="11" s="1"/>
  <c r="D355" i="11"/>
  <c r="H355" i="11" s="1"/>
  <c r="D436" i="11"/>
  <c r="H436" i="11" s="1"/>
  <c r="D298" i="11"/>
  <c r="H298" i="11" s="1"/>
  <c r="D104" i="11"/>
  <c r="H104" i="11" s="1"/>
  <c r="E685" i="11"/>
  <c r="I685" i="11" s="1"/>
  <c r="E703" i="11"/>
  <c r="I703" i="11" s="1"/>
  <c r="E736" i="11"/>
  <c r="I736" i="11" s="1"/>
  <c r="E605" i="11"/>
  <c r="I605" i="11" s="1"/>
  <c r="E564" i="11"/>
  <c r="I564" i="11" s="1"/>
  <c r="E575" i="11"/>
  <c r="I575" i="11" s="1"/>
  <c r="E610" i="11"/>
  <c r="I610" i="11" s="1"/>
  <c r="E501" i="11"/>
  <c r="I501" i="11" s="1"/>
  <c r="E449" i="11"/>
  <c r="I449" i="11" s="1"/>
  <c r="E462" i="11"/>
  <c r="I462" i="11" s="1"/>
  <c r="E651" i="11"/>
  <c r="I651" i="11" s="1"/>
  <c r="E491" i="11"/>
  <c r="I491" i="11" s="1"/>
  <c r="E443" i="11"/>
  <c r="I443" i="11" s="1"/>
  <c r="E403" i="11"/>
  <c r="I403" i="11" s="1"/>
  <c r="E359" i="11"/>
  <c r="I359" i="11" s="1"/>
  <c r="E315" i="11"/>
  <c r="I315" i="11" s="1"/>
  <c r="E275" i="11"/>
  <c r="I275" i="11" s="1"/>
  <c r="E231" i="11"/>
  <c r="I231" i="11" s="1"/>
  <c r="E566" i="11"/>
  <c r="I566" i="11" s="1"/>
  <c r="E338" i="11"/>
  <c r="I338" i="11" s="1"/>
  <c r="E306" i="11"/>
  <c r="I306" i="11" s="1"/>
  <c r="E274" i="11"/>
  <c r="I274" i="11" s="1"/>
  <c r="E242" i="11"/>
  <c r="I242" i="11" s="1"/>
  <c r="E218" i="11"/>
  <c r="I218" i="11" s="1"/>
  <c r="E197" i="11"/>
  <c r="I197" i="11" s="1"/>
  <c r="E385" i="11"/>
  <c r="I385" i="11" s="1"/>
  <c r="E160" i="11"/>
  <c r="I160" i="11" s="1"/>
  <c r="E96" i="11"/>
  <c r="I96" i="11" s="1"/>
  <c r="D97" i="11"/>
  <c r="H97" i="11" s="1"/>
  <c r="E130" i="11"/>
  <c r="I130" i="11" s="1"/>
  <c r="D191" i="11"/>
  <c r="H191" i="11" s="1"/>
  <c r="E725" i="11"/>
  <c r="I725" i="11" s="1"/>
  <c r="E87" i="11"/>
  <c r="I87" i="11" s="1"/>
  <c r="D473" i="11"/>
  <c r="H473" i="11" s="1"/>
  <c r="D576" i="11"/>
  <c r="H576" i="11" s="1"/>
  <c r="D565" i="11"/>
  <c r="H565" i="11" s="1"/>
  <c r="D463" i="11"/>
  <c r="H463" i="11" s="1"/>
  <c r="D518" i="11"/>
  <c r="H518" i="11" s="1"/>
  <c r="D353" i="11"/>
  <c r="H353" i="11" s="1"/>
  <c r="D266" i="11"/>
  <c r="H266" i="11" s="1"/>
  <c r="D194" i="11"/>
  <c r="H194" i="11" s="1"/>
  <c r="D610" i="11"/>
  <c r="H610" i="11" s="1"/>
  <c r="D314" i="11"/>
  <c r="H314" i="11" s="1"/>
  <c r="E706" i="11"/>
  <c r="I706" i="11" s="1"/>
  <c r="E695" i="11"/>
  <c r="I695" i="11" s="1"/>
  <c r="E653" i="11"/>
  <c r="I653" i="11" s="1"/>
  <c r="E561" i="11"/>
  <c r="I561" i="11" s="1"/>
  <c r="E748" i="11"/>
  <c r="I748" i="11" s="1"/>
  <c r="E500" i="11"/>
  <c r="I500" i="11" s="1"/>
  <c r="E555" i="11"/>
  <c r="I555" i="11" s="1"/>
  <c r="E650" i="11"/>
  <c r="I650" i="11" s="1"/>
  <c r="E466" i="11"/>
  <c r="I466" i="11" s="1"/>
  <c r="E390" i="11"/>
  <c r="I390" i="11" s="1"/>
  <c r="E303" i="11"/>
  <c r="I303" i="11" s="1"/>
  <c r="E211" i="11"/>
  <c r="I211" i="11" s="1"/>
  <c r="E329" i="11"/>
  <c r="I329" i="11" s="1"/>
  <c r="E265" i="11"/>
  <c r="I265" i="11" s="1"/>
  <c r="E212" i="11"/>
  <c r="I212" i="11" s="1"/>
  <c r="E345" i="11"/>
  <c r="I345" i="11" s="1"/>
  <c r="D89" i="11"/>
  <c r="H89" i="11" s="1"/>
  <c r="D141" i="11"/>
  <c r="H141" i="11" s="1"/>
  <c r="E264" i="11"/>
  <c r="I264" i="11" s="1"/>
  <c r="E743" i="11"/>
  <c r="I743" i="11" s="1"/>
  <c r="D131" i="11"/>
  <c r="H131" i="11" s="1"/>
  <c r="E515" i="11"/>
  <c r="I515" i="11" s="1"/>
  <c r="D596" i="11"/>
  <c r="H596" i="11" s="1"/>
  <c r="D605" i="11"/>
  <c r="H605" i="11" s="1"/>
  <c r="D455" i="11"/>
  <c r="H455" i="11" s="1"/>
  <c r="D434" i="11"/>
  <c r="H434" i="11" s="1"/>
  <c r="D349" i="11"/>
  <c r="H349" i="11" s="1"/>
  <c r="D265" i="11"/>
  <c r="H265" i="11" s="1"/>
  <c r="D193" i="11"/>
  <c r="H193" i="11" s="1"/>
  <c r="D601" i="11"/>
  <c r="H601" i="11" s="1"/>
  <c r="D330" i="11"/>
  <c r="H330" i="11" s="1"/>
  <c r="E730" i="11"/>
  <c r="I730" i="11" s="1"/>
  <c r="E648" i="11"/>
  <c r="I648" i="11" s="1"/>
  <c r="E688" i="11"/>
  <c r="I688" i="11" s="1"/>
  <c r="E576" i="11"/>
  <c r="I576" i="11" s="1"/>
  <c r="E543" i="11"/>
  <c r="I543" i="11" s="1"/>
  <c r="E517" i="11"/>
  <c r="I517" i="11" s="1"/>
  <c r="E649" i="11"/>
  <c r="I649" i="11" s="1"/>
  <c r="E352" i="11"/>
  <c r="I352" i="11" s="1"/>
  <c r="E480" i="11"/>
  <c r="I480" i="11" s="1"/>
  <c r="E407" i="11"/>
  <c r="I407" i="11" s="1"/>
  <c r="E323" i="11"/>
  <c r="I323" i="11" s="1"/>
  <c r="E238" i="11"/>
  <c r="I238" i="11" s="1"/>
  <c r="E349" i="11"/>
  <c r="I349" i="11" s="1"/>
  <c r="E280" i="11"/>
  <c r="I280" i="11" s="1"/>
  <c r="E221" i="11"/>
  <c r="I221" i="11" s="1"/>
  <c r="E401" i="11"/>
  <c r="I401" i="11" s="1"/>
  <c r="E102" i="11"/>
  <c r="I102" i="11" s="1"/>
  <c r="D126" i="11"/>
  <c r="H126" i="11" s="1"/>
  <c r="D207" i="11"/>
  <c r="H207" i="11" s="1"/>
  <c r="E713" i="11"/>
  <c r="I713" i="11" s="1"/>
  <c r="D741" i="11"/>
  <c r="H741" i="11" s="1"/>
  <c r="E272" i="11"/>
  <c r="I272" i="11" s="1"/>
  <c r="E729" i="11"/>
  <c r="I729" i="11" s="1"/>
  <c r="D327" i="11"/>
  <c r="H327" i="11" s="1"/>
  <c r="E98" i="11"/>
  <c r="I98" i="11" s="1"/>
  <c r="E182" i="11"/>
  <c r="I182" i="11" s="1"/>
  <c r="E364" i="11"/>
  <c r="I364" i="11" s="1"/>
  <c r="D175" i="11"/>
  <c r="H175" i="11" s="1"/>
  <c r="E147" i="11"/>
  <c r="I147" i="11" s="1"/>
  <c r="D720" i="11"/>
  <c r="H720" i="11" s="1"/>
  <c r="D590" i="11"/>
  <c r="H590" i="11" s="1"/>
  <c r="D251" i="11"/>
  <c r="H251" i="11" s="1"/>
  <c r="D615" i="11"/>
  <c r="H615" i="11" s="1"/>
  <c r="D466" i="11"/>
  <c r="H466" i="11" s="1"/>
  <c r="D693" i="11"/>
  <c r="H693" i="11" s="1"/>
  <c r="D695" i="11"/>
  <c r="H695" i="11" s="1"/>
  <c r="D421" i="11"/>
  <c r="H421" i="11" s="1"/>
  <c r="D250" i="11"/>
  <c r="H250" i="11" s="1"/>
  <c r="D510" i="11"/>
  <c r="H510" i="11" s="1"/>
  <c r="E710" i="11"/>
  <c r="I710" i="11" s="1"/>
  <c r="E661" i="11"/>
  <c r="I661" i="11" s="1"/>
  <c r="E522" i="11"/>
  <c r="I522" i="11" s="1"/>
  <c r="E571" i="11"/>
  <c r="I571" i="11" s="1"/>
  <c r="E487" i="11"/>
  <c r="I487" i="11" s="1"/>
  <c r="E395" i="11"/>
  <c r="I395" i="11" s="1"/>
  <c r="E298" i="11"/>
  <c r="I298" i="11" s="1"/>
  <c r="E203" i="11"/>
  <c r="I203" i="11" s="1"/>
  <c r="E324" i="11"/>
  <c r="I324" i="11" s="1"/>
  <c r="E260" i="11"/>
  <c r="I260" i="11" s="1"/>
  <c r="E209" i="11"/>
  <c r="I209" i="11" s="1"/>
  <c r="E325" i="11"/>
  <c r="I325" i="11" s="1"/>
  <c r="E91" i="11"/>
  <c r="I91" i="11" s="1"/>
  <c r="E153" i="11"/>
  <c r="I153" i="11" s="1"/>
  <c r="E378" i="11"/>
  <c r="I378" i="11" s="1"/>
  <c r="E739" i="11"/>
  <c r="I739" i="11" s="1"/>
  <c r="E178" i="11"/>
  <c r="I178" i="11" s="1"/>
  <c r="D729" i="11"/>
  <c r="H729" i="11" s="1"/>
  <c r="D728" i="11"/>
  <c r="H728" i="11" s="1"/>
  <c r="D606" i="11"/>
  <c r="H606" i="11" s="1"/>
  <c r="D405" i="11"/>
  <c r="H405" i="11" s="1"/>
  <c r="D234" i="11"/>
  <c r="H234" i="11" s="1"/>
  <c r="D478" i="11"/>
  <c r="H478" i="11" s="1"/>
  <c r="E698" i="11"/>
  <c r="I698" i="11" s="1"/>
  <c r="E629" i="11"/>
  <c r="I629" i="11" s="1"/>
  <c r="E683" i="11"/>
  <c r="I683" i="11" s="1"/>
  <c r="E519" i="11"/>
  <c r="I519" i="11" s="1"/>
  <c r="E458" i="11"/>
  <c r="I458" i="11" s="1"/>
  <c r="E294" i="11"/>
  <c r="I294" i="11" s="1"/>
  <c r="E321" i="11"/>
  <c r="I321" i="11" s="1"/>
  <c r="E206" i="11"/>
  <c r="I206" i="11" s="1"/>
  <c r="D96" i="11"/>
  <c r="H96" i="11" s="1"/>
  <c r="E362" i="11"/>
  <c r="I362" i="11" s="1"/>
  <c r="E151" i="11"/>
  <c r="I151" i="11" s="1"/>
  <c r="D657" i="11"/>
  <c r="H657" i="11" s="1"/>
  <c r="D635" i="11"/>
  <c r="H635" i="11" s="1"/>
  <c r="D338" i="11"/>
  <c r="H338" i="11" s="1"/>
  <c r="D185" i="11"/>
  <c r="H185" i="11" s="1"/>
  <c r="D300" i="11"/>
  <c r="H300" i="11" s="1"/>
  <c r="E749" i="11"/>
  <c r="I749" i="11" s="1"/>
  <c r="E568" i="11"/>
  <c r="I568" i="11" s="1"/>
  <c r="E508" i="11"/>
  <c r="I508" i="11" s="1"/>
  <c r="E691" i="11"/>
  <c r="I691" i="11" s="1"/>
  <c r="E398" i="11"/>
  <c r="I398" i="11" s="1"/>
  <c r="E223" i="11"/>
  <c r="I223" i="11" s="1"/>
  <c r="E269" i="11"/>
  <c r="I269" i="11" s="1"/>
  <c r="E369" i="11"/>
  <c r="I369" i="11" s="1"/>
  <c r="D134" i="11"/>
  <c r="H134" i="11" s="1"/>
  <c r="E721" i="11"/>
  <c r="I721" i="11" s="1"/>
  <c r="D184" i="11"/>
  <c r="H184" i="11" s="1"/>
  <c r="D732" i="11"/>
  <c r="H732" i="11" s="1"/>
  <c r="D637" i="11"/>
  <c r="H637" i="11" s="1"/>
  <c r="D614" i="11"/>
  <c r="H614" i="11" s="1"/>
  <c r="D530" i="11"/>
  <c r="H530" i="11" s="1"/>
  <c r="D409" i="11"/>
  <c r="H409" i="11" s="1"/>
  <c r="D322" i="11"/>
  <c r="H322" i="11" s="1"/>
  <c r="D237" i="11"/>
  <c r="H237" i="11" s="1"/>
  <c r="D521" i="11"/>
  <c r="H521" i="11" s="1"/>
  <c r="D569" i="11"/>
  <c r="H569" i="11" s="1"/>
  <c r="D404" i="11"/>
  <c r="H404" i="11" s="1"/>
  <c r="D272" i="11"/>
  <c r="H272" i="11" s="1"/>
  <c r="E722" i="11"/>
  <c r="I722" i="11" s="1"/>
  <c r="E677" i="11"/>
  <c r="I677" i="11" s="1"/>
  <c r="E671" i="11"/>
  <c r="I671" i="11" s="1"/>
  <c r="E672" i="11"/>
  <c r="I672" i="11" s="1"/>
  <c r="E596" i="11"/>
  <c r="I596" i="11" s="1"/>
  <c r="E556" i="11"/>
  <c r="I556" i="11" s="1"/>
  <c r="E539" i="11"/>
  <c r="I539" i="11" s="1"/>
  <c r="E578" i="11"/>
  <c r="I578" i="11" s="1"/>
  <c r="E492" i="11"/>
  <c r="I492" i="11" s="1"/>
  <c r="E590" i="11"/>
  <c r="I590" i="11" s="1"/>
  <c r="E432" i="11"/>
  <c r="I432" i="11" s="1"/>
  <c r="E620" i="11"/>
  <c r="I620" i="11" s="1"/>
  <c r="E475" i="11"/>
  <c r="I475" i="11" s="1"/>
  <c r="E435" i="11"/>
  <c r="I435" i="11" s="1"/>
  <c r="E391" i="11"/>
  <c r="I391" i="11" s="1"/>
  <c r="E350" i="11"/>
  <c r="I350" i="11" s="1"/>
  <c r="E307" i="11"/>
  <c r="I307" i="11" s="1"/>
  <c r="E263" i="11"/>
  <c r="I263" i="11" s="1"/>
  <c r="E215" i="11"/>
  <c r="I215" i="11" s="1"/>
  <c r="E429" i="11"/>
  <c r="I429" i="11" s="1"/>
  <c r="E333" i="11"/>
  <c r="I333" i="11" s="1"/>
  <c r="E301" i="11"/>
  <c r="I301" i="11" s="1"/>
  <c r="E266" i="11"/>
  <c r="I266" i="11" s="1"/>
  <c r="E234" i="11"/>
  <c r="I234" i="11" s="1"/>
  <c r="E213" i="11"/>
  <c r="I213" i="11" s="1"/>
  <c r="E611" i="11"/>
  <c r="I611" i="11" s="1"/>
  <c r="E353" i="11"/>
  <c r="I353" i="11" s="1"/>
  <c r="E144" i="11"/>
  <c r="I144" i="11" s="1"/>
  <c r="D86" i="11"/>
  <c r="H86" i="11" s="1"/>
  <c r="E103" i="11"/>
  <c r="I103" i="11" s="1"/>
  <c r="E138" i="11"/>
  <c r="I138" i="11" s="1"/>
  <c r="E256" i="11"/>
  <c r="I256" i="11" s="1"/>
  <c r="E741" i="11"/>
  <c r="I741" i="11" s="1"/>
  <c r="D164" i="11"/>
  <c r="H164" i="11" s="1"/>
  <c r="D677" i="11"/>
  <c r="H677" i="11" s="1"/>
  <c r="D678" i="11"/>
  <c r="H678" i="11" s="1"/>
  <c r="D665" i="11"/>
  <c r="H665" i="11" s="1"/>
  <c r="D570" i="11"/>
  <c r="H570" i="11" s="1"/>
  <c r="D417" i="11"/>
  <c r="H417" i="11" s="1"/>
  <c r="D333" i="11"/>
  <c r="H333" i="11" s="1"/>
  <c r="D245" i="11"/>
  <c r="H245" i="11" s="1"/>
  <c r="D703" i="11"/>
  <c r="H703" i="11" s="1"/>
  <c r="D497" i="11"/>
  <c r="H497" i="11" s="1"/>
  <c r="D271" i="11"/>
  <c r="H271" i="11" s="1"/>
  <c r="E690" i="11"/>
  <c r="I690" i="11" s="1"/>
  <c r="E643" i="11"/>
  <c r="I643" i="11" s="1"/>
  <c r="E613" i="11"/>
  <c r="I613" i="11" s="1"/>
  <c r="E708" i="11"/>
  <c r="I708" i="11" s="1"/>
  <c r="E639" i="11"/>
  <c r="I639" i="11" s="1"/>
  <c r="E477" i="11"/>
  <c r="I477" i="11" s="1"/>
  <c r="E486" i="11"/>
  <c r="I486" i="11" s="1"/>
  <c r="E520" i="11"/>
  <c r="I520" i="11" s="1"/>
  <c r="E450" i="11"/>
  <c r="I450" i="11" s="1"/>
  <c r="E367" i="11"/>
  <c r="I367" i="11" s="1"/>
  <c r="E282" i="11"/>
  <c r="I282" i="11" s="1"/>
  <c r="E707" i="11"/>
  <c r="I707" i="11" s="1"/>
  <c r="E313" i="11"/>
  <c r="I313" i="11" s="1"/>
  <c r="E249" i="11"/>
  <c r="I249" i="11" s="1"/>
  <c r="E201" i="11"/>
  <c r="I201" i="11" s="1"/>
  <c r="E172" i="11"/>
  <c r="I172" i="11" s="1"/>
  <c r="E88" i="11"/>
  <c r="I88" i="11" s="1"/>
  <c r="D157" i="11"/>
  <c r="H157" i="11" s="1"/>
  <c r="E394" i="11"/>
  <c r="I394" i="11" s="1"/>
  <c r="D723" i="11"/>
  <c r="H723" i="11" s="1"/>
  <c r="D172" i="11"/>
  <c r="H172" i="11" s="1"/>
  <c r="D697" i="11"/>
  <c r="H697" i="11" s="1"/>
  <c r="D714" i="11"/>
  <c r="H714" i="11" s="1"/>
  <c r="D698" i="11"/>
  <c r="H698" i="11" s="1"/>
  <c r="D546" i="11"/>
  <c r="H546" i="11" s="1"/>
  <c r="D413" i="11"/>
  <c r="H413" i="11" s="1"/>
  <c r="D329" i="11"/>
  <c r="H329" i="11" s="1"/>
  <c r="D242" i="11"/>
  <c r="H242" i="11" s="1"/>
  <c r="D644" i="11"/>
  <c r="H644" i="11" s="1"/>
  <c r="D494" i="11"/>
  <c r="H494" i="11" s="1"/>
  <c r="D283" i="11"/>
  <c r="H283" i="11" s="1"/>
  <c r="E705" i="11"/>
  <c r="I705" i="11" s="1"/>
  <c r="E687" i="11"/>
  <c r="I687" i="11" s="1"/>
  <c r="E646" i="11"/>
  <c r="I646" i="11" s="1"/>
  <c r="E560" i="11"/>
  <c r="I560" i="11" s="1"/>
  <c r="E732" i="11"/>
  <c r="I732" i="11" s="1"/>
  <c r="E497" i="11"/>
  <c r="I497" i="11" s="1"/>
  <c r="E541" i="11"/>
  <c r="I541" i="11" s="1"/>
  <c r="E637" i="11"/>
  <c r="I637" i="11" s="1"/>
  <c r="E464" i="11"/>
  <c r="I464" i="11" s="1"/>
  <c r="E387" i="11"/>
  <c r="I387" i="11" s="1"/>
  <c r="E299" i="11"/>
  <c r="I299" i="11" s="1"/>
  <c r="E207" i="11"/>
  <c r="I207" i="11" s="1"/>
  <c r="E328" i="11"/>
  <c r="I328" i="11" s="1"/>
  <c r="E261" i="11"/>
  <c r="I261" i="11" s="1"/>
  <c r="E210" i="11"/>
  <c r="I210" i="11" s="1"/>
  <c r="E341" i="11"/>
  <c r="I341" i="11" s="1"/>
  <c r="D90" i="11"/>
  <c r="H90" i="11" s="1"/>
  <c r="D142" i="11"/>
  <c r="H142" i="11" s="1"/>
  <c r="E174" i="11"/>
  <c r="I174" i="11" s="1"/>
  <c r="E126" i="11"/>
  <c r="I126" i="11" s="1"/>
  <c r="D457" i="11"/>
  <c r="H457" i="11" s="1"/>
  <c r="D638" i="11"/>
  <c r="H638" i="11" s="1"/>
  <c r="D708" i="11"/>
  <c r="H708" i="11" s="1"/>
  <c r="D132" i="11"/>
  <c r="H132" i="11" s="1"/>
  <c r="D451" i="11"/>
  <c r="H451" i="11" s="1"/>
  <c r="D190" i="11"/>
  <c r="H190" i="11" s="1"/>
  <c r="E642" i="11"/>
  <c r="I642" i="11" s="1"/>
  <c r="E516" i="11"/>
  <c r="I516" i="11" s="1"/>
  <c r="E455" i="11"/>
  <c r="I455" i="11" s="1"/>
  <c r="E267" i="11"/>
  <c r="I267" i="11" s="1"/>
  <c r="E302" i="11"/>
  <c r="I302" i="11" s="1"/>
  <c r="E628" i="11"/>
  <c r="I628" i="11" s="1"/>
  <c r="E113" i="11"/>
  <c r="I113" i="11" s="1"/>
  <c r="D501" i="11"/>
  <c r="H501" i="11" s="1"/>
  <c r="D415" i="11"/>
  <c r="H415" i="11" s="1"/>
  <c r="D738" i="11"/>
  <c r="H738" i="11" s="1"/>
  <c r="D341" i="11"/>
  <c r="H341" i="11" s="1"/>
  <c r="D331" i="11"/>
  <c r="H331" i="11" s="1"/>
  <c r="E569" i="11"/>
  <c r="I569" i="11" s="1"/>
  <c r="E700" i="11"/>
  <c r="I700" i="11" s="1"/>
  <c r="E227" i="11"/>
  <c r="I227" i="11" s="1"/>
  <c r="E377" i="11"/>
  <c r="I377" i="11" s="1"/>
  <c r="E719" i="11"/>
  <c r="I719" i="11" s="1"/>
  <c r="D541" i="11"/>
  <c r="H541" i="11" s="1"/>
  <c r="D274" i="11"/>
  <c r="H274" i="11" s="1"/>
  <c r="E746" i="11"/>
  <c r="I746" i="11" s="1"/>
  <c r="E559" i="11"/>
  <c r="I559" i="11" s="1"/>
  <c r="E488" i="11"/>
  <c r="I488" i="11" s="1"/>
  <c r="E381" i="11"/>
  <c r="I381" i="11" s="1"/>
  <c r="E120" i="11"/>
  <c r="I120" i="11" s="1"/>
  <c r="D733" i="11"/>
  <c r="H733" i="11" s="1"/>
  <c r="D691" i="11"/>
  <c r="H691" i="11" s="1"/>
  <c r="D507" i="11"/>
  <c r="H507" i="11" s="1"/>
  <c r="D377" i="11"/>
  <c r="H377" i="11" s="1"/>
  <c r="D213" i="11"/>
  <c r="H213" i="11" s="1"/>
  <c r="D500" i="11"/>
  <c r="H500" i="11" s="1"/>
  <c r="D254" i="11"/>
  <c r="H254" i="11" s="1"/>
  <c r="E669" i="11"/>
  <c r="I669" i="11" s="1"/>
  <c r="E654" i="11"/>
  <c r="I654" i="11" s="1"/>
  <c r="E657" i="11"/>
  <c r="I657" i="11" s="1"/>
  <c r="E533" i="11"/>
  <c r="I533" i="11" s="1"/>
  <c r="E558" i="11"/>
  <c r="I558" i="11" s="1"/>
  <c r="E507" i="11"/>
  <c r="I507" i="11" s="1"/>
  <c r="E423" i="11"/>
  <c r="I423" i="11" s="1"/>
  <c r="E339" i="11"/>
  <c r="I339" i="11" s="1"/>
  <c r="E254" i="11"/>
  <c r="I254" i="11" s="1"/>
  <c r="E397" i="11"/>
  <c r="I397" i="11" s="1"/>
  <c r="E290" i="11"/>
  <c r="I290" i="11" s="1"/>
  <c r="E229" i="11"/>
  <c r="I229" i="11" s="1"/>
  <c r="E526" i="11"/>
  <c r="I526" i="11" s="1"/>
  <c r="E128" i="11"/>
  <c r="I128" i="11" s="1"/>
  <c r="E114" i="11"/>
  <c r="I114" i="11" s="1"/>
  <c r="D383" i="11"/>
  <c r="H383" i="11" s="1"/>
  <c r="D243" i="11"/>
  <c r="H243" i="11" s="1"/>
  <c r="D616" i="11"/>
  <c r="H616" i="11" s="1"/>
  <c r="D474" i="11"/>
  <c r="H474" i="11" s="1"/>
  <c r="D309" i="11"/>
  <c r="H309" i="11" s="1"/>
  <c r="D445" i="11"/>
  <c r="H445" i="11" s="1"/>
  <c r="D248" i="11"/>
  <c r="H248" i="11" s="1"/>
  <c r="E606" i="11"/>
  <c r="I606" i="11" s="1"/>
  <c r="E600" i="11"/>
  <c r="I600" i="11" s="1"/>
  <c r="E457" i="11"/>
  <c r="I457" i="11" s="1"/>
  <c r="E498" i="11"/>
  <c r="I498" i="11" s="1"/>
  <c r="E347" i="11"/>
  <c r="I347" i="11" s="1"/>
  <c r="E421" i="11"/>
  <c r="I421" i="11" s="1"/>
  <c r="E233" i="11"/>
  <c r="I233" i="11" s="1"/>
  <c r="E140" i="11"/>
  <c r="I140" i="11" s="1"/>
  <c r="D173" i="11"/>
  <c r="H173" i="11" s="1"/>
  <c r="D739" i="11"/>
  <c r="H739" i="11" s="1"/>
  <c r="D684" i="11"/>
  <c r="H684" i="11" s="1"/>
  <c r="D540" i="11"/>
  <c r="H540" i="11" s="1"/>
  <c r="D393" i="11"/>
  <c r="H393" i="11" s="1"/>
  <c r="D225" i="11"/>
  <c r="H225" i="11" s="1"/>
  <c r="D449" i="11"/>
  <c r="H449" i="11" s="1"/>
  <c r="E689" i="11"/>
  <c r="I689" i="11" s="1"/>
  <c r="E612" i="11"/>
  <c r="I612" i="11" s="1"/>
  <c r="E627" i="11"/>
  <c r="I627" i="11" s="1"/>
  <c r="E478" i="11"/>
  <c r="I478" i="11" s="1"/>
  <c r="E448" i="11"/>
  <c r="I448" i="11" s="1"/>
  <c r="E279" i="11"/>
  <c r="I279" i="11" s="1"/>
  <c r="E312" i="11"/>
  <c r="I312" i="11" s="1"/>
  <c r="E200" i="11"/>
  <c r="I200" i="11" s="1"/>
  <c r="E93" i="11"/>
  <c r="I93" i="11" s="1"/>
  <c r="D399" i="11"/>
  <c r="H399" i="11" s="1"/>
  <c r="E259" i="11"/>
  <c r="I259" i="11" s="1"/>
  <c r="E579" i="11"/>
  <c r="I579" i="11" s="1"/>
  <c r="D492" i="11"/>
  <c r="H492" i="11" s="1"/>
  <c r="D654" i="11"/>
  <c r="H654" i="11" s="1"/>
  <c r="D533" i="11"/>
  <c r="H533" i="11" s="1"/>
  <c r="D560" i="11"/>
  <c r="H560" i="11" s="1"/>
  <c r="D316" i="11"/>
  <c r="H316" i="11" s="1"/>
  <c r="E344" i="11"/>
  <c r="I344" i="11" s="1"/>
  <c r="E531" i="11"/>
  <c r="I531" i="11" s="1"/>
  <c r="E148" i="11"/>
  <c r="I148" i="11" s="1"/>
  <c r="D727" i="11"/>
  <c r="H727" i="11" s="1"/>
  <c r="D440" i="11"/>
  <c r="H440" i="11" s="1"/>
  <c r="E634" i="11"/>
  <c r="I634" i="11" s="1"/>
  <c r="E399" i="11"/>
  <c r="I399" i="11" s="1"/>
  <c r="D133" i="11"/>
  <c r="H133" i="11" s="1"/>
  <c r="D577" i="11"/>
  <c r="H577" i="11" s="1"/>
  <c r="E720" i="11"/>
  <c r="I720" i="11" s="1"/>
  <c r="E331" i="11"/>
  <c r="I331" i="11" s="1"/>
  <c r="D183" i="11"/>
  <c r="H183" i="11" s="1"/>
  <c r="D567" i="11"/>
  <c r="H567" i="11" s="1"/>
  <c r="D290" i="11"/>
  <c r="H290" i="11" s="1"/>
  <c r="D372" i="11"/>
  <c r="H372" i="11" s="1"/>
  <c r="E630" i="11"/>
  <c r="I630" i="11" s="1"/>
  <c r="E514" i="11"/>
  <c r="I514" i="11" s="1"/>
  <c r="E400" i="11"/>
  <c r="I400" i="11" s="1"/>
  <c r="E382" i="11"/>
  <c r="I382" i="11" s="1"/>
  <c r="E199" i="11"/>
  <c r="I199" i="11" s="1"/>
  <c r="E258" i="11"/>
  <c r="I258" i="11" s="1"/>
  <c r="E309" i="11"/>
  <c r="I309" i="11" s="1"/>
  <c r="E154" i="11"/>
  <c r="I154" i="11" s="1"/>
  <c r="D696" i="11"/>
  <c r="H696" i="11" s="1"/>
  <c r="D394" i="11"/>
  <c r="H394" i="11" s="1"/>
  <c r="D452" i="11"/>
  <c r="H452" i="11" s="1"/>
  <c r="E593" i="11"/>
  <c r="I593" i="11" s="1"/>
  <c r="E424" i="11"/>
  <c r="I424" i="11" s="1"/>
  <c r="E262" i="11"/>
  <c r="I262" i="11" s="1"/>
  <c r="E599" i="11"/>
  <c r="I599" i="11" s="1"/>
  <c r="D469" i="11"/>
  <c r="H469" i="11" s="1"/>
  <c r="D267" i="11"/>
  <c r="H267" i="11" s="1"/>
  <c r="D450" i="11"/>
  <c r="H450" i="11" s="1"/>
  <c r="D435" i="11"/>
  <c r="H435" i="11" s="1"/>
  <c r="E636" i="11"/>
  <c r="I636" i="11" s="1"/>
  <c r="E476" i="11"/>
  <c r="I476" i="11" s="1"/>
  <c r="E366" i="11"/>
  <c r="I366" i="11" s="1"/>
  <c r="E245" i="11"/>
  <c r="I245" i="11" s="1"/>
  <c r="D158" i="11"/>
  <c r="H158" i="11" s="1"/>
  <c r="D319" i="11"/>
  <c r="H319" i="11" s="1"/>
  <c r="D196" i="11"/>
  <c r="H196" i="11" s="1"/>
  <c r="D548" i="11"/>
  <c r="H548" i="11" s="1"/>
  <c r="D337" i="11"/>
  <c r="H337" i="11" s="1"/>
  <c r="E565" i="11"/>
  <c r="I565" i="11" s="1"/>
  <c r="E342" i="11"/>
  <c r="I342" i="11" s="1"/>
  <c r="E230" i="11"/>
  <c r="I230" i="11" s="1"/>
  <c r="D187" i="11"/>
  <c r="H187" i="11" s="1"/>
  <c r="D188" i="11"/>
  <c r="H188" i="11" s="1"/>
  <c r="D509" i="11"/>
  <c r="H509" i="11" s="1"/>
  <c r="E379" i="11"/>
  <c r="I379" i="11" s="1"/>
  <c r="D149" i="11"/>
  <c r="H149" i="11" s="1"/>
  <c r="D425" i="11"/>
  <c r="H425" i="11" s="1"/>
  <c r="D513" i="11"/>
  <c r="H513" i="11" s="1"/>
  <c r="E574" i="11"/>
  <c r="I574" i="11" s="1"/>
  <c r="E216" i="11"/>
  <c r="I216" i="11" s="1"/>
  <c r="E388" i="11"/>
  <c r="I388" i="11" s="1"/>
  <c r="D625" i="11"/>
  <c r="H625" i="11" s="1"/>
  <c r="D387" i="11"/>
  <c r="H387" i="11" s="1"/>
  <c r="E701" i="11"/>
  <c r="I701" i="11" s="1"/>
  <c r="E572" i="11"/>
  <c r="I572" i="11" s="1"/>
  <c r="E460" i="11"/>
  <c r="I460" i="11" s="1"/>
  <c r="E459" i="11"/>
  <c r="I459" i="11" s="1"/>
  <c r="E283" i="11"/>
  <c r="I283" i="11" s="1"/>
  <c r="E317" i="11"/>
  <c r="I317" i="11" s="1"/>
  <c r="E202" i="11"/>
  <c r="I202" i="11" s="1"/>
  <c r="E84" i="11"/>
  <c r="I84" i="11" s="1"/>
  <c r="D683" i="11"/>
  <c r="H683" i="11" s="1"/>
  <c r="D373" i="11"/>
  <c r="H373" i="11" s="1"/>
  <c r="D396" i="11"/>
  <c r="H396" i="11" s="1"/>
  <c r="E577" i="11"/>
  <c r="I577" i="11" s="1"/>
  <c r="E360" i="11"/>
  <c r="I360" i="11" s="1"/>
  <c r="E239" i="11"/>
  <c r="I239" i="11" s="1"/>
  <c r="E409" i="11"/>
  <c r="I409" i="11" s="1"/>
  <c r="E727" i="11"/>
  <c r="I727" i="11" s="1"/>
  <c r="D551" i="11"/>
  <c r="H551" i="11" s="1"/>
  <c r="D286" i="11"/>
  <c r="H286" i="11" s="1"/>
  <c r="D238" i="11"/>
  <c r="H238" i="11" s="1"/>
  <c r="E591" i="11"/>
  <c r="I591" i="11" s="1"/>
  <c r="E496" i="11"/>
  <c r="I496" i="11" s="1"/>
  <c r="E413" i="11"/>
  <c r="I413" i="11" s="1"/>
  <c r="E232" i="11"/>
  <c r="I232" i="11" s="1"/>
  <c r="D174" i="11"/>
  <c r="H174" i="11" s="1"/>
  <c r="D170" i="11"/>
  <c r="H170" i="11" s="1"/>
  <c r="D121" i="11"/>
  <c r="H121" i="11" s="1"/>
  <c r="D336" i="11"/>
  <c r="H336" i="11" s="1"/>
  <c r="D628" i="11"/>
  <c r="H628" i="11" s="1"/>
  <c r="D692" i="11"/>
  <c r="H692" i="11" s="1"/>
  <c r="D155" i="11"/>
  <c r="H155" i="11" s="1"/>
  <c r="D634" i="11"/>
  <c r="H634" i="11" s="1"/>
  <c r="D182" i="11"/>
  <c r="H182" i="11" s="1"/>
  <c r="E711" i="11"/>
  <c r="I711" i="11" s="1"/>
  <c r="E505" i="11"/>
  <c r="I505" i="11" s="1"/>
  <c r="E447" i="11"/>
  <c r="I447" i="11" s="1"/>
  <c r="E255" i="11"/>
  <c r="I255" i="11" s="1"/>
  <c r="E292" i="11"/>
  <c r="I292" i="11" s="1"/>
  <c r="E537" i="11"/>
  <c r="I537" i="11" s="1"/>
  <c r="E121" i="11"/>
  <c r="I121" i="11" s="1"/>
  <c r="D671" i="11"/>
  <c r="H671" i="11" s="1"/>
  <c r="D553" i="11"/>
  <c r="H553" i="11" s="1"/>
  <c r="D632" i="11"/>
  <c r="H632" i="11" s="1"/>
  <c r="D321" i="11"/>
  <c r="H321" i="11" s="1"/>
  <c r="D284" i="11"/>
  <c r="H284" i="11" s="1"/>
  <c r="E553" i="11"/>
  <c r="I553" i="11" s="1"/>
  <c r="E607" i="11"/>
  <c r="I607" i="11" s="1"/>
  <c r="E195" i="11"/>
  <c r="I195" i="11" s="1"/>
  <c r="E293" i="11"/>
  <c r="I293" i="11" s="1"/>
  <c r="E735" i="11"/>
  <c r="I735" i="11" s="1"/>
  <c r="D643" i="11"/>
  <c r="H643" i="11" s="1"/>
  <c r="D253" i="11"/>
  <c r="H253" i="11" s="1"/>
  <c r="E714" i="11"/>
  <c r="I714" i="11" s="1"/>
  <c r="E530" i="11"/>
  <c r="I530" i="11" s="1"/>
  <c r="E472" i="11"/>
  <c r="I472" i="11" s="1"/>
  <c r="E336" i="11"/>
  <c r="I336" i="11" s="1"/>
  <c r="E83" i="11"/>
  <c r="I83" i="11" s="1"/>
  <c r="D82" i="11"/>
  <c r="H82" i="11" s="1"/>
  <c r="D640" i="11"/>
  <c r="H640" i="11" s="1"/>
  <c r="D487" i="11"/>
  <c r="H487" i="11" s="1"/>
  <c r="D365" i="11"/>
  <c r="H365" i="11" s="1"/>
  <c r="D205" i="11"/>
  <c r="H205" i="11" s="1"/>
  <c r="D481" i="11"/>
  <c r="H481" i="11" s="1"/>
  <c r="D240" i="11"/>
  <c r="H240" i="11" s="1"/>
  <c r="E638" i="11"/>
  <c r="I638" i="11" s="1"/>
  <c r="E633" i="11"/>
  <c r="I633" i="11" s="1"/>
  <c r="E608" i="11"/>
  <c r="I608" i="11" s="1"/>
  <c r="E513" i="11"/>
  <c r="I513" i="11" s="1"/>
  <c r="E527" i="11"/>
  <c r="I527" i="11" s="1"/>
  <c r="E499" i="11"/>
  <c r="I499" i="11" s="1"/>
  <c r="E414" i="11"/>
  <c r="I414" i="11" s="1"/>
  <c r="E327" i="11"/>
  <c r="I327" i="11" s="1"/>
  <c r="E243" i="11"/>
  <c r="I243" i="11" s="1"/>
  <c r="E365" i="11"/>
  <c r="I365" i="11" s="1"/>
  <c r="E285" i="11"/>
  <c r="I285" i="11" s="1"/>
  <c r="E224" i="11"/>
  <c r="I224" i="11" s="1"/>
  <c r="E417" i="11"/>
  <c r="I417" i="11" s="1"/>
  <c r="E112" i="11"/>
  <c r="I112" i="11" s="1"/>
  <c r="E122" i="11"/>
  <c r="I122" i="11" s="1"/>
  <c r="D460" i="11"/>
  <c r="H460" i="11" s="1"/>
  <c r="D339" i="11"/>
  <c r="H339" i="11" s="1"/>
  <c r="D563" i="11"/>
  <c r="H563" i="11" s="1"/>
  <c r="D742" i="11"/>
  <c r="H742" i="11" s="1"/>
  <c r="D289" i="11"/>
  <c r="H289" i="11" s="1"/>
  <c r="D379" i="11"/>
  <c r="H379" i="11" s="1"/>
  <c r="E734" i="11"/>
  <c r="I734" i="11" s="1"/>
  <c r="E696" i="11"/>
  <c r="I696" i="11" s="1"/>
  <c r="E546" i="11"/>
  <c r="I546" i="11" s="1"/>
  <c r="E436" i="11"/>
  <c r="I436" i="11" s="1"/>
  <c r="E482" i="11"/>
  <c r="I482" i="11" s="1"/>
  <c r="E326" i="11"/>
  <c r="I326" i="11" s="1"/>
  <c r="E357" i="11"/>
  <c r="I357" i="11" s="1"/>
  <c r="E222" i="11"/>
  <c r="I222" i="11" s="1"/>
  <c r="E106" i="11"/>
  <c r="I106" i="11" s="1"/>
  <c r="D195" i="11"/>
  <c r="H195" i="11" s="1"/>
  <c r="E675" i="11"/>
  <c r="I675" i="11" s="1"/>
  <c r="D645" i="11"/>
  <c r="H645" i="11" s="1"/>
  <c r="D496" i="11"/>
  <c r="H496" i="11" s="1"/>
  <c r="D370" i="11"/>
  <c r="H370" i="11" s="1"/>
  <c r="D209" i="11"/>
  <c r="H209" i="11" s="1"/>
  <c r="D388" i="11"/>
  <c r="H388" i="11" s="1"/>
  <c r="E673" i="11"/>
  <c r="I673" i="11" s="1"/>
  <c r="E592" i="11"/>
  <c r="I592" i="11" s="1"/>
  <c r="E562" i="11"/>
  <c r="I562" i="11" s="1"/>
  <c r="E416" i="11"/>
  <c r="I416" i="11" s="1"/>
  <c r="E430" i="11"/>
  <c r="I430" i="11" s="1"/>
  <c r="E296" i="11"/>
  <c r="I296" i="11" s="1"/>
  <c r="D110" i="11"/>
  <c r="H110" i="11" s="1"/>
  <c r="D324" i="11"/>
  <c r="H324" i="11" s="1"/>
  <c r="D180" i="11"/>
  <c r="H180" i="11" s="1"/>
  <c r="D566" i="11"/>
  <c r="H566" i="11" s="1"/>
  <c r="D346" i="11"/>
  <c r="H346" i="11" s="1"/>
  <c r="E573" i="11"/>
  <c r="I573" i="11" s="1"/>
  <c r="E351" i="11"/>
  <c r="I351" i="11" s="1"/>
  <c r="E236" i="11"/>
  <c r="I236" i="11" s="1"/>
  <c r="E177" i="11"/>
  <c r="I177" i="11" s="1"/>
  <c r="E143" i="11"/>
  <c r="I143" i="11" s="1"/>
  <c r="D186" i="11"/>
  <c r="H186" i="11" s="1"/>
  <c r="E509" i="11"/>
  <c r="I509" i="11" s="1"/>
  <c r="E273" i="11"/>
  <c r="I273" i="11" s="1"/>
  <c r="E420" i="11"/>
  <c r="I420" i="11" s="1"/>
  <c r="D726" i="11"/>
  <c r="H726" i="11" s="1"/>
  <c r="E444" i="11"/>
  <c r="I444" i="11" s="1"/>
  <c r="E226" i="11"/>
  <c r="I226" i="11" s="1"/>
  <c r="E332" i="11"/>
  <c r="I332" i="11" s="1"/>
  <c r="D350" i="11"/>
  <c r="H350" i="11" s="1"/>
  <c r="D419" i="11"/>
  <c r="H419" i="11" s="1"/>
  <c r="E709" i="11"/>
  <c r="I709" i="11" s="1"/>
  <c r="E588" i="11"/>
  <c r="I588" i="11" s="1"/>
  <c r="E469" i="11"/>
  <c r="I469" i="11" s="1"/>
  <c r="E467" i="11"/>
  <c r="I467" i="11" s="1"/>
  <c r="E295" i="11"/>
  <c r="I295" i="11" s="1"/>
  <c r="E322" i="11"/>
  <c r="I322" i="11" s="1"/>
  <c r="E208" i="11"/>
  <c r="I208" i="11" s="1"/>
  <c r="D95" i="11"/>
  <c r="H95" i="11" s="1"/>
  <c r="D721" i="11"/>
  <c r="H721" i="11" s="1"/>
  <c r="D549" i="11"/>
  <c r="H549" i="11" s="1"/>
  <c r="D226" i="11"/>
  <c r="H226" i="11" s="1"/>
  <c r="E674" i="11"/>
  <c r="I674" i="11" s="1"/>
  <c r="E570" i="11"/>
  <c r="I570" i="11" s="1"/>
  <c r="E431" i="11"/>
  <c r="I431" i="11" s="1"/>
  <c r="E297" i="11"/>
  <c r="I297" i="11" s="1"/>
  <c r="D109" i="11"/>
  <c r="H109" i="11" s="1"/>
  <c r="D627" i="11"/>
  <c r="H627" i="11" s="1"/>
  <c r="D306" i="11"/>
  <c r="H306" i="11" s="1"/>
  <c r="D256" i="11"/>
  <c r="H256" i="11" s="1"/>
  <c r="E692" i="11"/>
  <c r="I692" i="11" s="1"/>
  <c r="E512" i="11"/>
  <c r="I512" i="11" s="1"/>
  <c r="E664" i="11"/>
  <c r="I664" i="11" s="1"/>
  <c r="E168" i="11"/>
  <c r="I168" i="11" s="1"/>
  <c r="E745" i="11"/>
  <c r="I745" i="11" s="1"/>
  <c r="E550" i="11"/>
  <c r="I550" i="11" s="1"/>
  <c r="D517" i="11"/>
  <c r="H517" i="11" s="1"/>
  <c r="D710" i="11"/>
  <c r="H710" i="11" s="1"/>
  <c r="D299" i="11"/>
  <c r="H299" i="11" s="1"/>
  <c r="E668" i="11"/>
  <c r="I668" i="11" s="1"/>
  <c r="E405" i="11"/>
  <c r="I405" i="11" s="1"/>
  <c r="E132" i="11"/>
  <c r="I132" i="11" s="1"/>
  <c r="D735" i="11"/>
  <c r="H735" i="11" s="1"/>
  <c r="D525" i="11"/>
  <c r="H525" i="11" s="1"/>
  <c r="E655" i="11"/>
  <c r="I655" i="11" s="1"/>
  <c r="E489" i="11"/>
  <c r="I489" i="11" s="1"/>
  <c r="E257" i="11"/>
  <c r="I257" i="11" s="1"/>
  <c r="D748" i="11"/>
  <c r="H748" i="11" s="1"/>
  <c r="E662" i="11"/>
  <c r="I662" i="11" s="1"/>
  <c r="E311" i="11"/>
  <c r="I311" i="11" s="1"/>
  <c r="E240" i="11"/>
  <c r="I240" i="11" s="1"/>
  <c r="D636" i="11"/>
  <c r="H636" i="11" s="1"/>
  <c r="D281" i="11"/>
  <c r="H281" i="11" s="1"/>
  <c r="D315" i="11"/>
  <c r="H315" i="11" s="1"/>
  <c r="E614" i="11"/>
  <c r="I614" i="11" s="1"/>
  <c r="E699" i="11"/>
  <c r="I699" i="11" s="1"/>
  <c r="E740" i="11"/>
  <c r="I740" i="11" s="1"/>
  <c r="E371" i="11"/>
  <c r="I371" i="11" s="1"/>
  <c r="E183" i="11"/>
  <c r="I183" i="11" s="1"/>
  <c r="E250" i="11"/>
  <c r="I250" i="11" s="1"/>
  <c r="E176" i="11"/>
  <c r="I176" i="11" s="1"/>
  <c r="E170" i="11"/>
  <c r="I170" i="11" s="1"/>
  <c r="D737" i="11"/>
  <c r="H737" i="11" s="1"/>
  <c r="D504" i="11"/>
  <c r="H504" i="11" s="1"/>
  <c r="D210" i="11"/>
  <c r="H210" i="11" s="1"/>
  <c r="E652" i="11"/>
  <c r="I652" i="11" s="1"/>
  <c r="E521" i="11"/>
  <c r="I521" i="11" s="1"/>
  <c r="E411" i="11"/>
  <c r="I411" i="11" s="1"/>
  <c r="E281" i="11"/>
  <c r="I281" i="11" s="1"/>
  <c r="D125" i="11"/>
  <c r="H125" i="11" s="1"/>
  <c r="E356" i="11"/>
  <c r="I356" i="11" s="1"/>
  <c r="D687" i="11"/>
  <c r="H687" i="11" s="1"/>
  <c r="D371" i="11"/>
  <c r="H371" i="11" s="1"/>
  <c r="E598" i="11"/>
  <c r="I598" i="11" s="1"/>
  <c r="E453" i="11"/>
  <c r="I453" i="11" s="1"/>
  <c r="E343" i="11"/>
  <c r="I343" i="11" s="1"/>
  <c r="E136" i="11"/>
  <c r="I136" i="11" s="1"/>
  <c r="D725" i="11"/>
  <c r="H725" i="11" s="1"/>
  <c r="G96" i="10"/>
  <c r="I99" i="10"/>
  <c r="G99" i="10" s="1"/>
  <c r="G98" i="10" l="1"/>
  <c r="G101" i="10"/>
  <c r="I41" i="10" l="1"/>
  <c r="G4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Eric</author>
  </authors>
  <commentList>
    <comment ref="A3" authorId="0" shapeId="0" xr:uid="{00000000-0006-0000-0000-000001000000}">
      <text>
        <r>
          <rPr>
            <b/>
            <sz val="12"/>
            <color indexed="10"/>
            <rFont val="Tahoma"/>
            <family val="2"/>
          </rPr>
          <t>Welcome to the LM5150 Design Tool</t>
        </r>
        <r>
          <rPr>
            <b/>
            <sz val="8"/>
            <color indexed="81"/>
            <rFont val="Tahoma"/>
            <family val="2"/>
          </rPr>
          <t xml:space="preserve">
</t>
        </r>
        <r>
          <rPr>
            <sz val="9"/>
            <color indexed="81"/>
            <rFont val="Tahoma"/>
            <family val="2"/>
          </rPr>
          <t xml:space="preserve">This stand-alone tool facilitates and assists the power supply engineer with design of a DC-DC boost converter based on the LM5150 automotive boost controller. As such, the user can expeditiously arrive at an optimized design by virtue of the following:
- Select components
- Optimize compensation values and pole/zero placement in terms of control loop stability using crossover frquency as a performance metric
- Inspect regulator efficiency and component power dissipation
- Analyze efficiency based on selected MOSFET, inductor and diode parameters
- Review auto-generated schematic and BOM list
IMPORTANT: You must enable macros if Microsoft Excel asks as the file is being opened. U.S. English notation is used throughout. Make sure to input or select values in all of the yellow shaded cells even if a value already exists in that cell. Do not over write equations in cells, as this may result in calculation errors. </t>
        </r>
        <r>
          <rPr>
            <b/>
            <sz val="8"/>
            <color indexed="81"/>
            <rFont val="Tahoma"/>
            <family val="2"/>
          </rPr>
          <t xml:space="preserve">
</t>
        </r>
      </text>
    </comment>
    <comment ref="O3" authorId="0" shapeId="0" xr:uid="{00000000-0006-0000-0000-000002000000}">
      <text>
        <r>
          <rPr>
            <b/>
            <sz val="12"/>
            <color indexed="10"/>
            <rFont val="Tahoma"/>
            <family val="2"/>
          </rPr>
          <t>Texas Instruments:</t>
        </r>
        <r>
          <rPr>
            <b/>
            <sz val="8"/>
            <color indexed="81"/>
            <rFont val="Tahoma"/>
            <family val="2"/>
          </rPr>
          <t xml:space="preserve">
</t>
        </r>
        <r>
          <rPr>
            <sz val="9"/>
            <color indexed="81"/>
            <rFont val="Tahoma"/>
            <family val="2"/>
          </rPr>
          <t xml:space="preserve">Limited Use Policy
You must treat this software and documentation like any other copyrighted material.
You may not:
- Copy documentation of the software
- Copy this software except to make archival or backup copies
- Reverse engineer, disassemble, decompile or make any attempt to discover the source code of the Software 
- Place the software onto a server so that it is accessible via a public network such as the internet 
- Sublicense, rent, lease or lend any portion of the software or documentation.
Texas Instruments is not responsible for the validity of any design created with this software and urges all designs to be fully tested and carefully verified. 
The most recent version of this excel file can be found in the product folder of the part at TI.com. To activate all functions, Macro should be enabled and 'Analysis Toolpak' should be added in. 
</t>
        </r>
      </text>
    </comment>
    <comment ref="F7" authorId="0" shapeId="0" xr:uid="{00000000-0006-0000-0000-000003000000}">
      <text>
        <r>
          <rPr>
            <b/>
            <sz val="8"/>
            <color indexed="81"/>
            <rFont val="Tahoma"/>
            <family val="2"/>
          </rPr>
          <t>The LM5150 requires minimum 5V at VOUT pin to start up. After start-up, minimum input operating voltage is limited by maximum duty cycle limit of the LM5150.
The text in this cell is red if the value is :
-greater than typical input supply voltage 
-less than 1.5V</t>
        </r>
      </text>
    </comment>
    <comment ref="F8" authorId="0" shapeId="0" xr:uid="{00000000-0006-0000-0000-000004000000}">
      <text>
        <r>
          <rPr>
            <b/>
            <sz val="8"/>
            <color indexed="81"/>
            <rFont val="Tahoma"/>
            <family val="2"/>
          </rPr>
          <t xml:space="preserve">The text in this cell is red if the value is :
-greater than maximum input supply voltage 
</t>
        </r>
      </text>
    </comment>
    <comment ref="F9" authorId="0" shapeId="0" xr:uid="{00000000-0006-0000-0000-000005000000}">
      <text>
        <r>
          <rPr>
            <b/>
            <sz val="8"/>
            <color indexed="81"/>
            <rFont val="Tahoma"/>
            <family val="2"/>
          </rPr>
          <t xml:space="preserve">The LM5150's maximum recommended input supply voltage is 42V. 
The text in this cell is red if the value is :
-greater than 42 maximum recommended input supply voltage 
</t>
        </r>
        <r>
          <rPr>
            <sz val="8"/>
            <color indexed="81"/>
            <rFont val="Tahoma"/>
            <family val="2"/>
          </rPr>
          <t xml:space="preserve">
</t>
        </r>
      </text>
    </comment>
    <comment ref="F10" authorId="0" shapeId="0" xr:uid="{00000000-0006-0000-0000-000006000000}">
      <text>
        <r>
          <rPr>
            <b/>
            <sz val="8"/>
            <color indexed="81"/>
            <rFont val="Tahoma"/>
            <family val="2"/>
          </rPr>
          <t xml:space="preserve">Due to the pass-through path from the input to the output through inductor and diode, The output voltage increases to the input voltage minus diode forward voltage drop when the input voltage is higher than the output regulation target. 
</t>
        </r>
      </text>
    </comment>
    <comment ref="F12" authorId="0" shapeId="0" xr:uid="{00000000-0006-0000-0000-000007000000}">
      <text>
        <r>
          <rPr>
            <b/>
            <sz val="8"/>
            <color indexed="81"/>
            <rFont val="Tahoma"/>
            <family val="2"/>
          </rPr>
          <t>The LM5150 runs at fixed switching frequency without any pulse skipping in start-stop(SS) mode. In emergency-call(EC) mode, the LM5150 limits the minimum duty cycle which is programmed by VOUT and VIN pin voltage.</t>
        </r>
      </text>
    </comment>
    <comment ref="F13" authorId="0" shapeId="0" xr:uid="{00000000-0006-0000-0000-000008000000}">
      <text>
        <r>
          <rPr>
            <b/>
            <sz val="8"/>
            <color indexed="81"/>
            <rFont val="Tahoma"/>
            <family val="2"/>
          </rPr>
          <t>In general, higher frequency boost converters are smaller and faster, but have higher switching losses and lower
efficiency.</t>
        </r>
      </text>
    </comment>
    <comment ref="F14" authorId="0" shapeId="0" xr:uid="{00000000-0006-0000-0000-000009000000}">
      <text>
        <r>
          <rPr>
            <b/>
            <sz val="8"/>
            <color indexed="81"/>
            <rFont val="Tahoma"/>
            <family val="2"/>
          </rPr>
          <t>Input the same frequency as the free running frequency if no external clock sycnronization.
The text in this cell is red if the value is :
-greater than Fsw x 1.15
-greater than 2300kHz
-less than Fsw x 0.75
-less than 110kHz</t>
        </r>
      </text>
    </comment>
    <comment ref="F15" authorId="0" shapeId="0" xr:uid="{00000000-0006-0000-0000-00000A000000}">
      <text>
        <r>
          <rPr>
            <b/>
            <sz val="8"/>
            <color indexed="81"/>
            <rFont val="Tahoma"/>
            <family val="2"/>
          </rPr>
          <t>Default value is 80%
Typical efficiency at 440kHz is 85~95%
Typical efficiency at 2.2MHz is 70~85%</t>
        </r>
        <r>
          <rPr>
            <sz val="8"/>
            <color indexed="81"/>
            <rFont val="Tahoma"/>
            <family val="2"/>
          </rPr>
          <t xml:space="preserve">
</t>
        </r>
      </text>
    </comment>
    <comment ref="F16" authorId="0" shapeId="0" xr:uid="{00000000-0006-0000-0000-00000B000000}">
      <text>
        <r>
          <rPr>
            <b/>
            <sz val="8"/>
            <color indexed="81"/>
            <rFont val="Tahoma"/>
            <family val="2"/>
          </rPr>
          <t xml:space="preserve">Typical power range at 440kHz is 10~50W (Continuous)
Typical power range at 2.2MHz is 5~15W(Continuous) 
Peak power can be greater than the continuous power by reducing wake-up period and increasing stand-by period with an effective thermal dissipation 
</t>
        </r>
      </text>
    </comment>
    <comment ref="F21" authorId="0" shapeId="0" xr:uid="{00000000-0006-0000-0000-00000C000000}">
      <text>
        <r>
          <rPr>
            <b/>
            <sz val="8"/>
            <color indexed="81"/>
            <rFont val="Tahoma"/>
            <family val="2"/>
          </rPr>
          <t xml:space="preserve">Populate RSET resistor with 1% tolerance. </t>
        </r>
        <r>
          <rPr>
            <sz val="8"/>
            <color indexed="81"/>
            <rFont val="Tahoma"/>
            <family val="2"/>
          </rPr>
          <t xml:space="preserve">
</t>
        </r>
      </text>
    </comment>
    <comment ref="F24" authorId="0" shapeId="0" xr:uid="{00000000-0006-0000-0000-00000D000000}">
      <text>
        <r>
          <rPr>
            <b/>
            <sz val="8"/>
            <color indexed="81"/>
            <rFont val="Tahoma"/>
            <family val="2"/>
          </rPr>
          <t xml:space="preserve">Populate RT resistor with 1% tolerance. </t>
        </r>
      </text>
    </comment>
    <comment ref="F27" authorId="0" shapeId="0" xr:uid="{00000000-0006-0000-0000-00000E000000}">
      <text>
        <r>
          <rPr>
            <b/>
            <sz val="8"/>
            <color indexed="81"/>
            <rFont val="Tahoma"/>
            <family val="2"/>
          </rPr>
          <t xml:space="preserve">Small diode drop helps to improve efficiency. To prevent chatter between wake-up and standby, the forward voltage drop of the D1 diode must
be less than 0.95 V at full load.
The text in this cell is red if the value is :
-greater than 0.95V 
</t>
        </r>
      </text>
    </comment>
    <comment ref="F28" authorId="0" shapeId="0" xr:uid="{00000000-0006-0000-0000-00000F000000}">
      <text>
        <r>
          <rPr>
            <b/>
            <sz val="8"/>
            <color indexed="81"/>
            <rFont val="Tahoma"/>
            <family val="2"/>
          </rPr>
          <t>Small reverse recovery charge helps to improve efficiency and minimize switching noise. 
QRR can be found in the manufacturer's datasheet. If not available, use 10~15nC as a default.</t>
        </r>
      </text>
    </comment>
    <comment ref="F29" authorId="0" shapeId="0" xr:uid="{00000000-0006-0000-0000-000010000000}">
      <text>
        <r>
          <rPr>
            <b/>
            <sz val="8"/>
            <color indexed="81"/>
            <rFont val="Tahoma"/>
            <family val="2"/>
          </rPr>
          <t>The diode must be rated to
handle the maximum output voltage plus switching node ringing if any.</t>
        </r>
      </text>
    </comment>
    <comment ref="F30" authorId="0" shapeId="0" xr:uid="{00000000-0006-0000-0000-000011000000}">
      <text>
        <r>
          <rPr>
            <b/>
            <sz val="8"/>
            <color indexed="81"/>
            <rFont val="Tahoma"/>
            <family val="2"/>
          </rPr>
          <t>Select diode whose average current rating is greater than this.</t>
        </r>
      </text>
    </comment>
    <comment ref="F33" authorId="0" shapeId="0" xr:uid="{00000000-0006-0000-0000-000012000000}">
      <text>
        <r>
          <rPr>
            <b/>
            <sz val="8"/>
            <color theme="1"/>
            <rFont val="Tahoma"/>
            <family val="2"/>
          </rPr>
          <t xml:space="preserve">The maximum gate charge is limited by
the 75 mA PVCC sourcing current limit
The text in this cell is red if the value is :
-the required VCC current is greater than 75mA </t>
        </r>
      </text>
    </comment>
    <comment ref="F34" authorId="0" shapeId="0" xr:uid="{00000000-0006-0000-0000-000013000000}">
      <text>
        <r>
          <rPr>
            <b/>
            <sz val="8"/>
            <color indexed="81"/>
            <rFont val="Tahoma"/>
            <family val="2"/>
          </rPr>
          <t xml:space="preserve">Logic level MOSFET should be used and the MOSFET should be tested at 4.5V Vgs.  </t>
        </r>
      </text>
    </comment>
    <comment ref="F35" authorId="0" shapeId="0" xr:uid="{00000000-0006-0000-0000-000014000000}">
      <text>
        <r>
          <rPr>
            <b/>
            <sz val="8"/>
            <color indexed="81"/>
            <rFont val="Tahoma"/>
            <family val="2"/>
          </rPr>
          <t>Switch node risig time. 
Input measured value. 
Default value is 15ns.</t>
        </r>
        <r>
          <rPr>
            <sz val="8"/>
            <color indexed="81"/>
            <rFont val="Tahoma"/>
            <family val="2"/>
          </rPr>
          <t xml:space="preserve">
</t>
        </r>
      </text>
    </comment>
    <comment ref="F36" authorId="0" shapeId="0" xr:uid="{00000000-0006-0000-0000-000015000000}">
      <text>
        <r>
          <rPr>
            <b/>
            <sz val="8"/>
            <color indexed="81"/>
            <rFont val="Tahoma"/>
            <family val="2"/>
          </rPr>
          <t xml:space="preserve">Switch node falling time. 
Input measured value. 
Default value is 15ns.
</t>
        </r>
      </text>
    </comment>
    <comment ref="F37" authorId="0" shapeId="0" xr:uid="{00000000-0006-0000-0000-000016000000}">
      <text>
        <r>
          <rPr>
            <b/>
            <sz val="8"/>
            <color indexed="81"/>
            <rFont val="Tahoma"/>
            <family val="2"/>
          </rPr>
          <t>The MOSFET must be rated to handle the maximum output voltage plus any switching node ringing.</t>
        </r>
      </text>
    </comment>
    <comment ref="F40" authorId="0" shapeId="0" xr:uid="{00000000-0006-0000-0000-000017000000}">
      <text>
        <r>
          <rPr>
            <b/>
            <sz val="8"/>
            <color indexed="81"/>
            <rFont val="Tahoma"/>
            <family val="2"/>
          </rPr>
          <t>The inductance value can be selected to set the inductor current ripple between 30% and 70% of the average inductor current as a good compromise between core loss, RHP zero and inductor falling slope.
Default value is 60%.</t>
        </r>
      </text>
    </comment>
    <comment ref="F42" authorId="0" shapeId="0" xr:uid="{00000000-0006-0000-0000-000018000000}">
      <text>
        <r>
          <rPr>
            <b/>
            <sz val="8"/>
            <color indexed="81"/>
            <rFont val="Tahoma"/>
            <family val="2"/>
          </rPr>
          <t>If the recommended inductance is smaller than this minimum inductance value, consider adding the slope
compensation resistor (RSL)</t>
        </r>
      </text>
    </comment>
    <comment ref="F43" authorId="0" shapeId="0" xr:uid="{00000000-0006-0000-0000-000019000000}">
      <text>
        <r>
          <rPr>
            <b/>
            <sz val="8"/>
            <color indexed="81"/>
            <rFont val="Tahoma"/>
            <family val="2"/>
          </rPr>
          <t>The text in this cell is red if RSL is less than the required RSL value</t>
        </r>
      </text>
    </comment>
    <comment ref="F44" authorId="0" shapeId="0" xr:uid="{00000000-0006-0000-0000-00001A000000}">
      <text>
        <r>
          <rPr>
            <b/>
            <sz val="8"/>
            <color indexed="81"/>
            <rFont val="Tahoma"/>
            <family val="2"/>
          </rPr>
          <t xml:space="preserve">Small DCR helps to improve efficiency.
</t>
        </r>
      </text>
    </comment>
    <comment ref="F47" authorId="0" shapeId="0" xr:uid="{00000000-0006-0000-0000-00001B000000}">
      <text>
        <r>
          <rPr>
            <b/>
            <sz val="8"/>
            <color indexed="81"/>
            <rFont val="Tahoma"/>
            <family val="2"/>
          </rPr>
          <t>Select higer inductance inductor not to use external slope resistor.</t>
        </r>
      </text>
    </comment>
    <comment ref="F48" authorId="0" shapeId="0" xr:uid="{00000000-0006-0000-0000-00001C000000}">
      <text>
        <r>
          <rPr>
            <b/>
            <sz val="8"/>
            <color indexed="81"/>
            <rFont val="Tahoma"/>
            <family val="2"/>
          </rPr>
          <t>The text in this cell is red if:
-The resistor value is less than the required slope compensation resistor value
- The resistor value is greater than 1kOhm</t>
        </r>
      </text>
    </comment>
    <comment ref="F51" authorId="0" shapeId="0" xr:uid="{00000000-0006-0000-0000-00001D000000}">
      <text>
        <r>
          <rPr>
            <b/>
            <sz val="8"/>
            <color indexed="81"/>
            <rFont val="Tahoma"/>
            <family val="2"/>
          </rPr>
          <t>Minimum value is 1.2 (20% margin) 
Defauult value is 1.4 (40% margin)</t>
        </r>
      </text>
    </comment>
    <comment ref="F52" authorId="0" shapeId="0" xr:uid="{00000000-0006-0000-0000-00001E000000}">
      <text>
        <r>
          <rPr>
            <b/>
            <sz val="8"/>
            <color indexed="81"/>
            <rFont val="Tahoma"/>
            <family val="2"/>
          </rPr>
          <t>Select a standard value which is less than the recommendation. A low ESL resistor is recommended to minimize an error caused by the ESL.</t>
        </r>
      </text>
    </comment>
    <comment ref="F53" authorId="0" shapeId="0" xr:uid="{00000000-0006-0000-0000-00001F000000}">
      <text>
        <r>
          <rPr>
            <b/>
            <sz val="8"/>
            <color indexed="81"/>
            <rFont val="Tahoma"/>
            <family val="2"/>
          </rPr>
          <t>The text in this cell is red if the value is :
-greater than the recommended current sense resistance</t>
        </r>
        <r>
          <rPr>
            <sz val="8"/>
            <color indexed="81"/>
            <rFont val="Tahoma"/>
            <family val="2"/>
          </rPr>
          <t xml:space="preserve">
</t>
        </r>
      </text>
    </comment>
    <comment ref="F54" authorId="0" shapeId="0" xr:uid="{00000000-0006-0000-0000-000020000000}">
      <text>
        <r>
          <rPr>
            <b/>
            <sz val="8"/>
            <color indexed="81"/>
            <rFont val="Tahoma"/>
            <family val="2"/>
          </rPr>
          <t xml:space="preserve">Select sense resistor whose power rating is greater than this. </t>
        </r>
        <r>
          <rPr>
            <sz val="8"/>
            <color indexed="81"/>
            <rFont val="Tahoma"/>
            <family val="2"/>
          </rPr>
          <t xml:space="preserve">
</t>
        </r>
      </text>
    </comment>
    <comment ref="F57" authorId="0" shapeId="0" xr:uid="{00000000-0006-0000-0000-000021000000}">
      <text>
        <r>
          <rPr>
            <b/>
            <sz val="8"/>
            <color indexed="81"/>
            <rFont val="Tahoma"/>
            <family val="2"/>
          </rPr>
          <t xml:space="preserve">A small external RC filter (RF, CF) at the CS pin is required to overcome the noise pulse which is caused by the leading edge ringing on the current sense signal. Select RF value which is greater than 30Ω, and CF value which is greater than 1000pF. Due to the filter effect, the peak current limit is not valid when the on-time is less than 2 x RF
x CF.
Default RF value is 100Ω
Default CF value is 2.2nF
The text in this cell is red if the value is :
-less than 30 </t>
        </r>
      </text>
    </comment>
    <comment ref="F58" authorId="0" shapeId="0" xr:uid="{00000000-0006-0000-0000-000022000000}">
      <text>
        <r>
          <rPr>
            <b/>
            <sz val="8"/>
            <color indexed="81"/>
            <rFont val="Tahoma"/>
            <family val="2"/>
          </rPr>
          <t xml:space="preserve">A small external RC filter (RF, CF) at the CS pin is required to overcome the noise pulse which is caused by the leading edge ringing on the current sense signal. Select RF value which is greater than 30Ω, and CF value which is greater than 1000pF. Due to the filter effect, the peak current limit is not valid when the on-time is less than 2 x RF
x CF.
Default RF value is 100Ω
Default CF value is 2.2nF
The text in this cell is red if the value is :
-less than 1000 </t>
        </r>
      </text>
    </comment>
    <comment ref="F59" authorId="0" shapeId="0" xr:uid="{00000000-0006-0000-0000-000023000000}">
      <text>
        <r>
          <rPr>
            <b/>
            <sz val="8"/>
            <color indexed="81"/>
            <rFont val="Tahoma"/>
            <family val="2"/>
          </rPr>
          <t>Due to the filter effect, the peak current limit is not valid when the on-time is less than 2 x RF x CF.</t>
        </r>
      </text>
    </comment>
    <comment ref="F62" authorId="0" shapeId="0" xr:uid="{00000000-0006-0000-0000-000024000000}">
      <text>
        <r>
          <rPr>
            <b/>
            <sz val="8"/>
            <color indexed="81"/>
            <rFont val="Tahoma"/>
            <family val="2"/>
          </rPr>
          <t>Due to the filter effect, the peak current limit is not valid when the on-time is less than 2 x RF x CF.</t>
        </r>
      </text>
    </comment>
    <comment ref="F63" authorId="0" shapeId="0" xr:uid="{00000000-0006-0000-0000-000025000000}">
      <text>
        <r>
          <rPr>
            <b/>
            <sz val="8"/>
            <color indexed="81"/>
            <rFont val="Tahoma"/>
            <family val="2"/>
          </rPr>
          <t>The rated inductor current should be greather than this value.</t>
        </r>
      </text>
    </comment>
    <comment ref="F64" authorId="0" shapeId="0" xr:uid="{00000000-0006-0000-0000-000026000000}">
      <text>
        <r>
          <rPr>
            <b/>
            <sz val="8"/>
            <color indexed="81"/>
            <rFont val="Tahoma"/>
            <family val="2"/>
          </rPr>
          <t>In aggressive design or if soft-saturation core is used, please select the inductor whose saturation current is greater than this value.</t>
        </r>
        <r>
          <rPr>
            <sz val="8"/>
            <color indexed="81"/>
            <rFont val="Tahoma"/>
            <family val="2"/>
          </rPr>
          <t xml:space="preserve">
</t>
        </r>
      </text>
    </comment>
    <comment ref="F65" authorId="0" shapeId="0" xr:uid="{00000000-0006-0000-0000-000027000000}">
      <text>
        <r>
          <rPr>
            <b/>
            <sz val="8"/>
            <color indexed="81"/>
            <rFont val="Tahoma"/>
            <family val="2"/>
          </rPr>
          <t>20ns current limit delay is considered.</t>
        </r>
        <r>
          <rPr>
            <sz val="8"/>
            <color indexed="81"/>
            <rFont val="Tahoma"/>
            <family val="2"/>
          </rPr>
          <t xml:space="preserve">
</t>
        </r>
      </text>
    </comment>
    <comment ref="F66" authorId="0" shapeId="0" xr:uid="{00000000-0006-0000-0000-000028000000}">
      <text>
        <r>
          <rPr>
            <b/>
            <sz val="8"/>
            <color indexed="81"/>
            <rFont val="Tahoma"/>
            <family val="2"/>
          </rPr>
          <t xml:space="preserve">In conservative design or if sharp saturation core is used, please select the inductor whose saturation current is greater than this value. Current sense error caused by the CS filter is considered here.  </t>
        </r>
      </text>
    </comment>
    <comment ref="F67" authorId="0" shapeId="0" xr:uid="{00000000-0006-0000-0000-000029000000}">
      <text>
        <r>
          <rPr>
            <b/>
            <sz val="8"/>
            <color indexed="81"/>
            <rFont val="Tahoma"/>
            <family val="2"/>
          </rPr>
          <t xml:space="preserve">The LM5150's maximum duty cycle limit is 83% (minimum) and 86%(typical) when free-running. </t>
        </r>
        <r>
          <rPr>
            <sz val="8"/>
            <color indexed="81"/>
            <rFont val="Tahoma"/>
            <family val="2"/>
          </rPr>
          <t xml:space="preserve">
</t>
        </r>
      </text>
    </comment>
    <comment ref="F68" authorId="0" shapeId="0" xr:uid="{00000000-0006-0000-0000-00002A000000}">
      <text>
        <r>
          <rPr>
            <b/>
            <sz val="8"/>
            <color indexed="81"/>
            <rFont val="Tahoma"/>
            <family val="2"/>
          </rPr>
          <t xml:space="preserve">The LM5150's maximum duty cycle limit is 83% (minimum) and 86%(typical) when free-running. </t>
        </r>
      </text>
    </comment>
    <comment ref="F69" authorId="0" shapeId="0" xr:uid="{00000000-0006-0000-0000-00002B000000}">
      <text>
        <r>
          <rPr>
            <b/>
            <sz val="8"/>
            <color indexed="81"/>
            <rFont val="Tahoma"/>
            <family val="2"/>
          </rPr>
          <t xml:space="preserve">Duty cycle at the minimum supply voltage should be less than the duty cycle limit by LM5150. DCR, RS and Rsdon of the MOSFET is considered here. 
The text in this cell is red if the value is :
-greater than 'Duty cycle limit by LM5150 (including 50ns margin)' </t>
        </r>
      </text>
    </comment>
    <comment ref="F71" authorId="0" shapeId="0" xr:uid="{00000000-0006-0000-0000-00002C000000}">
      <text>
        <r>
          <rPr>
            <b/>
            <sz val="8"/>
            <color indexed="81"/>
            <rFont val="Tahoma"/>
            <family val="2"/>
          </rPr>
          <t xml:space="preserve">The text in this cell is red if the value is :
-less than 2xRFxCF 
</t>
        </r>
        <r>
          <rPr>
            <sz val="8"/>
            <color indexed="81"/>
            <rFont val="Tahoma"/>
            <family val="2"/>
          </rPr>
          <t xml:space="preserve">
</t>
        </r>
      </text>
    </comment>
    <comment ref="F72" authorId="0" shapeId="0" xr:uid="{00000000-0006-0000-0000-00002D000000}">
      <text>
        <r>
          <rPr>
            <b/>
            <sz val="8"/>
            <color indexed="81"/>
            <rFont val="Tahoma"/>
            <family val="2"/>
          </rPr>
          <t xml:space="preserve">The text in this cell is red if the value is :
-greater than VSUPPLY(MIN) </t>
        </r>
      </text>
    </comment>
    <comment ref="F75" authorId="0" shapeId="0" xr:uid="{00000000-0006-0000-0000-00002E000000}">
      <text>
        <r>
          <rPr>
            <b/>
            <sz val="8"/>
            <color indexed="81"/>
            <rFont val="Tahoma"/>
            <family val="2"/>
          </rPr>
          <t>Select the input capacitor which keeps the input voltage ripple below 0.1V</t>
        </r>
      </text>
    </comment>
    <comment ref="F76" authorId="0" shapeId="0" xr:uid="{00000000-0006-0000-0000-00002F000000}">
      <text>
        <r>
          <rPr>
            <b/>
            <sz val="8"/>
            <color indexed="81"/>
            <rFont val="Tahoma"/>
            <family val="2"/>
          </rPr>
          <t>Select enough big input capacitor considering input cable inductance and input filter inductance.
The text in this cell is red if the value is :
-less than the minimum input capacitance</t>
        </r>
      </text>
    </comment>
    <comment ref="F79" authorId="0" shapeId="0" xr:uid="{00000000-0006-0000-0000-000030000000}">
      <text>
        <r>
          <rPr>
            <b/>
            <sz val="8"/>
            <color indexed="81"/>
            <rFont val="Tahoma"/>
            <family val="2"/>
          </rPr>
          <t xml:space="preserve">To minimize noise at the VOUT pin, a 1-μF ceramic capacitor must be placed at the VOUT pin in most of cases. If multiple output capacitors are used, one of them can be placed at the VOUT pin as a CVOUT. </t>
        </r>
      </text>
    </comment>
    <comment ref="F80" authorId="0" shapeId="0" xr:uid="{00000000-0006-0000-0000-000031000000}">
      <text>
        <r>
          <rPr>
            <b/>
            <sz val="8"/>
            <color indexed="81"/>
            <rFont val="Tahoma"/>
            <family val="2"/>
          </rPr>
          <t>The PVCC capacitor supplies the peak transient current when the LO driver turns on. The value of PVCC capacitor (CPVCC) must be 4.7 μF or higher and must be a good-quality</t>
        </r>
      </text>
    </comment>
    <comment ref="F81" authorId="0" shapeId="0" xr:uid="{00000000-0006-0000-0000-000032000000}">
      <text>
        <r>
          <rPr>
            <b/>
            <sz val="8"/>
            <color indexed="81"/>
            <rFont val="Tahoma"/>
            <family val="2"/>
          </rPr>
          <t xml:space="preserve">The recommended AVCC capacitor value is 0.1 μF. AVCC capacitor should be populated between AVCC and AGND. </t>
        </r>
      </text>
    </comment>
    <comment ref="F82" authorId="0" shapeId="0" xr:uid="{00000000-0006-0000-0000-000033000000}">
      <text>
        <r>
          <rPr>
            <b/>
            <sz val="8"/>
            <color indexed="81"/>
            <rFont val="Tahoma"/>
            <family val="2"/>
          </rPr>
          <t>AVCC resistor should be populated between PVCC and AVCC pins. The recommended AVCC resistor value is 10 Ω.</t>
        </r>
      </text>
    </comment>
    <comment ref="F86" authorId="0" shapeId="0" xr:uid="{00000000-0006-0000-0000-000034000000}">
      <text>
        <r>
          <rPr>
            <b/>
            <sz val="8"/>
            <color indexed="81"/>
            <rFont val="Tahoma"/>
            <family val="2"/>
          </rPr>
          <t>Crossover frequency is selected at 1/10 of FRHP or 1/10 of FSW whichever is lower</t>
        </r>
      </text>
    </comment>
    <comment ref="F87" authorId="0" shapeId="0" xr:uid="{00000000-0006-0000-0000-000035000000}">
      <text>
        <r>
          <rPr>
            <b/>
            <sz val="8"/>
            <color indexed="81"/>
            <rFont val="Tahoma"/>
            <family val="2"/>
          </rPr>
          <t xml:space="preserve">In general, there is about 5% or less undershoot with FLP = 0.1 × FCROSS (K1 = 0.1) and 10% or less undershoot with FLP = 0.2 × FCROSS (K1 = 0.2) during 0% to 100% load transient
The recommended K1 factor range is from 0.02 to 0.2
Conservative selection is 0.02
Aggressive selection is 0.2 </t>
        </r>
        <r>
          <rPr>
            <sz val="8"/>
            <color indexed="81"/>
            <rFont val="Tahoma"/>
            <family val="2"/>
          </rPr>
          <t xml:space="preserve">
</t>
        </r>
        <r>
          <rPr>
            <b/>
            <sz val="8"/>
            <color indexed="81"/>
            <rFont val="Tahoma"/>
            <family val="2"/>
          </rPr>
          <t xml:space="preserve">
The text in this cell is red if the value is :
-greater than 0.2 </t>
        </r>
      </text>
    </comment>
    <comment ref="F90" authorId="0" shapeId="0" xr:uid="{00000000-0006-0000-0000-000036000000}">
      <text>
        <r>
          <rPr>
            <b/>
            <sz val="8"/>
            <color indexed="81"/>
            <rFont val="Tahoma"/>
            <family val="2"/>
          </rPr>
          <t xml:space="preserve">Select the closest standard value output capacitors. 
The text in this cell is red if the value is :
-less than 90% of the recommended output capacitance 
</t>
        </r>
        <r>
          <rPr>
            <sz val="8"/>
            <color indexed="81"/>
            <rFont val="Tahoma"/>
            <family val="2"/>
          </rPr>
          <t xml:space="preserve">
</t>
        </r>
      </text>
    </comment>
    <comment ref="F93" authorId="0" shapeId="0" xr:uid="{00000000-0006-0000-0000-000037000000}">
      <text>
        <r>
          <rPr>
            <b/>
            <sz val="8"/>
            <color indexed="81"/>
            <rFont val="Tahoma"/>
            <family val="2"/>
          </rPr>
          <t>The ripple current rating of the output capacitors must be enough to handle the output ripple current. By using
multiple output capacitors, the ripple current can be split. In practice, ceramic capacitors are placed closer to the
diode and the MOSFET than the bulk aluminum capacitors to absorb the majority of the ripple current</t>
        </r>
      </text>
    </comment>
    <comment ref="F96" authorId="0" shapeId="0" xr:uid="{00000000-0006-0000-0000-000038000000}">
      <text>
        <r>
          <rPr>
            <b/>
            <sz val="8"/>
            <color indexed="81"/>
            <rFont val="Tahoma"/>
            <family val="2"/>
          </rPr>
          <t>By selecting this over-damped response CCOMP, typical phase margin is set to 90⁰ and the loop response is overdamped</t>
        </r>
      </text>
    </comment>
    <comment ref="F97" authorId="0" shapeId="0" xr:uid="{00000000-0006-0000-0000-000039000000}">
      <text>
        <r>
          <rPr>
            <b/>
            <sz val="8"/>
            <color indexed="81"/>
            <rFont val="Tahoma"/>
            <family val="2"/>
          </rPr>
          <t>Phase margin is decreased by placing FZ_EA higher than FLP.
Lower phase margin means faster settling time in general.
Recommended range of FZ_EA is from 1 × FLP to 4 × FLP (1 ≤ K2 ≤ 4). 
Conservative selection is 1
Aggressive selection is 4
Default value is 3
Practical crossover frequency will vary by K2, within a range of 0.5 x FCROSS to 1.0 x FCROSS.
The text in this cell is red if the value is :
-greater than 4</t>
        </r>
      </text>
    </comment>
    <comment ref="F100" authorId="0" shapeId="0" xr:uid="{00000000-0006-0000-0000-00003A000000}">
      <text>
        <r>
          <rPr>
            <b/>
            <sz val="8"/>
            <color indexed="81"/>
            <rFont val="Tahoma"/>
            <family val="2"/>
          </rPr>
          <t xml:space="preserve">Select the closest standard value. </t>
        </r>
      </text>
    </comment>
    <comment ref="F102" authorId="0" shapeId="0" xr:uid="{00000000-0006-0000-0000-00003B000000}">
      <text>
        <r>
          <rPr>
            <b/>
            <sz val="8"/>
            <color indexed="81"/>
            <rFont val="Tahoma"/>
            <family val="2"/>
          </rPr>
          <t xml:space="preserve">Select the closest standard value. </t>
        </r>
      </text>
    </comment>
    <comment ref="F104" authorId="0" shapeId="0" xr:uid="{00000000-0006-0000-0000-00003C000000}">
      <text>
        <r>
          <rPr>
            <b/>
            <sz val="8"/>
            <color indexed="81"/>
            <rFont val="Tahoma"/>
            <family val="2"/>
          </rPr>
          <t>By using a small ESR capacitor which can place FZ_ESR greater than 10 × FCROSS, the output capacitor ESR does not affect the loop stability</t>
        </r>
      </text>
    </comment>
    <comment ref="F107" authorId="0" shapeId="0" xr:uid="{00000000-0006-0000-0000-00003D000000}">
      <text>
        <r>
          <rPr>
            <b/>
            <sz val="8"/>
            <color indexed="81"/>
            <rFont val="Tahoma"/>
            <family val="2"/>
          </rPr>
          <t>CHF is usually used to create a pole at high frequency (FP_EA) to cancel FZ_ESR</t>
        </r>
        <r>
          <rPr>
            <sz val="8"/>
            <color indexed="81"/>
            <rFont val="Tahoma"/>
            <family val="2"/>
          </rPr>
          <t xml:space="preserve">
</t>
        </r>
      </text>
    </comment>
  </commentList>
</comments>
</file>

<file path=xl/sharedStrings.xml><?xml version="1.0" encoding="utf-8"?>
<sst xmlns="http://schemas.openxmlformats.org/spreadsheetml/2006/main" count="237" uniqueCount="161">
  <si>
    <t>About</t>
  </si>
  <si>
    <t>TERMS OF USE</t>
  </si>
  <si>
    <t>= Input Box</t>
  </si>
  <si>
    <t>V</t>
  </si>
  <si>
    <t>Mode</t>
  </si>
  <si>
    <t xml:space="preserve">Switching Mode </t>
  </si>
  <si>
    <t>kHz</t>
  </si>
  <si>
    <t>Estimated Efficiency</t>
  </si>
  <si>
    <t>%</t>
  </si>
  <si>
    <t>A</t>
  </si>
  <si>
    <t xml:space="preserve">Maxumum  Input Current  </t>
  </si>
  <si>
    <t xml:space="preserve"> Minimum Reverse Voltage Rating</t>
  </si>
  <si>
    <t xml:space="preserve"> Minimum Average Forward Current Rating</t>
  </si>
  <si>
    <r>
      <t>Minimum Input Supply Voltage , V</t>
    </r>
    <r>
      <rPr>
        <vertAlign val="subscript"/>
        <sz val="10"/>
        <color theme="1"/>
        <rFont val="Calibri"/>
        <family val="2"/>
        <scheme val="minor"/>
      </rPr>
      <t>SUPPLY(min)</t>
    </r>
    <r>
      <rPr>
        <sz val="10"/>
        <color theme="1"/>
        <rFont val="Calibri"/>
        <family val="2"/>
        <scheme val="minor"/>
      </rPr>
      <t xml:space="preserve"> </t>
    </r>
  </si>
  <si>
    <r>
      <t>Typical Input Supply Voltage, V</t>
    </r>
    <r>
      <rPr>
        <vertAlign val="subscript"/>
        <sz val="10"/>
        <color theme="1"/>
        <rFont val="Calibri"/>
        <family val="2"/>
        <scheme val="minor"/>
      </rPr>
      <t>SUPPLY(typ)</t>
    </r>
    <r>
      <rPr>
        <sz val="10"/>
        <color theme="1"/>
        <rFont val="Calibri"/>
        <family val="2"/>
        <scheme val="minor"/>
      </rPr>
      <t xml:space="preserve"> </t>
    </r>
  </si>
  <si>
    <r>
      <t>Maximum Input Supply Voltage , V</t>
    </r>
    <r>
      <rPr>
        <vertAlign val="subscript"/>
        <sz val="10"/>
        <color theme="1"/>
        <rFont val="Calibri"/>
        <family val="2"/>
        <scheme val="minor"/>
      </rPr>
      <t>SUPPLY(max)</t>
    </r>
    <r>
      <rPr>
        <sz val="10"/>
        <color theme="1"/>
        <rFont val="Calibri"/>
        <family val="2"/>
        <scheme val="minor"/>
      </rPr>
      <t xml:space="preserve"> </t>
    </r>
  </si>
  <si>
    <r>
      <t>Output Target Voltage, V</t>
    </r>
    <r>
      <rPr>
        <vertAlign val="subscript"/>
        <sz val="10"/>
        <color theme="1"/>
        <rFont val="Calibri"/>
        <family val="2"/>
        <scheme val="minor"/>
      </rPr>
      <t>LOAD</t>
    </r>
    <r>
      <rPr>
        <sz val="10"/>
        <color theme="1"/>
        <rFont val="Calibri"/>
        <family val="2"/>
        <scheme val="minor"/>
      </rPr>
      <t xml:space="preserve"> </t>
    </r>
  </si>
  <si>
    <r>
      <t>Maximum Output Current , I</t>
    </r>
    <r>
      <rPr>
        <vertAlign val="subscript"/>
        <sz val="10"/>
        <color theme="1"/>
        <rFont val="Calibri"/>
        <family val="2"/>
        <scheme val="minor"/>
      </rPr>
      <t>LOAD</t>
    </r>
    <r>
      <rPr>
        <sz val="10"/>
        <color theme="1"/>
        <rFont val="Calibri"/>
        <family val="2"/>
        <scheme val="minor"/>
      </rPr>
      <t xml:space="preserve"> </t>
    </r>
  </si>
  <si>
    <r>
      <t>Output Power, P</t>
    </r>
    <r>
      <rPr>
        <vertAlign val="subscript"/>
        <sz val="10"/>
        <color theme="1"/>
        <rFont val="Calibri"/>
        <family val="2"/>
        <scheme val="minor"/>
      </rPr>
      <t>OUT</t>
    </r>
    <r>
      <rPr>
        <sz val="10"/>
        <color theme="1"/>
        <rFont val="Calibri"/>
        <family val="2"/>
        <scheme val="minor"/>
      </rPr>
      <t xml:space="preserve"> </t>
    </r>
  </si>
  <si>
    <r>
      <t>Output Voltage&amp; Mode Selection Resistor, R</t>
    </r>
    <r>
      <rPr>
        <vertAlign val="subscript"/>
        <sz val="10"/>
        <color theme="1"/>
        <rFont val="Calibri"/>
        <family val="2"/>
        <scheme val="minor"/>
      </rPr>
      <t>SET</t>
    </r>
  </si>
  <si>
    <r>
      <t>Frequency Program Resistor, R</t>
    </r>
    <r>
      <rPr>
        <vertAlign val="subscript"/>
        <sz val="10"/>
        <color theme="1"/>
        <rFont val="Calibri"/>
        <family val="2"/>
        <scheme val="minor"/>
      </rPr>
      <t>T</t>
    </r>
  </si>
  <si>
    <t>W</t>
  </si>
  <si>
    <r>
      <t>k</t>
    </r>
    <r>
      <rPr>
        <sz val="10"/>
        <color theme="1"/>
        <rFont val="Arial"/>
        <family val="2"/>
      </rPr>
      <t>Ω</t>
    </r>
  </si>
  <si>
    <t>SS</t>
  </si>
  <si>
    <t>EC</t>
  </si>
  <si>
    <r>
      <t>Forward Voltage drop @ Max Input Current, V</t>
    </r>
    <r>
      <rPr>
        <vertAlign val="subscript"/>
        <sz val="10"/>
        <color theme="1"/>
        <rFont val="Calibri"/>
        <family val="2"/>
        <scheme val="minor"/>
      </rPr>
      <t>F</t>
    </r>
  </si>
  <si>
    <r>
      <t>Reverse Revovery Charge , Q</t>
    </r>
    <r>
      <rPr>
        <vertAlign val="subscript"/>
        <sz val="10"/>
        <color theme="1"/>
        <rFont val="Calibri"/>
        <family val="2"/>
        <scheme val="minor"/>
      </rPr>
      <t>RR</t>
    </r>
  </si>
  <si>
    <t>nC</t>
  </si>
  <si>
    <t>Total Gate Charge @ 5V</t>
  </si>
  <si>
    <t>Ω</t>
  </si>
  <si>
    <t>mΩ</t>
  </si>
  <si>
    <t>Drain-to-source On-resistance @ Max Tj @ 4.5V</t>
  </si>
  <si>
    <t>Dmaxlimit</t>
  </si>
  <si>
    <t>Dmaxmargin</t>
  </si>
  <si>
    <r>
      <t>Minimum Inductance (if R</t>
    </r>
    <r>
      <rPr>
        <vertAlign val="subscript"/>
        <sz val="10"/>
        <color theme="1"/>
        <rFont val="Calibri"/>
        <family val="2"/>
        <scheme val="minor"/>
      </rPr>
      <t>SL</t>
    </r>
    <r>
      <rPr>
        <sz val="10"/>
        <color theme="1"/>
        <rFont val="Calibri"/>
        <family val="2"/>
        <scheme val="minor"/>
      </rPr>
      <t>=0)</t>
    </r>
  </si>
  <si>
    <r>
      <t>User Selection. Inductance, L</t>
    </r>
    <r>
      <rPr>
        <vertAlign val="subscript"/>
        <sz val="10"/>
        <color theme="1"/>
        <rFont val="Calibri"/>
        <family val="2"/>
        <scheme val="minor"/>
      </rPr>
      <t>M</t>
    </r>
  </si>
  <si>
    <r>
      <t>User Selection. Sense Resistor, R</t>
    </r>
    <r>
      <rPr>
        <vertAlign val="subscript"/>
        <sz val="10"/>
        <color theme="1"/>
        <rFont val="Calibri"/>
        <family val="2"/>
        <scheme val="minor"/>
      </rPr>
      <t>S</t>
    </r>
  </si>
  <si>
    <r>
      <t>Estimated R</t>
    </r>
    <r>
      <rPr>
        <vertAlign val="subscript"/>
        <sz val="10"/>
        <color theme="1"/>
        <rFont val="Calibri"/>
        <family val="2"/>
        <scheme val="minor"/>
      </rPr>
      <t>S</t>
    </r>
    <r>
      <rPr>
        <sz val="10"/>
        <color theme="1"/>
        <rFont val="Calibri"/>
        <family val="2"/>
        <scheme val="minor"/>
      </rPr>
      <t xml:space="preserve"> Power Loss, P</t>
    </r>
    <r>
      <rPr>
        <vertAlign val="subscript"/>
        <sz val="10"/>
        <color theme="1"/>
        <rFont val="Calibri"/>
        <family val="2"/>
        <scheme val="minor"/>
      </rPr>
      <t>RS</t>
    </r>
  </si>
  <si>
    <r>
      <t>Maximum Duty Cycle @ V</t>
    </r>
    <r>
      <rPr>
        <vertAlign val="subscript"/>
        <sz val="10"/>
        <color theme="1"/>
        <rFont val="Calibri"/>
        <family val="2"/>
        <scheme val="minor"/>
      </rPr>
      <t>SUPPLY(min)</t>
    </r>
    <r>
      <rPr>
        <sz val="10"/>
        <color theme="1"/>
        <rFont val="Calibri"/>
        <family val="2"/>
        <scheme val="minor"/>
      </rPr>
      <t xml:space="preserve"> (Practical)</t>
    </r>
  </si>
  <si>
    <t>Desired Inductor Current Ripple Ratio @ D=0.33</t>
  </si>
  <si>
    <r>
      <t>Load Resistance, R</t>
    </r>
    <r>
      <rPr>
        <vertAlign val="subscript"/>
        <sz val="10"/>
        <color theme="1"/>
        <rFont val="Calibri"/>
        <family val="2"/>
        <scheme val="minor"/>
      </rPr>
      <t>LOAD</t>
    </r>
  </si>
  <si>
    <t>uH</t>
  </si>
  <si>
    <t>Recommended Inductance (based on riple ratio)</t>
  </si>
  <si>
    <r>
      <t>Maximum Peak Inductor Current @ V</t>
    </r>
    <r>
      <rPr>
        <vertAlign val="subscript"/>
        <sz val="10"/>
        <color theme="1"/>
        <rFont val="Calibri"/>
        <family val="2"/>
        <scheme val="minor"/>
      </rPr>
      <t>SUPPLY(min)</t>
    </r>
    <r>
      <rPr>
        <sz val="10"/>
        <color theme="1"/>
        <rFont val="Calibri"/>
        <family val="2"/>
        <scheme val="minor"/>
      </rPr>
      <t xml:space="preserve">  (During Normal Operation)</t>
    </r>
  </si>
  <si>
    <r>
      <t>Max Inductor DCR, R</t>
    </r>
    <r>
      <rPr>
        <vertAlign val="subscript"/>
        <sz val="10"/>
        <color theme="1"/>
        <rFont val="Calibri"/>
        <family val="2"/>
        <scheme val="minor"/>
      </rPr>
      <t>DCR</t>
    </r>
  </si>
  <si>
    <t>kΩ</t>
  </si>
  <si>
    <t xml:space="preserve">Recommended Current Sense Resistance </t>
  </si>
  <si>
    <t>Current Limit Margin</t>
  </si>
  <si>
    <r>
      <t>User Selection, Slope Compensation Resistor, R</t>
    </r>
    <r>
      <rPr>
        <vertAlign val="subscript"/>
        <sz val="10"/>
        <color theme="1"/>
        <rFont val="Calibri"/>
        <family val="2"/>
        <scheme val="minor"/>
      </rPr>
      <t>SL</t>
    </r>
  </si>
  <si>
    <t>pF</t>
  </si>
  <si>
    <t xml:space="preserve">Current limit is not valid if the supply voltage is greather than </t>
  </si>
  <si>
    <t>uF</t>
  </si>
  <si>
    <t>Required Slope Compensation Resistor</t>
  </si>
  <si>
    <r>
      <t>User Selection. Input Capacitor C</t>
    </r>
    <r>
      <rPr>
        <vertAlign val="subscript"/>
        <sz val="10"/>
        <color theme="1"/>
        <rFont val="Calibri"/>
        <family val="2"/>
        <scheme val="minor"/>
      </rPr>
      <t>IN</t>
    </r>
  </si>
  <si>
    <t>Minimum Input Capacitance (Ceramic)</t>
  </si>
  <si>
    <t>Maximum Peak Inductor Current during Current Limit (Ideal)</t>
  </si>
  <si>
    <t>Maximum Peak Inductor Current during Current Limit (Practical)</t>
  </si>
  <si>
    <r>
      <t>User Selection. Current Sense Filter Capacitor C</t>
    </r>
    <r>
      <rPr>
        <vertAlign val="subscript"/>
        <sz val="10"/>
        <color theme="1"/>
        <rFont val="Calibri"/>
        <family val="2"/>
        <scheme val="minor"/>
      </rPr>
      <t>F</t>
    </r>
  </si>
  <si>
    <r>
      <t>User Selection. Current Sense Filter Resistor, R</t>
    </r>
    <r>
      <rPr>
        <vertAlign val="subscript"/>
        <sz val="10"/>
        <color theme="1"/>
        <rFont val="Calibri"/>
        <family val="2"/>
        <scheme val="minor"/>
      </rPr>
      <t>F</t>
    </r>
  </si>
  <si>
    <r>
      <t>Right Half Plane Zero @ V</t>
    </r>
    <r>
      <rPr>
        <vertAlign val="subscript"/>
        <sz val="10"/>
        <color theme="1"/>
        <rFont val="Calibri"/>
        <family val="2"/>
        <scheme val="minor"/>
      </rPr>
      <t xml:space="preserve">SUPPLY(MIN) </t>
    </r>
    <r>
      <rPr>
        <sz val="10"/>
        <color theme="1"/>
        <rFont val="Calibri"/>
        <family val="2"/>
        <scheme val="minor"/>
      </rPr>
      <t>, F</t>
    </r>
    <r>
      <rPr>
        <vertAlign val="subscript"/>
        <sz val="10"/>
        <color theme="1"/>
        <rFont val="Calibri"/>
        <family val="2"/>
        <scheme val="minor"/>
      </rPr>
      <t>RHP</t>
    </r>
  </si>
  <si>
    <r>
      <t>Recommended Crossover Frequency, F</t>
    </r>
    <r>
      <rPr>
        <vertAlign val="subscript"/>
        <sz val="10"/>
        <color theme="1"/>
        <rFont val="Calibri"/>
        <family val="2"/>
        <scheme val="minor"/>
      </rPr>
      <t>CROSS</t>
    </r>
  </si>
  <si>
    <t>Recommended Output Capacitance</t>
  </si>
  <si>
    <t>nF</t>
  </si>
  <si>
    <r>
      <t>Recommended C</t>
    </r>
    <r>
      <rPr>
        <vertAlign val="subscript"/>
        <sz val="10"/>
        <color theme="1"/>
        <rFont val="Calibri"/>
        <family val="2"/>
        <scheme val="minor"/>
      </rPr>
      <t xml:space="preserve">COMP </t>
    </r>
    <r>
      <rPr>
        <sz val="10"/>
        <color theme="1"/>
        <rFont val="Calibri"/>
        <family val="2"/>
        <scheme val="minor"/>
      </rPr>
      <t>(Over damped response)</t>
    </r>
  </si>
  <si>
    <r>
      <t>F</t>
    </r>
    <r>
      <rPr>
        <vertAlign val="subscript"/>
        <sz val="10"/>
        <color theme="1"/>
        <rFont val="Calibri"/>
        <family val="2"/>
        <scheme val="minor"/>
      </rPr>
      <t>LP</t>
    </r>
    <r>
      <rPr>
        <sz val="10"/>
        <color theme="1"/>
        <rFont val="Calibri"/>
        <family val="2"/>
        <scheme val="minor"/>
      </rPr>
      <t>/F</t>
    </r>
    <r>
      <rPr>
        <vertAlign val="subscript"/>
        <sz val="10"/>
        <color theme="1"/>
        <rFont val="Calibri"/>
        <family val="2"/>
        <scheme val="minor"/>
      </rPr>
      <t>CROSS</t>
    </r>
    <r>
      <rPr>
        <sz val="10"/>
        <color theme="1"/>
        <rFont val="Calibri"/>
        <family val="2"/>
        <scheme val="minor"/>
      </rPr>
      <t xml:space="preserve">, K1 </t>
    </r>
  </si>
  <si>
    <r>
      <t>F</t>
    </r>
    <r>
      <rPr>
        <vertAlign val="subscript"/>
        <sz val="10"/>
        <color theme="1"/>
        <rFont val="Calibri"/>
        <family val="2"/>
        <scheme val="minor"/>
      </rPr>
      <t>Z(EA)</t>
    </r>
    <r>
      <rPr>
        <sz val="10"/>
        <color theme="1"/>
        <rFont val="Calibri"/>
        <family val="2"/>
        <scheme val="minor"/>
      </rPr>
      <t xml:space="preserve"> / F</t>
    </r>
    <r>
      <rPr>
        <vertAlign val="subscript"/>
        <sz val="10"/>
        <color theme="1"/>
        <rFont val="Calibri"/>
        <family val="2"/>
        <scheme val="minor"/>
      </rPr>
      <t>LP</t>
    </r>
    <r>
      <rPr>
        <sz val="10"/>
        <color theme="1"/>
        <rFont val="Calibri"/>
        <family val="2"/>
        <scheme val="minor"/>
      </rPr>
      <t>, K2</t>
    </r>
  </si>
  <si>
    <r>
      <t>User Selection,  C</t>
    </r>
    <r>
      <rPr>
        <vertAlign val="subscript"/>
        <sz val="10"/>
        <color theme="1"/>
        <rFont val="Calibri"/>
        <family val="2"/>
        <scheme val="minor"/>
      </rPr>
      <t xml:space="preserve">COMP </t>
    </r>
  </si>
  <si>
    <r>
      <t>Recommended C</t>
    </r>
    <r>
      <rPr>
        <vertAlign val="subscript"/>
        <sz val="10"/>
        <color theme="1"/>
        <rFont val="Calibri"/>
        <family val="2"/>
        <scheme val="minor"/>
      </rPr>
      <t xml:space="preserve">COMP </t>
    </r>
    <r>
      <rPr>
        <sz val="10"/>
        <color theme="1"/>
        <rFont val="Calibri"/>
        <family val="2"/>
        <scheme val="minor"/>
      </rPr>
      <t>(Under damped response)</t>
    </r>
  </si>
  <si>
    <r>
      <t>Recommended R</t>
    </r>
    <r>
      <rPr>
        <vertAlign val="subscript"/>
        <sz val="10"/>
        <color theme="1"/>
        <rFont val="Calibri"/>
        <family val="2"/>
        <scheme val="minor"/>
      </rPr>
      <t xml:space="preserve">COMP </t>
    </r>
  </si>
  <si>
    <r>
      <t>User Selection R</t>
    </r>
    <r>
      <rPr>
        <vertAlign val="subscript"/>
        <sz val="10"/>
        <color theme="1"/>
        <rFont val="Calibri"/>
        <family val="2"/>
        <scheme val="minor"/>
      </rPr>
      <t xml:space="preserve">COMP </t>
    </r>
  </si>
  <si>
    <r>
      <t>Recommended Maximum ESR of C</t>
    </r>
    <r>
      <rPr>
        <vertAlign val="subscript"/>
        <sz val="10"/>
        <color theme="1"/>
        <rFont val="Calibri"/>
        <family val="2"/>
        <scheme val="minor"/>
      </rPr>
      <t>OUT</t>
    </r>
  </si>
  <si>
    <r>
      <t>User Selection,  ESR of C</t>
    </r>
    <r>
      <rPr>
        <vertAlign val="subscript"/>
        <sz val="10"/>
        <color theme="1"/>
        <rFont val="Calibri"/>
        <family val="2"/>
        <scheme val="minor"/>
      </rPr>
      <t>OUT</t>
    </r>
  </si>
  <si>
    <r>
      <t>Recommended C</t>
    </r>
    <r>
      <rPr>
        <vertAlign val="subscript"/>
        <sz val="10"/>
        <color theme="1"/>
        <rFont val="Calibri"/>
        <family val="2"/>
        <scheme val="minor"/>
      </rPr>
      <t>HF</t>
    </r>
  </si>
  <si>
    <t>ESR Zero Frequency</t>
  </si>
  <si>
    <r>
      <t>AVCC Capacitor, C</t>
    </r>
    <r>
      <rPr>
        <vertAlign val="subscript"/>
        <sz val="10"/>
        <color theme="1"/>
        <rFont val="Calibri"/>
        <family val="2"/>
        <scheme val="minor"/>
      </rPr>
      <t>AVCC</t>
    </r>
  </si>
  <si>
    <r>
      <t>AVCC Resistor R</t>
    </r>
    <r>
      <rPr>
        <vertAlign val="subscript"/>
        <sz val="10"/>
        <color theme="1"/>
        <rFont val="Calibri"/>
        <family val="2"/>
        <scheme val="minor"/>
      </rPr>
      <t>AVCC</t>
    </r>
  </si>
  <si>
    <r>
      <t>Minimum PVCC Capacitor, C</t>
    </r>
    <r>
      <rPr>
        <vertAlign val="subscript"/>
        <sz val="10"/>
        <color theme="1"/>
        <rFont val="Calibri"/>
        <family val="2"/>
        <scheme val="minor"/>
      </rPr>
      <t>PVCC</t>
    </r>
  </si>
  <si>
    <r>
      <t>Minimum VOUT  Capacitor, C</t>
    </r>
    <r>
      <rPr>
        <vertAlign val="subscript"/>
        <sz val="10"/>
        <color theme="1"/>
        <rFont val="Calibri"/>
        <family val="2"/>
        <scheme val="minor"/>
      </rPr>
      <t>VOUT</t>
    </r>
  </si>
  <si>
    <t xml:space="preserve">Output Capacitor Ripple Current </t>
  </si>
  <si>
    <r>
      <t>Target Load Pole Frequency, F</t>
    </r>
    <r>
      <rPr>
        <vertAlign val="subscript"/>
        <sz val="10"/>
        <color theme="1"/>
        <rFont val="Calibri"/>
        <family val="2"/>
        <scheme val="minor"/>
      </rPr>
      <t>LP</t>
    </r>
  </si>
  <si>
    <t>Target Error Amplifier Zero Frequency</t>
  </si>
  <si>
    <t>Iload</t>
  </si>
  <si>
    <t>Pg</t>
  </si>
  <si>
    <t>Piq</t>
  </si>
  <si>
    <t>Pqsw</t>
  </si>
  <si>
    <t>Pqcond</t>
  </si>
  <si>
    <t>Pvf</t>
  </si>
  <si>
    <t>Prr</t>
  </si>
  <si>
    <t>Pdcr</t>
  </si>
  <si>
    <t>Pac</t>
  </si>
  <si>
    <t>Prs</t>
  </si>
  <si>
    <t>ns</t>
  </si>
  <si>
    <t>Plosstotal</t>
  </si>
  <si>
    <t>Pout</t>
  </si>
  <si>
    <t>Effi</t>
  </si>
  <si>
    <t>Pic</t>
  </si>
  <si>
    <t>Pq</t>
  </si>
  <si>
    <t>Pd</t>
  </si>
  <si>
    <t>Pl</t>
  </si>
  <si>
    <t>Frequency</t>
  </si>
  <si>
    <t>Typical supply</t>
  </si>
  <si>
    <t>Minimum supply</t>
  </si>
  <si>
    <t>Modulator</t>
  </si>
  <si>
    <t>Gain</t>
  </si>
  <si>
    <t>Phase</t>
  </si>
  <si>
    <t>Feedback</t>
  </si>
  <si>
    <t>Openloop</t>
  </si>
  <si>
    <t>RHPzero</t>
  </si>
  <si>
    <t>ESRzero</t>
  </si>
  <si>
    <t>ESRpole</t>
  </si>
  <si>
    <t>Loadpole</t>
  </si>
  <si>
    <t>Sampling pole</t>
  </si>
  <si>
    <t>Double pole</t>
  </si>
  <si>
    <t>LowF zero</t>
  </si>
  <si>
    <t>HighFpole</t>
  </si>
  <si>
    <t>Modulator DC gain</t>
  </si>
  <si>
    <t>Pi</t>
  </si>
  <si>
    <r>
      <t>User Selection Bulk Output Capacitor, C</t>
    </r>
    <r>
      <rPr>
        <vertAlign val="subscript"/>
        <sz val="10"/>
        <color theme="1"/>
        <rFont val="Calibri"/>
        <family val="2"/>
        <scheme val="minor"/>
      </rPr>
      <t>OUT1</t>
    </r>
  </si>
  <si>
    <r>
      <t>User Selection Ceramic Output Capacitor, C</t>
    </r>
    <r>
      <rPr>
        <vertAlign val="subscript"/>
        <sz val="10"/>
        <color theme="1"/>
        <rFont val="Calibri"/>
        <family val="2"/>
        <scheme val="minor"/>
      </rPr>
      <t>OUT2</t>
    </r>
  </si>
  <si>
    <t>K</t>
  </si>
  <si>
    <t>Frhpz</t>
  </si>
  <si>
    <t>Fesrp</t>
  </si>
  <si>
    <t>Flp</t>
  </si>
  <si>
    <t>Fsp</t>
  </si>
  <si>
    <t>Fdp</t>
  </si>
  <si>
    <t>Feaz</t>
  </si>
  <si>
    <t>Feap</t>
  </si>
  <si>
    <t>FB loop DC gain</t>
  </si>
  <si>
    <r>
      <t xml:space="preserve"> Error Amplifier Zero Frequency, F</t>
    </r>
    <r>
      <rPr>
        <vertAlign val="subscript"/>
        <sz val="10"/>
        <color theme="1"/>
        <rFont val="Calibri"/>
        <family val="2"/>
        <scheme val="minor"/>
      </rPr>
      <t>Z(EA)</t>
    </r>
  </si>
  <si>
    <r>
      <t xml:space="preserve"> Target Error Amplifier Pole Frequency, F</t>
    </r>
    <r>
      <rPr>
        <vertAlign val="subscript"/>
        <sz val="10"/>
        <color theme="1"/>
        <rFont val="Calibri"/>
        <family val="2"/>
        <scheme val="minor"/>
      </rPr>
      <t>P(EA)</t>
    </r>
  </si>
  <si>
    <t>Fzesr</t>
  </si>
  <si>
    <t>Note) Core loss is assumed to be the same value as Copper loss</t>
  </si>
  <si>
    <t xml:space="preserve"> LM5150 Boost Controller Design Tool</t>
  </si>
  <si>
    <r>
      <t>Minimum on-time @ V</t>
    </r>
    <r>
      <rPr>
        <vertAlign val="subscript"/>
        <sz val="10"/>
        <color theme="1"/>
        <rFont val="Calibri"/>
        <family val="2"/>
        <scheme val="minor"/>
      </rPr>
      <t>SUPPLY(MAX)</t>
    </r>
    <r>
      <rPr>
        <sz val="10"/>
        <color theme="1"/>
        <rFont val="Calibri"/>
        <family val="2"/>
        <scheme val="minor"/>
      </rPr>
      <t>, T</t>
    </r>
    <r>
      <rPr>
        <vertAlign val="subscript"/>
        <sz val="10"/>
        <color theme="1"/>
        <rFont val="Calibri"/>
        <family val="2"/>
        <scheme val="minor"/>
      </rPr>
      <t>ON(MIN)</t>
    </r>
  </si>
  <si>
    <r>
      <t>Minimum off-time @ V</t>
    </r>
    <r>
      <rPr>
        <vertAlign val="subscript"/>
        <sz val="10"/>
        <color theme="1"/>
        <rFont val="Calibri"/>
        <family val="2"/>
        <scheme val="minor"/>
      </rPr>
      <t>SUPPLY(MIN)</t>
    </r>
    <r>
      <rPr>
        <sz val="10"/>
        <color theme="1"/>
        <rFont val="Calibri"/>
        <family val="2"/>
        <scheme val="minor"/>
      </rPr>
      <t>, T</t>
    </r>
    <r>
      <rPr>
        <vertAlign val="subscript"/>
        <sz val="10"/>
        <color theme="1"/>
        <rFont val="Calibri"/>
        <family val="2"/>
        <scheme val="minor"/>
      </rPr>
      <t>OFF(MIN)</t>
    </r>
  </si>
  <si>
    <r>
      <t>Free Running Switching Frequency, F</t>
    </r>
    <r>
      <rPr>
        <vertAlign val="subscript"/>
        <sz val="10"/>
        <color theme="1"/>
        <rFont val="Calibri"/>
        <family val="2"/>
        <scheme val="minor"/>
      </rPr>
      <t>SW</t>
    </r>
  </si>
  <si>
    <r>
      <t>External Synchronization Frequency, F</t>
    </r>
    <r>
      <rPr>
        <vertAlign val="subscript"/>
        <sz val="10"/>
        <color theme="1"/>
        <rFont val="Calibri"/>
        <family val="2"/>
        <scheme val="minor"/>
      </rPr>
      <t>SYNC</t>
    </r>
  </si>
  <si>
    <t>Step 1:  Specifications</t>
  </si>
  <si>
    <t>Current limit is not valid when the dutycycle is less than</t>
  </si>
  <si>
    <r>
      <t>Boost Converter Duty Cycle Limit by LM5150 at V</t>
    </r>
    <r>
      <rPr>
        <vertAlign val="subscript"/>
        <sz val="10"/>
        <color theme="1"/>
        <rFont val="Calibri"/>
        <family val="2"/>
        <scheme val="minor"/>
      </rPr>
      <t>SUPPLY(MIN)</t>
    </r>
    <r>
      <rPr>
        <sz val="10"/>
        <color theme="1"/>
        <rFont val="Calibri"/>
        <family val="2"/>
        <scheme val="minor"/>
      </rPr>
      <t xml:space="preserve"> (Ideal)</t>
    </r>
  </si>
  <si>
    <t>Boost Converter Duty Cycle Limit by LM5150 (including 50ns margin)</t>
  </si>
  <si>
    <t xml:space="preserve">Switch Node Rising Time @ target Vout </t>
  </si>
  <si>
    <t xml:space="preserve">Switch Node Falling Time @ target Vout </t>
  </si>
  <si>
    <t>Minimum Achievable Supply Voltage</t>
  </si>
  <si>
    <t>Total Output Capacitor</t>
  </si>
  <si>
    <t>Minimum Dran-to-source Breakdown Voltage</t>
  </si>
  <si>
    <r>
      <t>Step 2: R</t>
    </r>
    <r>
      <rPr>
        <b/>
        <vertAlign val="subscript"/>
        <sz val="10"/>
        <color indexed="12"/>
        <rFont val="Calibri"/>
        <family val="2"/>
        <scheme val="minor"/>
      </rPr>
      <t>SET</t>
    </r>
    <r>
      <rPr>
        <b/>
        <sz val="10"/>
        <color indexed="12"/>
        <rFont val="Calibri"/>
        <family val="2"/>
        <scheme val="minor"/>
      </rPr>
      <t xml:space="preserve"> Resistor Selection</t>
    </r>
  </si>
  <si>
    <r>
      <t>Step 3: R</t>
    </r>
    <r>
      <rPr>
        <b/>
        <vertAlign val="subscript"/>
        <sz val="10"/>
        <color indexed="12"/>
        <rFont val="Calibri"/>
        <family val="2"/>
        <scheme val="minor"/>
      </rPr>
      <t>T</t>
    </r>
    <r>
      <rPr>
        <b/>
        <sz val="10"/>
        <color indexed="12"/>
        <rFont val="Calibri"/>
        <family val="2"/>
        <scheme val="minor"/>
      </rPr>
      <t xml:space="preserve"> Resistor Selection</t>
    </r>
  </si>
  <si>
    <t>Step 4: D1 Diode Selection</t>
  </si>
  <si>
    <t>Step 5: Q1 MOSFET Selection</t>
  </si>
  <si>
    <r>
      <t>Step 6: L</t>
    </r>
    <r>
      <rPr>
        <b/>
        <vertAlign val="subscript"/>
        <sz val="10"/>
        <color indexed="12"/>
        <rFont val="Calibri"/>
        <family val="2"/>
        <scheme val="minor"/>
      </rPr>
      <t>M</t>
    </r>
    <r>
      <rPr>
        <b/>
        <sz val="10"/>
        <color indexed="12"/>
        <rFont val="Calibri"/>
        <family val="2"/>
        <scheme val="minor"/>
      </rPr>
      <t xml:space="preserve"> Inductor Selection</t>
    </r>
  </si>
  <si>
    <r>
      <t>Step 7: R</t>
    </r>
    <r>
      <rPr>
        <b/>
        <vertAlign val="subscript"/>
        <sz val="10"/>
        <color indexed="12"/>
        <rFont val="Calibri"/>
        <family val="2"/>
        <scheme val="minor"/>
      </rPr>
      <t>SL</t>
    </r>
    <r>
      <rPr>
        <b/>
        <sz val="10"/>
        <color indexed="12"/>
        <rFont val="Calibri"/>
        <family val="2"/>
        <scheme val="minor"/>
      </rPr>
      <t xml:space="preserve"> Slope Resistor Selection</t>
    </r>
  </si>
  <si>
    <r>
      <t>Step 8: R</t>
    </r>
    <r>
      <rPr>
        <b/>
        <vertAlign val="subscript"/>
        <sz val="10"/>
        <color indexed="12"/>
        <rFont val="Calibri"/>
        <family val="2"/>
        <scheme val="minor"/>
      </rPr>
      <t>S</t>
    </r>
    <r>
      <rPr>
        <b/>
        <sz val="10"/>
        <color indexed="12"/>
        <rFont val="Calibri"/>
        <family val="2"/>
        <scheme val="minor"/>
      </rPr>
      <t xml:space="preserve"> Current Sense Resistor Selection</t>
    </r>
  </si>
  <si>
    <r>
      <t>Step 9: R</t>
    </r>
    <r>
      <rPr>
        <b/>
        <vertAlign val="subscript"/>
        <sz val="10"/>
        <color indexed="12"/>
        <rFont val="Calibri"/>
        <family val="2"/>
        <scheme val="minor"/>
      </rPr>
      <t>F</t>
    </r>
    <r>
      <rPr>
        <b/>
        <sz val="10"/>
        <color indexed="12"/>
        <rFont val="Calibri"/>
        <family val="2"/>
        <scheme val="minor"/>
      </rPr>
      <t>, C</t>
    </r>
    <r>
      <rPr>
        <b/>
        <vertAlign val="subscript"/>
        <sz val="10"/>
        <color indexed="12"/>
        <rFont val="Calibri"/>
        <family val="2"/>
        <scheme val="minor"/>
      </rPr>
      <t>F</t>
    </r>
    <r>
      <rPr>
        <b/>
        <sz val="10"/>
        <color indexed="12"/>
        <rFont val="Calibri"/>
        <family val="2"/>
        <scheme val="minor"/>
      </rPr>
      <t xml:space="preserve"> Filter Selection, Peak Current Limit Variation</t>
    </r>
  </si>
  <si>
    <t xml:space="preserve">Step 10: Operating Parameters </t>
  </si>
  <si>
    <r>
      <t>Step 11: C</t>
    </r>
    <r>
      <rPr>
        <b/>
        <vertAlign val="subscript"/>
        <sz val="10"/>
        <color indexed="12"/>
        <rFont val="Calibri"/>
        <family val="2"/>
        <scheme val="minor"/>
      </rPr>
      <t xml:space="preserve">IN </t>
    </r>
    <r>
      <rPr>
        <b/>
        <sz val="10"/>
        <color indexed="12"/>
        <rFont val="Calibri"/>
        <family val="2"/>
        <scheme val="minor"/>
      </rPr>
      <t>Input Capacitor Selection</t>
    </r>
  </si>
  <si>
    <r>
      <t>Step 12: C</t>
    </r>
    <r>
      <rPr>
        <b/>
        <vertAlign val="subscript"/>
        <sz val="10"/>
        <color indexed="12"/>
        <rFont val="Calibri"/>
        <family val="2"/>
        <scheme val="minor"/>
      </rPr>
      <t>VOUT</t>
    </r>
    <r>
      <rPr>
        <b/>
        <sz val="10"/>
        <color indexed="12"/>
        <rFont val="Calibri"/>
        <family val="2"/>
        <scheme val="minor"/>
      </rPr>
      <t>, C</t>
    </r>
    <r>
      <rPr>
        <b/>
        <vertAlign val="subscript"/>
        <sz val="10"/>
        <color indexed="12"/>
        <rFont val="Calibri"/>
        <family val="2"/>
        <scheme val="minor"/>
      </rPr>
      <t>PVCC</t>
    </r>
    <r>
      <rPr>
        <b/>
        <sz val="10"/>
        <color indexed="12"/>
        <rFont val="Calibri"/>
        <family val="2"/>
        <scheme val="minor"/>
      </rPr>
      <t>, C</t>
    </r>
    <r>
      <rPr>
        <b/>
        <vertAlign val="subscript"/>
        <sz val="10"/>
        <color indexed="12"/>
        <rFont val="Calibri"/>
        <family val="2"/>
        <scheme val="minor"/>
      </rPr>
      <t>AVCC</t>
    </r>
    <r>
      <rPr>
        <b/>
        <sz val="10"/>
        <color indexed="12"/>
        <rFont val="Calibri"/>
        <family val="2"/>
        <scheme val="minor"/>
      </rPr>
      <t>, R</t>
    </r>
    <r>
      <rPr>
        <b/>
        <vertAlign val="subscript"/>
        <sz val="10"/>
        <color indexed="12"/>
        <rFont val="Calibri"/>
        <family val="2"/>
        <scheme val="minor"/>
      </rPr>
      <t>AVCC</t>
    </r>
    <r>
      <rPr>
        <b/>
        <sz val="10"/>
        <color indexed="12"/>
        <rFont val="Calibri"/>
        <family val="2"/>
        <scheme val="minor"/>
      </rPr>
      <t xml:space="preserve"> Selection</t>
    </r>
  </si>
  <si>
    <r>
      <t>Step 13: C</t>
    </r>
    <r>
      <rPr>
        <b/>
        <vertAlign val="subscript"/>
        <sz val="10"/>
        <color indexed="12"/>
        <rFont val="Calibri"/>
        <family val="2"/>
        <scheme val="minor"/>
      </rPr>
      <t xml:space="preserve">OUT </t>
    </r>
    <r>
      <rPr>
        <b/>
        <sz val="10"/>
        <color indexed="12"/>
        <rFont val="Calibri"/>
        <family val="2"/>
        <scheme val="minor"/>
      </rPr>
      <t>Output Capacitor Selection</t>
    </r>
  </si>
  <si>
    <r>
      <t>Step 14: R</t>
    </r>
    <r>
      <rPr>
        <b/>
        <vertAlign val="subscript"/>
        <sz val="10"/>
        <color indexed="12"/>
        <rFont val="Calibri"/>
        <family val="2"/>
        <scheme val="minor"/>
      </rPr>
      <t>COMP</t>
    </r>
    <r>
      <rPr>
        <b/>
        <sz val="10"/>
        <color indexed="12"/>
        <rFont val="Calibri"/>
        <family val="2"/>
        <scheme val="minor"/>
      </rPr>
      <t>, C</t>
    </r>
    <r>
      <rPr>
        <b/>
        <vertAlign val="subscript"/>
        <sz val="10"/>
        <color indexed="12"/>
        <rFont val="Calibri"/>
        <family val="2"/>
        <scheme val="minor"/>
      </rPr>
      <t>COMP</t>
    </r>
    <r>
      <rPr>
        <b/>
        <sz val="10"/>
        <color indexed="12"/>
        <rFont val="Calibri"/>
        <family val="2"/>
        <scheme val="minor"/>
      </rPr>
      <t>, C</t>
    </r>
    <r>
      <rPr>
        <b/>
        <vertAlign val="subscript"/>
        <sz val="10"/>
        <color indexed="12"/>
        <rFont val="Calibri"/>
        <family val="2"/>
        <scheme val="minor"/>
      </rPr>
      <t>HF</t>
    </r>
    <r>
      <rPr>
        <b/>
        <sz val="10"/>
        <color indexed="12"/>
        <rFont val="Calibri"/>
        <family val="2"/>
        <scheme val="minor"/>
      </rPr>
      <t xml:space="preserve"> Loop Compensation Component Selection</t>
    </r>
  </si>
  <si>
    <r>
      <t>Ideal Maximum Duty Cycle @ V</t>
    </r>
    <r>
      <rPr>
        <vertAlign val="subscript"/>
        <sz val="10"/>
        <color theme="1"/>
        <rFont val="Calibri"/>
        <family val="2"/>
        <scheme val="minor"/>
      </rPr>
      <t>IN(MIN)</t>
    </r>
  </si>
  <si>
    <t>Rev. Aug/2017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</si>
</sst>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
  </numFmts>
  <fonts count="25" x14ac:knownFonts="1">
    <font>
      <sz val="11"/>
      <color theme="1"/>
      <name val="Calibri"/>
      <family val="2"/>
      <scheme val="minor"/>
    </font>
    <font>
      <sz val="8"/>
      <color indexed="81"/>
      <name val="Tahoma"/>
      <family val="2"/>
    </font>
    <font>
      <b/>
      <sz val="8"/>
      <color indexed="81"/>
      <name val="Tahoma"/>
      <family val="2"/>
    </font>
    <font>
      <sz val="11"/>
      <color theme="1"/>
      <name val="Calibri"/>
      <family val="2"/>
      <scheme val="minor"/>
    </font>
    <font>
      <sz val="10"/>
      <name val="Arial"/>
      <family val="2"/>
    </font>
    <font>
      <sz val="10"/>
      <name val="Arial"/>
      <family val="2"/>
    </font>
    <font>
      <b/>
      <sz val="12"/>
      <color indexed="10"/>
      <name val="Tahoma"/>
      <family val="2"/>
    </font>
    <font>
      <sz val="9"/>
      <color indexed="81"/>
      <name val="Tahoma"/>
      <family val="2"/>
    </font>
    <font>
      <sz val="10"/>
      <color theme="1"/>
      <name val="Arial"/>
      <family val="2"/>
    </font>
    <font>
      <b/>
      <sz val="12"/>
      <color indexed="9"/>
      <name val="Calibri"/>
      <family val="2"/>
      <scheme val="minor"/>
    </font>
    <font>
      <b/>
      <sz val="10"/>
      <color indexed="9"/>
      <name val="Calibri"/>
      <family val="2"/>
      <scheme val="minor"/>
    </font>
    <font>
      <b/>
      <sz val="10"/>
      <color theme="1"/>
      <name val="Calibri"/>
      <family val="2"/>
      <scheme val="minor"/>
    </font>
    <font>
      <b/>
      <sz val="10"/>
      <color indexed="12"/>
      <name val="Calibri"/>
      <family val="2"/>
      <scheme val="minor"/>
    </font>
    <font>
      <sz val="10"/>
      <color theme="1"/>
      <name val="Calibri"/>
      <family val="2"/>
      <scheme val="minor"/>
    </font>
    <font>
      <vertAlign val="subscript"/>
      <sz val="10"/>
      <color theme="1"/>
      <name val="Calibri"/>
      <family val="2"/>
      <scheme val="minor"/>
    </font>
    <font>
      <sz val="28"/>
      <color theme="0"/>
      <name val="Calibri"/>
      <family val="2"/>
      <scheme val="minor"/>
    </font>
    <font>
      <sz val="10"/>
      <name val="Calibri"/>
      <family val="2"/>
      <scheme val="minor"/>
    </font>
    <font>
      <b/>
      <vertAlign val="subscript"/>
      <sz val="10"/>
      <color indexed="12"/>
      <name val="Calibri"/>
      <family val="2"/>
      <scheme val="minor"/>
    </font>
    <font>
      <sz val="11"/>
      <color theme="0"/>
      <name val="Calibri"/>
      <family val="2"/>
      <scheme val="minor"/>
    </font>
    <font>
      <b/>
      <sz val="10"/>
      <name val="Calibri"/>
      <family val="2"/>
      <scheme val="minor"/>
    </font>
    <font>
      <b/>
      <sz val="10"/>
      <color theme="0"/>
      <name val="Calibri"/>
      <family val="2"/>
      <scheme val="minor"/>
    </font>
    <font>
      <b/>
      <sz val="10"/>
      <color theme="2" tint="-9.9978637043366805E-2"/>
      <name val="Calibri"/>
      <family val="2"/>
      <scheme val="minor"/>
    </font>
    <font>
      <sz val="11"/>
      <name val="Calibri"/>
      <family val="2"/>
      <scheme val="minor"/>
    </font>
    <font>
      <b/>
      <sz val="8"/>
      <color theme="1"/>
      <name val="Tahoma"/>
      <family val="2"/>
    </font>
    <font>
      <sz val="10"/>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499984740745262"/>
        <bgColor indexed="64"/>
      </patternFill>
    </fill>
  </fills>
  <borders count="7">
    <border>
      <left/>
      <right/>
      <top/>
      <bottom/>
      <diagonal/>
    </border>
    <border>
      <left style="medium">
        <color indexed="64"/>
      </left>
      <right/>
      <top/>
      <bottom/>
      <diagonal/>
    </border>
    <border>
      <left/>
      <right/>
      <top style="medium">
        <color auto="1"/>
      </top>
      <bottom/>
      <diagonal/>
    </border>
    <border>
      <left style="medium">
        <color auto="1"/>
      </left>
      <right/>
      <top style="medium">
        <color auto="1"/>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6">
    <xf numFmtId="0" fontId="0" fillId="0" borderId="0"/>
    <xf numFmtId="0" fontId="4" fillId="0" borderId="0"/>
    <xf numFmtId="0" fontId="5" fillId="0" borderId="0"/>
    <xf numFmtId="0" fontId="3" fillId="0" borderId="0"/>
    <xf numFmtId="43" fontId="3" fillId="0" borderId="0" applyFont="0" applyFill="0" applyBorder="0" applyAlignment="0" applyProtection="0"/>
    <xf numFmtId="0" fontId="5" fillId="0" borderId="0"/>
  </cellStyleXfs>
  <cellXfs count="108">
    <xf numFmtId="0" fontId="0" fillId="0" borderId="0" xfId="0"/>
    <xf numFmtId="0" fontId="3" fillId="0" borderId="0" xfId="0" applyFont="1"/>
    <xf numFmtId="0" fontId="9" fillId="4" borderId="1" xfId="1" applyFont="1" applyFill="1" applyBorder="1" applyAlignment="1" applyProtection="1">
      <alignment horizontal="left" vertical="center"/>
    </xf>
    <xf numFmtId="0" fontId="10" fillId="4" borderId="0" xfId="2" applyFont="1" applyFill="1" applyBorder="1" applyAlignment="1" applyProtection="1">
      <alignment vertical="center"/>
    </xf>
    <xf numFmtId="0" fontId="10" fillId="2" borderId="0" xfId="2" applyFont="1" applyFill="1" applyBorder="1" applyAlignment="1" applyProtection="1">
      <alignment vertical="center"/>
    </xf>
    <xf numFmtId="0" fontId="9" fillId="4" borderId="0" xfId="2" quotePrefix="1" applyFont="1" applyFill="1" applyBorder="1" applyAlignment="1" applyProtection="1">
      <alignment vertical="center"/>
    </xf>
    <xf numFmtId="0" fontId="11" fillId="0" borderId="0" xfId="0" applyFont="1"/>
    <xf numFmtId="0" fontId="11" fillId="0" borderId="0" xfId="0" applyFont="1" applyBorder="1"/>
    <xf numFmtId="0" fontId="13" fillId="0" borderId="0" xfId="0" applyFont="1"/>
    <xf numFmtId="0" fontId="13" fillId="2" borderId="0" xfId="0" applyFont="1" applyFill="1" applyAlignment="1">
      <alignment horizontal="center" vertical="center"/>
    </xf>
    <xf numFmtId="0" fontId="13" fillId="0" borderId="0" xfId="0" applyFont="1" applyBorder="1"/>
    <xf numFmtId="0" fontId="13" fillId="0" borderId="0" xfId="2" applyFont="1" applyFill="1" applyBorder="1" applyAlignment="1" applyProtection="1">
      <alignment horizontal="right"/>
    </xf>
    <xf numFmtId="0" fontId="11" fillId="0" borderId="0" xfId="2" applyFont="1" applyFill="1" applyBorder="1" applyAlignment="1" applyProtection="1">
      <alignment horizontal="right"/>
    </xf>
    <xf numFmtId="0" fontId="11" fillId="0" borderId="0" xfId="0" applyFont="1" applyAlignment="1">
      <alignment horizontal="center" vertical="center"/>
    </xf>
    <xf numFmtId="0" fontId="13" fillId="0" borderId="0" xfId="0" applyFont="1" applyAlignment="1">
      <alignment horizontal="center" vertical="center"/>
    </xf>
    <xf numFmtId="164" fontId="13" fillId="0" borderId="0" xfId="0" applyNumberFormat="1" applyFont="1" applyAlignment="1">
      <alignment horizontal="center" vertical="center"/>
    </xf>
    <xf numFmtId="0" fontId="3" fillId="0" borderId="0" xfId="0" applyFont="1" applyAlignment="1">
      <alignment horizontal="center" vertical="center"/>
    </xf>
    <xf numFmtId="0" fontId="16" fillId="0" borderId="0" xfId="0" applyFont="1"/>
    <xf numFmtId="2" fontId="13" fillId="0" borderId="0" xfId="0" applyNumberFormat="1" applyFont="1" applyAlignment="1">
      <alignment horizontal="center" vertical="center"/>
    </xf>
    <xf numFmtId="0" fontId="11" fillId="0" borderId="0" xfId="0" applyFont="1" applyFill="1"/>
    <xf numFmtId="0" fontId="11" fillId="0" borderId="0" xfId="0" applyFont="1" applyFill="1" applyBorder="1"/>
    <xf numFmtId="0" fontId="13" fillId="0" borderId="0" xfId="0" applyFont="1" applyFill="1" applyBorder="1"/>
    <xf numFmtId="0" fontId="13" fillId="0" borderId="0" xfId="0" applyFont="1" applyFill="1" applyAlignment="1">
      <alignment horizontal="right"/>
    </xf>
    <xf numFmtId="0" fontId="13" fillId="0" borderId="0" xfId="0" applyFont="1" applyFill="1" applyBorder="1" applyAlignment="1">
      <alignment horizontal="right"/>
    </xf>
    <xf numFmtId="0" fontId="11" fillId="0" borderId="0" xfId="0" applyFont="1" applyFill="1" applyAlignment="1">
      <alignment horizontal="center" vertical="center"/>
    </xf>
    <xf numFmtId="0" fontId="11" fillId="0" borderId="0" xfId="0" applyFont="1" applyAlignment="1">
      <alignment horizontal="right"/>
    </xf>
    <xf numFmtId="0" fontId="13" fillId="0" borderId="0" xfId="0" applyFont="1" applyFill="1"/>
    <xf numFmtId="0" fontId="12" fillId="0" borderId="0" xfId="2" applyFont="1" applyFill="1" applyBorder="1" applyAlignment="1" applyProtection="1"/>
    <xf numFmtId="1" fontId="13" fillId="0" borderId="0" xfId="0" applyNumberFormat="1" applyFont="1" applyAlignment="1">
      <alignment horizontal="center" vertical="center"/>
    </xf>
    <xf numFmtId="2" fontId="13" fillId="0" borderId="0" xfId="0" applyNumberFormat="1" applyFont="1" applyAlignment="1">
      <alignment horizontal="center"/>
    </xf>
    <xf numFmtId="0" fontId="11" fillId="0" borderId="4" xfId="0" applyFont="1" applyFill="1" applyBorder="1" applyAlignment="1">
      <alignment horizontal="center" vertical="center"/>
    </xf>
    <xf numFmtId="2" fontId="11" fillId="0" borderId="4" xfId="0" applyNumberFormat="1" applyFont="1" applyFill="1" applyBorder="1" applyAlignment="1">
      <alignment horizontal="center" vertical="center"/>
    </xf>
    <xf numFmtId="0" fontId="11" fillId="0" borderId="4" xfId="0" applyFont="1" applyBorder="1" applyAlignment="1">
      <alignment horizontal="center" vertical="center"/>
    </xf>
    <xf numFmtId="1" fontId="11" fillId="0" borderId="4" xfId="0" applyNumberFormat="1" applyFont="1" applyBorder="1" applyAlignment="1">
      <alignment horizontal="center" vertical="center"/>
    </xf>
    <xf numFmtId="0" fontId="0" fillId="0" borderId="0" xfId="0" applyFont="1"/>
    <xf numFmtId="0" fontId="13" fillId="0" borderId="0" xfId="0" applyFont="1" applyFill="1" applyBorder="1" applyAlignment="1">
      <alignment horizontal="center" vertical="center"/>
    </xf>
    <xf numFmtId="2" fontId="11" fillId="0" borderId="0" xfId="0" applyNumberFormat="1" applyFont="1" applyBorder="1" applyAlignment="1">
      <alignment horizontal="center" vertical="center"/>
    </xf>
    <xf numFmtId="0" fontId="3" fillId="4" borderId="1" xfId="0" applyFont="1" applyFill="1" applyBorder="1"/>
    <xf numFmtId="0" fontId="3" fillId="4" borderId="0" xfId="0" applyFont="1" applyFill="1" applyBorder="1"/>
    <xf numFmtId="0" fontId="3" fillId="4" borderId="0" xfId="0" applyFont="1" applyFill="1" applyBorder="1" applyAlignment="1">
      <alignment horizontal="center" vertical="center"/>
    </xf>
    <xf numFmtId="0" fontId="3" fillId="4" borderId="5" xfId="0" applyFont="1" applyFill="1" applyBorder="1"/>
    <xf numFmtId="0" fontId="3" fillId="4" borderId="6" xfId="0" applyFont="1" applyFill="1" applyBorder="1"/>
    <xf numFmtId="0" fontId="3" fillId="4" borderId="6" xfId="0" applyFont="1" applyFill="1" applyBorder="1" applyAlignment="1">
      <alignment horizontal="center" vertical="center"/>
    </xf>
    <xf numFmtId="0" fontId="16" fillId="0" borderId="0" xfId="0" applyNumberFormat="1" applyFont="1" applyAlignment="1"/>
    <xf numFmtId="0" fontId="16" fillId="0" borderId="0" xfId="0" applyFont="1" applyAlignment="1"/>
    <xf numFmtId="0" fontId="19" fillId="0" borderId="0" xfId="0" applyFont="1" applyAlignment="1"/>
    <xf numFmtId="0" fontId="19" fillId="0" borderId="0" xfId="0" applyFont="1"/>
    <xf numFmtId="0" fontId="20" fillId="0" borderId="0" xfId="0" applyFont="1"/>
    <xf numFmtId="0" fontId="20" fillId="0" borderId="0" xfId="0" applyFont="1" applyFill="1"/>
    <xf numFmtId="0" fontId="20" fillId="0" borderId="0" xfId="0" applyFont="1" applyAlignment="1">
      <alignment horizontal="center" vertical="center"/>
    </xf>
    <xf numFmtId="0" fontId="18" fillId="0" borderId="0" xfId="0" applyFont="1"/>
    <xf numFmtId="0" fontId="18" fillId="0" borderId="0" xfId="0" applyFont="1" applyAlignment="1">
      <alignment horizontal="center" vertical="center"/>
    </xf>
    <xf numFmtId="0" fontId="21" fillId="0" borderId="0" xfId="0" applyFont="1"/>
    <xf numFmtId="0" fontId="21" fillId="0" borderId="0" xfId="0" applyFont="1" applyFill="1"/>
    <xf numFmtId="0" fontId="21" fillId="0" borderId="0" xfId="0" applyFont="1" applyAlignment="1">
      <alignment horizontal="center" vertical="center"/>
    </xf>
    <xf numFmtId="0" fontId="22" fillId="0" borderId="0" xfId="0" applyFont="1"/>
    <xf numFmtId="0" fontId="18" fillId="0" borderId="0" xfId="0" applyFont="1" applyBorder="1"/>
    <xf numFmtId="0" fontId="18" fillId="0" borderId="0" xfId="0" applyFont="1" applyBorder="1" applyAlignment="1">
      <alignment horizontal="center" vertical="center"/>
    </xf>
    <xf numFmtId="0" fontId="20" fillId="0" borderId="0" xfId="0" applyFont="1" applyBorder="1"/>
    <xf numFmtId="0" fontId="19" fillId="0" borderId="0" xfId="0" applyFont="1" applyFill="1"/>
    <xf numFmtId="0" fontId="19" fillId="0" borderId="0" xfId="0" applyFont="1" applyAlignment="1">
      <alignment horizontal="center" vertical="center"/>
    </xf>
    <xf numFmtId="0" fontId="19" fillId="0" borderId="0" xfId="0" applyFont="1" applyFill="1" applyBorder="1"/>
    <xf numFmtId="0" fontId="16" fillId="0" borderId="0" xfId="0" applyFont="1" applyBorder="1"/>
    <xf numFmtId="0" fontId="19" fillId="0" borderId="0" xfId="0" applyFont="1" applyBorder="1"/>
    <xf numFmtId="0" fontId="19" fillId="0" borderId="0" xfId="0" applyFont="1" applyBorder="1" applyAlignment="1">
      <alignment horizontal="center" vertical="center"/>
    </xf>
    <xf numFmtId="0" fontId="19" fillId="0" borderId="0" xfId="0" applyFont="1" applyBorder="1" applyAlignment="1"/>
    <xf numFmtId="164" fontId="16" fillId="0" borderId="0" xfId="0" applyNumberFormat="1" applyFont="1" applyBorder="1"/>
    <xf numFmtId="0" fontId="16" fillId="0" borderId="0" xfId="0" applyFont="1" applyBorder="1" applyAlignment="1">
      <alignment horizontal="center" vertical="center"/>
    </xf>
    <xf numFmtId="0" fontId="16" fillId="0" borderId="0" xfId="0" applyFont="1" applyBorder="1" applyAlignment="1"/>
    <xf numFmtId="0" fontId="16" fillId="0" borderId="0" xfId="0" applyFont="1" applyBorder="1" applyAlignment="1">
      <alignment horizontal="right"/>
    </xf>
    <xf numFmtId="1" fontId="16" fillId="0" borderId="0" xfId="0" applyNumberFormat="1" applyFont="1" applyBorder="1"/>
    <xf numFmtId="165" fontId="16" fillId="0" borderId="0" xfId="0" applyNumberFormat="1" applyFont="1" applyBorder="1"/>
    <xf numFmtId="0" fontId="5" fillId="0" borderId="0" xfId="0" applyFont="1" applyBorder="1"/>
    <xf numFmtId="0" fontId="22" fillId="0" borderId="0" xfId="0" applyFont="1" applyBorder="1"/>
    <xf numFmtId="0" fontId="22" fillId="0" borderId="0" xfId="0" applyFont="1" applyBorder="1" applyAlignment="1"/>
    <xf numFmtId="0" fontId="22" fillId="0" borderId="0" xfId="0" applyFont="1" applyBorder="1" applyAlignment="1">
      <alignment horizontal="center" vertical="center"/>
    </xf>
    <xf numFmtId="0" fontId="16" fillId="0" borderId="0" xfId="0" applyFont="1" applyFill="1" applyBorder="1"/>
    <xf numFmtId="0" fontId="13" fillId="0" borderId="0" xfId="0" applyFont="1" applyAlignment="1">
      <alignment horizontal="right"/>
    </xf>
    <xf numFmtId="1" fontId="11" fillId="0" borderId="0" xfId="0" applyNumberFormat="1" applyFont="1" applyAlignment="1">
      <alignment horizontal="center"/>
    </xf>
    <xf numFmtId="0" fontId="18" fillId="4" borderId="0" xfId="0" applyFont="1" applyFill="1" applyBorder="1" applyAlignment="1"/>
    <xf numFmtId="0" fontId="18" fillId="4" borderId="6" xfId="0" applyFont="1" applyFill="1" applyBorder="1" applyAlignment="1"/>
    <xf numFmtId="0" fontId="24" fillId="0" borderId="0" xfId="0" applyFont="1" applyAlignment="1"/>
    <xf numFmtId="0" fontId="24" fillId="0" borderId="0" xfId="0" applyFont="1" applyFill="1" applyAlignment="1">
      <alignment vertical="center"/>
    </xf>
    <xf numFmtId="0" fontId="24" fillId="0" borderId="0" xfId="0" applyFont="1"/>
    <xf numFmtId="2" fontId="24" fillId="0" borderId="0" xfId="0" applyNumberFormat="1" applyFont="1" applyFill="1" applyAlignment="1">
      <alignment vertical="center"/>
    </xf>
    <xf numFmtId="0" fontId="24" fillId="0" borderId="0" xfId="0" applyFont="1" applyAlignment="1">
      <alignment horizontal="right"/>
    </xf>
    <xf numFmtId="164" fontId="24" fillId="0" borderId="0" xfId="0" applyNumberFormat="1" applyFont="1" applyAlignment="1">
      <alignment vertical="center"/>
    </xf>
    <xf numFmtId="165" fontId="24" fillId="0" borderId="0" xfId="0" applyNumberFormat="1" applyFont="1" applyAlignment="1">
      <alignment vertical="center"/>
    </xf>
    <xf numFmtId="11" fontId="24" fillId="0" borderId="0" xfId="0" applyNumberFormat="1" applyFont="1" applyAlignment="1"/>
    <xf numFmtId="0" fontId="24" fillId="0" borderId="0" xfId="0" applyFont="1" applyAlignment="1">
      <alignment vertical="center"/>
    </xf>
    <xf numFmtId="2" fontId="24" fillId="0" borderId="0" xfId="0" applyNumberFormat="1" applyFont="1" applyAlignment="1">
      <alignment vertical="center"/>
    </xf>
    <xf numFmtId="11" fontId="24" fillId="0" borderId="0" xfId="0" applyNumberFormat="1" applyFont="1" applyAlignment="1">
      <alignment vertical="center"/>
    </xf>
    <xf numFmtId="2" fontId="24" fillId="0" borderId="0" xfId="0" applyNumberFormat="1" applyFont="1" applyAlignment="1"/>
    <xf numFmtId="2" fontId="24" fillId="0" borderId="0" xfId="0" applyNumberFormat="1" applyFont="1" applyAlignment="1">
      <alignment horizontal="right" vertical="center"/>
    </xf>
    <xf numFmtId="1" fontId="24" fillId="0" borderId="0" xfId="0" applyNumberFormat="1" applyFont="1" applyAlignment="1"/>
    <xf numFmtId="0" fontId="24" fillId="0" borderId="0" xfId="0" applyFont="1" applyBorder="1"/>
    <xf numFmtId="0" fontId="18" fillId="0" borderId="0" xfId="0" applyFont="1" applyBorder="1" applyAlignment="1"/>
    <xf numFmtId="0" fontId="18" fillId="0" borderId="0" xfId="0" applyFont="1" applyAlignment="1"/>
    <xf numFmtId="0" fontId="13" fillId="2" borderId="0" xfId="0" applyFont="1" applyFill="1" applyAlignment="1" applyProtection="1">
      <alignment horizontal="center" vertical="center"/>
      <protection locked="0"/>
    </xf>
    <xf numFmtId="2" fontId="13" fillId="2" borderId="0" xfId="0" applyNumberFormat="1" applyFont="1" applyFill="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2" fontId="11" fillId="2" borderId="4" xfId="0" applyNumberFormat="1"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164" fontId="11" fillId="2" borderId="4" xfId="0" applyNumberFormat="1" applyFont="1" applyFill="1" applyBorder="1" applyAlignment="1" applyProtection="1">
      <alignment horizontal="center" vertical="center"/>
      <protection locked="0"/>
    </xf>
    <xf numFmtId="2" fontId="13" fillId="0" borderId="0" xfId="0" applyNumberFormat="1" applyFont="1" applyFill="1" applyAlignment="1">
      <alignment horizontal="center"/>
    </xf>
    <xf numFmtId="0" fontId="15" fillId="3" borderId="3" xfId="1" applyFont="1" applyFill="1" applyBorder="1" applyAlignment="1" applyProtection="1">
      <alignment horizontal="center" vertical="center"/>
    </xf>
    <xf numFmtId="0" fontId="15" fillId="3" borderId="2" xfId="1" applyFont="1" applyFill="1" applyBorder="1" applyAlignment="1" applyProtection="1">
      <alignment horizontal="center" vertical="center"/>
    </xf>
    <xf numFmtId="0" fontId="9" fillId="4" borderId="0" xfId="2" applyFont="1" applyFill="1" applyBorder="1" applyAlignment="1" applyProtection="1">
      <alignment horizontal="center" vertical="center"/>
    </xf>
  </cellXfs>
  <cellStyles count="6">
    <cellStyle name="Comma 2" xfId="4" xr:uid="{00000000-0005-0000-0000-000000000000}"/>
    <cellStyle name="Normal" xfId="0" builtinId="0"/>
    <cellStyle name="Normal 2" xfId="2" xr:uid="{00000000-0005-0000-0000-000002000000}"/>
    <cellStyle name="Normal 3" xfId="3" xr:uid="{00000000-0005-0000-0000-000003000000}"/>
    <cellStyle name="Normal 4" xfId="1" xr:uid="{00000000-0005-0000-0000-000004000000}"/>
    <cellStyle name="Normal 4 2" xfId="5" xr:uid="{00000000-0005-0000-0000-000005000000}"/>
  </cellStyles>
  <dxfs count="23">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at typical supply input</c:v>
          </c:tx>
          <c:spPr>
            <a:ln>
              <a:solidFill>
                <a:srgbClr val="0000FF"/>
              </a:solidFill>
            </a:ln>
          </c:spPr>
          <c:marker>
            <c:symbol val="none"/>
          </c:marker>
          <c:cat>
            <c:numRef>
              <c:f>'Raw data'!$C$16:$C$25</c:f>
              <c:numCache>
                <c:formatCode>0.0</c:formatCode>
                <c:ptCount val="10"/>
                <c:pt idx="0">
                  <c:v>5.000000000000001E-3</c:v>
                </c:pt>
                <c:pt idx="1">
                  <c:v>1.0000000000000002E-2</c:v>
                </c:pt>
                <c:pt idx="2">
                  <c:v>1.4999999999999999E-2</c:v>
                </c:pt>
                <c:pt idx="3">
                  <c:v>2.0000000000000004E-2</c:v>
                </c:pt>
                <c:pt idx="4">
                  <c:v>2.5000000000000001E-2</c:v>
                </c:pt>
                <c:pt idx="5">
                  <c:v>0.03</c:v>
                </c:pt>
                <c:pt idx="6">
                  <c:v>3.4999999999999996E-2</c:v>
                </c:pt>
                <c:pt idx="7">
                  <c:v>4.0000000000000008E-2</c:v>
                </c:pt>
                <c:pt idx="8">
                  <c:v>4.5000000000000005E-2</c:v>
                </c:pt>
                <c:pt idx="9">
                  <c:v>0.05</c:v>
                </c:pt>
              </c:numCache>
            </c:numRef>
          </c:cat>
          <c:val>
            <c:numRef>
              <c:f>'Raw data'!$O$16:$O$25</c:f>
              <c:numCache>
                <c:formatCode>General</c:formatCode>
                <c:ptCount val="10"/>
                <c:pt idx="0">
                  <c:v>17.201196446665428</c:v>
                </c:pt>
                <c:pt idx="1">
                  <c:v>28.865914872901001</c:v>
                </c:pt>
                <c:pt idx="2">
                  <c:v>37.274440632689334</c:v>
                </c:pt>
                <c:pt idx="3">
                  <c:v>43.606141059965445</c:v>
                </c:pt>
                <c:pt idx="4">
                  <c:v>48.532309757218243</c:v>
                </c:pt>
                <c:pt idx="5">
                  <c:v>52.463162796545959</c:v>
                </c:pt>
                <c:pt idx="6">
                  <c:v>55.663512783715532</c:v>
                </c:pt>
                <c:pt idx="7">
                  <c:v>58.311947893991558</c:v>
                </c:pt>
                <c:pt idx="8">
                  <c:v>60.533283560208432</c:v>
                </c:pt>
                <c:pt idx="9">
                  <c:v>62.417383820215719</c:v>
                </c:pt>
              </c:numCache>
            </c:numRef>
          </c:val>
          <c:smooth val="1"/>
          <c:extLst>
            <c:ext xmlns:c16="http://schemas.microsoft.com/office/drawing/2014/chart" uri="{C3380CC4-5D6E-409C-BE32-E72D297353CC}">
              <c16:uniqueId val="{00000000-1022-42F5-84A2-9D0198C2048F}"/>
            </c:ext>
          </c:extLst>
        </c:ser>
        <c:ser>
          <c:idx val="1"/>
          <c:order val="1"/>
          <c:tx>
            <c:v>at minimum supply input</c:v>
          </c:tx>
          <c:spPr>
            <a:ln>
              <a:solidFill>
                <a:srgbClr val="FF0000"/>
              </a:solidFill>
            </a:ln>
          </c:spPr>
          <c:marker>
            <c:symbol val="none"/>
          </c:marker>
          <c:val>
            <c:numRef>
              <c:f>'Raw data'!$O$43:$O$52</c:f>
              <c:numCache>
                <c:formatCode>General</c:formatCode>
                <c:ptCount val="10"/>
                <c:pt idx="0">
                  <c:v>17.176473103858886</c:v>
                </c:pt>
                <c:pt idx="1">
                  <c:v>28.80161714538902</c:v>
                </c:pt>
                <c:pt idx="2">
                  <c:v>37.163874409515792</c:v>
                </c:pt>
                <c:pt idx="3">
                  <c:v>43.451676440207336</c:v>
                </c:pt>
                <c:pt idx="4">
                  <c:v>48.337786148416725</c:v>
                </c:pt>
                <c:pt idx="5">
                  <c:v>52.232535571692615</c:v>
                </c:pt>
                <c:pt idx="6">
                  <c:v>55.400416078422644</c:v>
                </c:pt>
                <c:pt idx="7">
                  <c:v>58.019583742877835</c:v>
                </c:pt>
                <c:pt idx="8">
                  <c:v>60.214427866839145</c:v>
                </c:pt>
                <c:pt idx="9">
                  <c:v>62.074430687280902</c:v>
                </c:pt>
              </c:numCache>
            </c:numRef>
          </c:val>
          <c:smooth val="1"/>
          <c:extLst>
            <c:ext xmlns:c16="http://schemas.microsoft.com/office/drawing/2014/chart" uri="{C3380CC4-5D6E-409C-BE32-E72D297353CC}">
              <c16:uniqueId val="{00000001-1022-42F5-84A2-9D0198C2048F}"/>
            </c:ext>
          </c:extLst>
        </c:ser>
        <c:dLbls>
          <c:showLegendKey val="0"/>
          <c:showVal val="0"/>
          <c:showCatName val="0"/>
          <c:showSerName val="0"/>
          <c:showPercent val="0"/>
          <c:showBubbleSize val="0"/>
        </c:dLbls>
        <c:smooth val="0"/>
        <c:axId val="150797312"/>
        <c:axId val="183908992"/>
      </c:lineChart>
      <c:catAx>
        <c:axId val="150797312"/>
        <c:scaling>
          <c:orientation val="minMax"/>
        </c:scaling>
        <c:delete val="0"/>
        <c:axPos val="b"/>
        <c:majorGridlines/>
        <c:title>
          <c:tx>
            <c:rich>
              <a:bodyPr/>
              <a:lstStyle/>
              <a:p>
                <a:pPr>
                  <a:defRPr sz="1200"/>
                </a:pPr>
                <a:r>
                  <a:rPr lang="en-US" sz="1200"/>
                  <a:t>Load Current [A]</a:t>
                </a:r>
              </a:p>
            </c:rich>
          </c:tx>
          <c:overlay val="0"/>
        </c:title>
        <c:numFmt formatCode="0.0" sourceLinked="1"/>
        <c:majorTickMark val="none"/>
        <c:minorTickMark val="none"/>
        <c:tickLblPos val="nextTo"/>
        <c:crossAx val="183908992"/>
        <c:crosses val="autoZero"/>
        <c:auto val="1"/>
        <c:lblAlgn val="ctr"/>
        <c:lblOffset val="100"/>
        <c:noMultiLvlLbl val="0"/>
      </c:catAx>
      <c:valAx>
        <c:axId val="183908992"/>
        <c:scaling>
          <c:orientation val="minMax"/>
        </c:scaling>
        <c:delete val="0"/>
        <c:axPos val="l"/>
        <c:majorGridlines/>
        <c:title>
          <c:tx>
            <c:rich>
              <a:bodyPr/>
              <a:lstStyle/>
              <a:p>
                <a:pPr>
                  <a:defRPr sz="1200"/>
                </a:pPr>
                <a:r>
                  <a:rPr lang="en-US" sz="1200"/>
                  <a:t>Efficiency [%]</a:t>
                </a:r>
              </a:p>
            </c:rich>
          </c:tx>
          <c:overlay val="0"/>
        </c:title>
        <c:numFmt formatCode="General" sourceLinked="1"/>
        <c:majorTickMark val="none"/>
        <c:minorTickMark val="none"/>
        <c:tickLblPos val="nextTo"/>
        <c:crossAx val="150797312"/>
        <c:crosses val="autoZero"/>
        <c:crossBetween val="between"/>
      </c:valAx>
    </c:plotArea>
    <c:legend>
      <c:legendPos val="b"/>
      <c:overlay val="0"/>
      <c:spPr>
        <a:solidFill>
          <a:schemeClr val="bg2"/>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10681821833708"/>
          <c:y val="4.0501661980796168E-2"/>
          <c:w val="0.77075146275908513"/>
          <c:h val="0.76403405768044241"/>
        </c:manualLayout>
      </c:layout>
      <c:lineChart>
        <c:grouping val="standard"/>
        <c:varyColors val="0"/>
        <c:ser>
          <c:idx val="0"/>
          <c:order val="0"/>
          <c:tx>
            <c:v>IC loss</c:v>
          </c:tx>
          <c:marker>
            <c:symbol val="none"/>
          </c:marker>
          <c:cat>
            <c:numRef>
              <c:f>'Raw data'!$C$16:$C$25</c:f>
              <c:numCache>
                <c:formatCode>0.0</c:formatCode>
                <c:ptCount val="10"/>
                <c:pt idx="0">
                  <c:v>5.000000000000001E-3</c:v>
                </c:pt>
                <c:pt idx="1">
                  <c:v>1.0000000000000002E-2</c:v>
                </c:pt>
                <c:pt idx="2">
                  <c:v>1.4999999999999999E-2</c:v>
                </c:pt>
                <c:pt idx="3">
                  <c:v>2.0000000000000004E-2</c:v>
                </c:pt>
                <c:pt idx="4">
                  <c:v>2.5000000000000001E-2</c:v>
                </c:pt>
                <c:pt idx="5">
                  <c:v>0.03</c:v>
                </c:pt>
                <c:pt idx="6">
                  <c:v>3.4999999999999996E-2</c:v>
                </c:pt>
                <c:pt idx="7">
                  <c:v>4.0000000000000008E-2</c:v>
                </c:pt>
                <c:pt idx="8">
                  <c:v>4.5000000000000005E-2</c:v>
                </c:pt>
                <c:pt idx="9">
                  <c:v>0.05</c:v>
                </c:pt>
              </c:numCache>
            </c:numRef>
          </c:cat>
          <c:val>
            <c:numRef>
              <c:f>'Raw data'!$H$28:$H$37</c:f>
              <c:numCache>
                <c:formatCode>General</c:formatCode>
                <c:ptCount val="10"/>
                <c:pt idx="0">
                  <c:v>4.15921E-2</c:v>
                </c:pt>
                <c:pt idx="1">
                  <c:v>4.15921E-2</c:v>
                </c:pt>
                <c:pt idx="2">
                  <c:v>4.15921E-2</c:v>
                </c:pt>
                <c:pt idx="3">
                  <c:v>4.15921E-2</c:v>
                </c:pt>
                <c:pt idx="4">
                  <c:v>4.15921E-2</c:v>
                </c:pt>
                <c:pt idx="5">
                  <c:v>4.15921E-2</c:v>
                </c:pt>
                <c:pt idx="6">
                  <c:v>4.15921E-2</c:v>
                </c:pt>
                <c:pt idx="7">
                  <c:v>4.15921E-2</c:v>
                </c:pt>
                <c:pt idx="8">
                  <c:v>4.15921E-2</c:v>
                </c:pt>
                <c:pt idx="9">
                  <c:v>4.15921E-2</c:v>
                </c:pt>
              </c:numCache>
            </c:numRef>
          </c:val>
          <c:smooth val="0"/>
          <c:extLst>
            <c:ext xmlns:c16="http://schemas.microsoft.com/office/drawing/2014/chart" uri="{C3380CC4-5D6E-409C-BE32-E72D297353CC}">
              <c16:uniqueId val="{00000000-049B-43D0-8C3F-72428B9DF6CC}"/>
            </c:ext>
          </c:extLst>
        </c:ser>
        <c:ser>
          <c:idx val="1"/>
          <c:order val="1"/>
          <c:tx>
            <c:v>MOSFET loss</c:v>
          </c:tx>
          <c:marker>
            <c:symbol val="none"/>
          </c:marker>
          <c:cat>
            <c:numRef>
              <c:f>'Raw data'!$C$16:$C$25</c:f>
              <c:numCache>
                <c:formatCode>0.0</c:formatCode>
                <c:ptCount val="10"/>
                <c:pt idx="0">
                  <c:v>5.000000000000001E-3</c:v>
                </c:pt>
                <c:pt idx="1">
                  <c:v>1.0000000000000002E-2</c:v>
                </c:pt>
                <c:pt idx="2">
                  <c:v>1.4999999999999999E-2</c:v>
                </c:pt>
                <c:pt idx="3">
                  <c:v>2.0000000000000004E-2</c:v>
                </c:pt>
                <c:pt idx="4">
                  <c:v>2.5000000000000001E-2</c:v>
                </c:pt>
                <c:pt idx="5">
                  <c:v>0.03</c:v>
                </c:pt>
                <c:pt idx="6">
                  <c:v>3.4999999999999996E-2</c:v>
                </c:pt>
                <c:pt idx="7">
                  <c:v>4.0000000000000008E-2</c:v>
                </c:pt>
                <c:pt idx="8">
                  <c:v>4.5000000000000005E-2</c:v>
                </c:pt>
                <c:pt idx="9">
                  <c:v>0.05</c:v>
                </c:pt>
              </c:numCache>
            </c:numRef>
          </c:cat>
          <c:val>
            <c:numRef>
              <c:f>'Raw data'!$I$28:$I$37</c:f>
              <c:numCache>
                <c:formatCode>General</c:formatCode>
                <c:ptCount val="10"/>
                <c:pt idx="0">
                  <c:v>1.1682655807158514E-3</c:v>
                </c:pt>
                <c:pt idx="1">
                  <c:v>2.3386407012417833E-3</c:v>
                </c:pt>
                <c:pt idx="2">
                  <c:v>3.5111253615777941E-3</c:v>
                </c:pt>
                <c:pt idx="3">
                  <c:v>4.6857195617238875E-3</c:v>
                </c:pt>
                <c:pt idx="4">
                  <c:v>5.8624233016800588E-3</c:v>
                </c:pt>
                <c:pt idx="5">
                  <c:v>7.0412365814463114E-3</c:v>
                </c:pt>
                <c:pt idx="6">
                  <c:v>8.2221594010226436E-3</c:v>
                </c:pt>
                <c:pt idx="7">
                  <c:v>9.4051917604090606E-3</c:v>
                </c:pt>
                <c:pt idx="8">
                  <c:v>1.0590333659605553E-2</c:v>
                </c:pt>
                <c:pt idx="9">
                  <c:v>1.1777585098612127E-2</c:v>
                </c:pt>
              </c:numCache>
            </c:numRef>
          </c:val>
          <c:smooth val="0"/>
          <c:extLst>
            <c:ext xmlns:c16="http://schemas.microsoft.com/office/drawing/2014/chart" uri="{C3380CC4-5D6E-409C-BE32-E72D297353CC}">
              <c16:uniqueId val="{00000001-049B-43D0-8C3F-72428B9DF6CC}"/>
            </c:ext>
          </c:extLst>
        </c:ser>
        <c:ser>
          <c:idx val="2"/>
          <c:order val="2"/>
          <c:tx>
            <c:v>Diode Loss</c:v>
          </c:tx>
          <c:marker>
            <c:symbol val="none"/>
          </c:marker>
          <c:cat>
            <c:numRef>
              <c:f>'Raw data'!$C$16:$C$25</c:f>
              <c:numCache>
                <c:formatCode>0.0</c:formatCode>
                <c:ptCount val="10"/>
                <c:pt idx="0">
                  <c:v>5.000000000000001E-3</c:v>
                </c:pt>
                <c:pt idx="1">
                  <c:v>1.0000000000000002E-2</c:v>
                </c:pt>
                <c:pt idx="2">
                  <c:v>1.4999999999999999E-2</c:v>
                </c:pt>
                <c:pt idx="3">
                  <c:v>2.0000000000000004E-2</c:v>
                </c:pt>
                <c:pt idx="4">
                  <c:v>2.5000000000000001E-2</c:v>
                </c:pt>
                <c:pt idx="5">
                  <c:v>0.03</c:v>
                </c:pt>
                <c:pt idx="6">
                  <c:v>3.4999999999999996E-2</c:v>
                </c:pt>
                <c:pt idx="7">
                  <c:v>4.0000000000000008E-2</c:v>
                </c:pt>
                <c:pt idx="8">
                  <c:v>4.5000000000000005E-2</c:v>
                </c:pt>
                <c:pt idx="9">
                  <c:v>0.05</c:v>
                </c:pt>
              </c:numCache>
            </c:numRef>
          </c:cat>
          <c:val>
            <c:numRef>
              <c:f>'Raw data'!$J$28:$J$37</c:f>
              <c:numCache>
                <c:formatCode>General</c:formatCode>
                <c:ptCount val="10"/>
                <c:pt idx="0">
                  <c:v>0.12082000000000002</c:v>
                </c:pt>
                <c:pt idx="1">
                  <c:v>0.12332000000000003</c:v>
                </c:pt>
                <c:pt idx="2">
                  <c:v>0.12582000000000002</c:v>
                </c:pt>
                <c:pt idx="3">
                  <c:v>0.12832000000000002</c:v>
                </c:pt>
                <c:pt idx="4">
                  <c:v>0.13082000000000002</c:v>
                </c:pt>
                <c:pt idx="5">
                  <c:v>0.13332000000000002</c:v>
                </c:pt>
                <c:pt idx="6">
                  <c:v>0.13582000000000002</c:v>
                </c:pt>
                <c:pt idx="7">
                  <c:v>0.13832000000000003</c:v>
                </c:pt>
                <c:pt idx="8">
                  <c:v>0.14082000000000003</c:v>
                </c:pt>
                <c:pt idx="9">
                  <c:v>0.14332000000000003</c:v>
                </c:pt>
              </c:numCache>
            </c:numRef>
          </c:val>
          <c:smooth val="0"/>
          <c:extLst>
            <c:ext xmlns:c16="http://schemas.microsoft.com/office/drawing/2014/chart" uri="{C3380CC4-5D6E-409C-BE32-E72D297353CC}">
              <c16:uniqueId val="{00000002-049B-43D0-8C3F-72428B9DF6CC}"/>
            </c:ext>
          </c:extLst>
        </c:ser>
        <c:ser>
          <c:idx val="3"/>
          <c:order val="3"/>
          <c:tx>
            <c:v>Inductor loss</c:v>
          </c:tx>
          <c:marker>
            <c:symbol val="none"/>
          </c:marker>
          <c:cat>
            <c:numRef>
              <c:f>'Raw data'!$C$16:$C$25</c:f>
              <c:numCache>
                <c:formatCode>0.0</c:formatCode>
                <c:ptCount val="10"/>
                <c:pt idx="0">
                  <c:v>5.000000000000001E-3</c:v>
                </c:pt>
                <c:pt idx="1">
                  <c:v>1.0000000000000002E-2</c:v>
                </c:pt>
                <c:pt idx="2">
                  <c:v>1.4999999999999999E-2</c:v>
                </c:pt>
                <c:pt idx="3">
                  <c:v>2.0000000000000004E-2</c:v>
                </c:pt>
                <c:pt idx="4">
                  <c:v>2.5000000000000001E-2</c:v>
                </c:pt>
                <c:pt idx="5">
                  <c:v>0.03</c:v>
                </c:pt>
                <c:pt idx="6">
                  <c:v>3.4999999999999996E-2</c:v>
                </c:pt>
                <c:pt idx="7">
                  <c:v>4.0000000000000008E-2</c:v>
                </c:pt>
                <c:pt idx="8">
                  <c:v>4.5000000000000005E-2</c:v>
                </c:pt>
                <c:pt idx="9">
                  <c:v>0.05</c:v>
                </c:pt>
              </c:numCache>
            </c:numRef>
          </c:cat>
          <c:val>
            <c:numRef>
              <c:f>'Raw data'!$K$28:$K$37</c:f>
              <c:numCache>
                <c:formatCode>General</c:formatCode>
                <c:ptCount val="10"/>
                <c:pt idx="0">
                  <c:v>7.7685902118334541E-5</c:v>
                </c:pt>
                <c:pt idx="1">
                  <c:v>3.1074360847333816E-4</c:v>
                </c:pt>
                <c:pt idx="2">
                  <c:v>6.9917311906501076E-4</c:v>
                </c:pt>
                <c:pt idx="3">
                  <c:v>1.2429744338933527E-3</c:v>
                </c:pt>
                <c:pt idx="4">
                  <c:v>1.942147552958364E-3</c:v>
                </c:pt>
                <c:pt idx="5">
                  <c:v>2.796692476260043E-3</c:v>
                </c:pt>
                <c:pt idx="6">
                  <c:v>3.8066092037983908E-3</c:v>
                </c:pt>
                <c:pt idx="7">
                  <c:v>4.9718977355734106E-3</c:v>
                </c:pt>
                <c:pt idx="8">
                  <c:v>6.2925580715851009E-3</c:v>
                </c:pt>
                <c:pt idx="9">
                  <c:v>7.7685902118334559E-3</c:v>
                </c:pt>
              </c:numCache>
            </c:numRef>
          </c:val>
          <c:smooth val="0"/>
          <c:extLst>
            <c:ext xmlns:c16="http://schemas.microsoft.com/office/drawing/2014/chart" uri="{C3380CC4-5D6E-409C-BE32-E72D297353CC}">
              <c16:uniqueId val="{00000003-049B-43D0-8C3F-72428B9DF6CC}"/>
            </c:ext>
          </c:extLst>
        </c:ser>
        <c:ser>
          <c:idx val="4"/>
          <c:order val="4"/>
          <c:tx>
            <c:v>Sense Resistor Loss</c:v>
          </c:tx>
          <c:marker>
            <c:symbol val="none"/>
          </c:marker>
          <c:cat>
            <c:numRef>
              <c:f>'Raw data'!$C$16:$C$25</c:f>
              <c:numCache>
                <c:formatCode>0.0</c:formatCode>
                <c:ptCount val="10"/>
                <c:pt idx="0">
                  <c:v>5.000000000000001E-3</c:v>
                </c:pt>
                <c:pt idx="1">
                  <c:v>1.0000000000000002E-2</c:v>
                </c:pt>
                <c:pt idx="2">
                  <c:v>1.4999999999999999E-2</c:v>
                </c:pt>
                <c:pt idx="3">
                  <c:v>2.0000000000000004E-2</c:v>
                </c:pt>
                <c:pt idx="4">
                  <c:v>2.5000000000000001E-2</c:v>
                </c:pt>
                <c:pt idx="5">
                  <c:v>0.03</c:v>
                </c:pt>
                <c:pt idx="6">
                  <c:v>3.4999999999999996E-2</c:v>
                </c:pt>
                <c:pt idx="7">
                  <c:v>4.0000000000000008E-2</c:v>
                </c:pt>
                <c:pt idx="8">
                  <c:v>4.5000000000000005E-2</c:v>
                </c:pt>
                <c:pt idx="9">
                  <c:v>0.05</c:v>
                </c:pt>
              </c:numCache>
            </c:numRef>
          </c:cat>
          <c:val>
            <c:numRef>
              <c:f>'Raw data'!$L$28:$L$37</c:f>
              <c:numCache>
                <c:formatCode>General</c:formatCode>
                <c:ptCount val="10"/>
                <c:pt idx="0">
                  <c:v>2.6176771365960554E-6</c:v>
                </c:pt>
                <c:pt idx="1">
                  <c:v>1.0470708546384222E-5</c:v>
                </c:pt>
                <c:pt idx="2">
                  <c:v>2.3559094229364491E-5</c:v>
                </c:pt>
                <c:pt idx="3">
                  <c:v>4.1882834185536886E-5</c:v>
                </c:pt>
                <c:pt idx="4">
                  <c:v>6.544192841490138E-5</c:v>
                </c:pt>
                <c:pt idx="5">
                  <c:v>9.4236376917457962E-5</c:v>
                </c:pt>
                <c:pt idx="6">
                  <c:v>1.2826617969320661E-4</c:v>
                </c:pt>
                <c:pt idx="7">
                  <c:v>1.6753133674214755E-4</c:v>
                </c:pt>
                <c:pt idx="8">
                  <c:v>2.1203184806428056E-4</c:v>
                </c:pt>
                <c:pt idx="9">
                  <c:v>2.6176771365960552E-4</c:v>
                </c:pt>
              </c:numCache>
            </c:numRef>
          </c:val>
          <c:smooth val="0"/>
          <c:extLst>
            <c:ext xmlns:c16="http://schemas.microsoft.com/office/drawing/2014/chart" uri="{C3380CC4-5D6E-409C-BE32-E72D297353CC}">
              <c16:uniqueId val="{00000004-049B-43D0-8C3F-72428B9DF6CC}"/>
            </c:ext>
          </c:extLst>
        </c:ser>
        <c:dLbls>
          <c:showLegendKey val="0"/>
          <c:showVal val="0"/>
          <c:showCatName val="0"/>
          <c:showSerName val="0"/>
          <c:showPercent val="0"/>
          <c:showBubbleSize val="0"/>
        </c:dLbls>
        <c:smooth val="0"/>
        <c:axId val="199213440"/>
        <c:axId val="199215360"/>
      </c:lineChart>
      <c:catAx>
        <c:axId val="199213440"/>
        <c:scaling>
          <c:orientation val="minMax"/>
        </c:scaling>
        <c:delete val="0"/>
        <c:axPos val="b"/>
        <c:title>
          <c:tx>
            <c:rich>
              <a:bodyPr/>
              <a:lstStyle/>
              <a:p>
                <a:pPr>
                  <a:defRPr sz="1200"/>
                </a:pPr>
                <a:r>
                  <a:rPr lang="en-US" sz="1200"/>
                  <a:t>Load Current [A]</a:t>
                </a:r>
              </a:p>
            </c:rich>
          </c:tx>
          <c:overlay val="0"/>
        </c:title>
        <c:numFmt formatCode="0.0" sourceLinked="1"/>
        <c:majorTickMark val="out"/>
        <c:minorTickMark val="none"/>
        <c:tickLblPos val="nextTo"/>
        <c:crossAx val="199215360"/>
        <c:crosses val="autoZero"/>
        <c:auto val="1"/>
        <c:lblAlgn val="ctr"/>
        <c:lblOffset val="100"/>
        <c:noMultiLvlLbl val="0"/>
      </c:catAx>
      <c:valAx>
        <c:axId val="199215360"/>
        <c:scaling>
          <c:orientation val="minMax"/>
        </c:scaling>
        <c:delete val="0"/>
        <c:axPos val="l"/>
        <c:majorGridlines/>
        <c:title>
          <c:tx>
            <c:rich>
              <a:bodyPr rot="-5400000" vert="horz"/>
              <a:lstStyle/>
              <a:p>
                <a:pPr>
                  <a:defRPr sz="1200"/>
                </a:pPr>
                <a:r>
                  <a:rPr lang="en-US" sz="1200"/>
                  <a:t>Power Loss @ Vin (ytpical) [W]</a:t>
                </a:r>
              </a:p>
            </c:rich>
          </c:tx>
          <c:overlay val="0"/>
        </c:title>
        <c:numFmt formatCode="General" sourceLinked="1"/>
        <c:majorTickMark val="out"/>
        <c:minorTickMark val="none"/>
        <c:tickLblPos val="nextTo"/>
        <c:crossAx val="199213440"/>
        <c:crosses val="autoZero"/>
        <c:crossBetween val="between"/>
      </c:valAx>
    </c:plotArea>
    <c:legend>
      <c:legendPos val="r"/>
      <c:layout>
        <c:manualLayout>
          <c:xMode val="edge"/>
          <c:yMode val="edge"/>
          <c:x val="0.17563405433604881"/>
          <c:y val="6.5135048179725152E-2"/>
          <c:w val="0.33680850957101005"/>
          <c:h val="0.39484826954128227"/>
        </c:manualLayout>
      </c:layout>
      <c:overlay val="0"/>
      <c:spPr>
        <a:noFill/>
        <a:ln>
          <a:solidFill>
            <a:schemeClr val="tx1"/>
          </a:solidFill>
        </a:ln>
      </c:spPr>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1" i="0" u="none" strike="noStrike" baseline="0">
                <a:solidFill>
                  <a:srgbClr val="000000"/>
                </a:solidFill>
                <a:latin typeface="+mn-lt"/>
                <a:ea typeface="Arial"/>
                <a:cs typeface="Arial"/>
              </a:defRPr>
            </a:pPr>
            <a:r>
              <a:rPr lang="en-US" sz="1200">
                <a:latin typeface="+mn-lt"/>
              </a:rPr>
              <a:t>Modulator Gain/Phase</a:t>
            </a:r>
          </a:p>
        </c:rich>
      </c:tx>
      <c:layout>
        <c:manualLayout>
          <c:xMode val="edge"/>
          <c:yMode val="edge"/>
          <c:x val="0.29897541886904355"/>
          <c:y val="3.9233378748258753E-2"/>
        </c:manualLayout>
      </c:layout>
      <c:overlay val="0"/>
      <c:spPr>
        <a:noFill/>
        <a:ln w="25400">
          <a:noFill/>
        </a:ln>
      </c:spPr>
    </c:title>
    <c:autoTitleDeleted val="0"/>
    <c:plotArea>
      <c:layout>
        <c:manualLayout>
          <c:layoutTarget val="inner"/>
          <c:xMode val="edge"/>
          <c:yMode val="edge"/>
          <c:x val="0.17258933521709177"/>
          <c:y val="0.21156509218359804"/>
          <c:w val="0.59963730569015161"/>
          <c:h val="0.60214680083024041"/>
        </c:manualLayout>
      </c:layout>
      <c:scatterChart>
        <c:scatterStyle val="smoothMarker"/>
        <c:varyColors val="0"/>
        <c:ser>
          <c:idx val="0"/>
          <c:order val="0"/>
          <c:tx>
            <c:v>Gain</c:v>
          </c:tx>
          <c:spPr>
            <a:ln w="25400">
              <a:solidFill>
                <a:srgbClr val="0000FF"/>
              </a:solidFill>
              <a:prstDash val="solid"/>
            </a:ln>
          </c:spPr>
          <c:marker>
            <c:symbol val="none"/>
          </c:marker>
          <c:xVal>
            <c:numRef>
              <c:f>'Raw data'!$C$82:$C$749</c:f>
              <c:numCache>
                <c:formatCode>General</c:formatCode>
                <c:ptCount val="668"/>
                <c:pt idx="0">
                  <c:v>1</c:v>
                </c:pt>
                <c:pt idx="1">
                  <c:v>2</c:v>
                </c:pt>
                <c:pt idx="2">
                  <c:v>3</c:v>
                </c:pt>
                <c:pt idx="3">
                  <c:v>4</c:v>
                </c:pt>
                <c:pt idx="4">
                  <c:v>5</c:v>
                </c:pt>
                <c:pt idx="5">
                  <c:v>6</c:v>
                </c:pt>
                <c:pt idx="6">
                  <c:v>7</c:v>
                </c:pt>
                <c:pt idx="7">
                  <c:v>8</c:v>
                </c:pt>
                <c:pt idx="8">
                  <c:v>9</c:v>
                </c:pt>
                <c:pt idx="9">
                  <c:v>10</c:v>
                </c:pt>
                <c:pt idx="10">
                  <c:v>20</c:v>
                </c:pt>
                <c:pt idx="11">
                  <c:v>30</c:v>
                </c:pt>
                <c:pt idx="12">
                  <c:v>40</c:v>
                </c:pt>
                <c:pt idx="13">
                  <c:v>50</c:v>
                </c:pt>
                <c:pt idx="14">
                  <c:v>60</c:v>
                </c:pt>
                <c:pt idx="15">
                  <c:v>70</c:v>
                </c:pt>
                <c:pt idx="16">
                  <c:v>80</c:v>
                </c:pt>
                <c:pt idx="17">
                  <c:v>90</c:v>
                </c:pt>
                <c:pt idx="18">
                  <c:v>100</c:v>
                </c:pt>
                <c:pt idx="19">
                  <c:v>200</c:v>
                </c:pt>
                <c:pt idx="20">
                  <c:v>300</c:v>
                </c:pt>
                <c:pt idx="21">
                  <c:v>400</c:v>
                </c:pt>
                <c:pt idx="22">
                  <c:v>500</c:v>
                </c:pt>
                <c:pt idx="23">
                  <c:v>600</c:v>
                </c:pt>
                <c:pt idx="24">
                  <c:v>700</c:v>
                </c:pt>
                <c:pt idx="25">
                  <c:v>800</c:v>
                </c:pt>
                <c:pt idx="26">
                  <c:v>900</c:v>
                </c:pt>
                <c:pt idx="27">
                  <c:v>1000</c:v>
                </c:pt>
                <c:pt idx="28">
                  <c:v>1500</c:v>
                </c:pt>
                <c:pt idx="29">
                  <c:v>2000</c:v>
                </c:pt>
                <c:pt idx="30">
                  <c:v>2500</c:v>
                </c:pt>
                <c:pt idx="31">
                  <c:v>3000</c:v>
                </c:pt>
                <c:pt idx="32">
                  <c:v>3500</c:v>
                </c:pt>
                <c:pt idx="33">
                  <c:v>4000</c:v>
                </c:pt>
                <c:pt idx="34">
                  <c:v>4500</c:v>
                </c:pt>
                <c:pt idx="35">
                  <c:v>5000</c:v>
                </c:pt>
                <c:pt idx="36">
                  <c:v>5500</c:v>
                </c:pt>
                <c:pt idx="37">
                  <c:v>6000</c:v>
                </c:pt>
                <c:pt idx="38">
                  <c:v>6500</c:v>
                </c:pt>
                <c:pt idx="39">
                  <c:v>7000</c:v>
                </c:pt>
                <c:pt idx="40">
                  <c:v>7500</c:v>
                </c:pt>
                <c:pt idx="41">
                  <c:v>8000</c:v>
                </c:pt>
                <c:pt idx="42">
                  <c:v>8500</c:v>
                </c:pt>
                <c:pt idx="43">
                  <c:v>9000</c:v>
                </c:pt>
                <c:pt idx="44">
                  <c:v>9500</c:v>
                </c:pt>
                <c:pt idx="45">
                  <c:v>10000</c:v>
                </c:pt>
                <c:pt idx="46">
                  <c:v>10500</c:v>
                </c:pt>
                <c:pt idx="47">
                  <c:v>11000</c:v>
                </c:pt>
                <c:pt idx="48">
                  <c:v>11500</c:v>
                </c:pt>
                <c:pt idx="49">
                  <c:v>12000</c:v>
                </c:pt>
                <c:pt idx="50">
                  <c:v>12500</c:v>
                </c:pt>
                <c:pt idx="51">
                  <c:v>13000</c:v>
                </c:pt>
                <c:pt idx="52">
                  <c:v>13500</c:v>
                </c:pt>
                <c:pt idx="53">
                  <c:v>14000</c:v>
                </c:pt>
                <c:pt idx="54">
                  <c:v>14500</c:v>
                </c:pt>
                <c:pt idx="55">
                  <c:v>15000</c:v>
                </c:pt>
                <c:pt idx="56">
                  <c:v>15500</c:v>
                </c:pt>
                <c:pt idx="57">
                  <c:v>16000</c:v>
                </c:pt>
                <c:pt idx="58">
                  <c:v>16500</c:v>
                </c:pt>
                <c:pt idx="59">
                  <c:v>17000</c:v>
                </c:pt>
                <c:pt idx="60">
                  <c:v>17500</c:v>
                </c:pt>
                <c:pt idx="61">
                  <c:v>18000</c:v>
                </c:pt>
                <c:pt idx="62">
                  <c:v>18500</c:v>
                </c:pt>
                <c:pt idx="63">
                  <c:v>19000</c:v>
                </c:pt>
                <c:pt idx="64">
                  <c:v>19500</c:v>
                </c:pt>
                <c:pt idx="65">
                  <c:v>20000</c:v>
                </c:pt>
                <c:pt idx="66">
                  <c:v>20500</c:v>
                </c:pt>
                <c:pt idx="67">
                  <c:v>21000</c:v>
                </c:pt>
                <c:pt idx="68">
                  <c:v>21500</c:v>
                </c:pt>
                <c:pt idx="69">
                  <c:v>22000</c:v>
                </c:pt>
                <c:pt idx="70">
                  <c:v>22500</c:v>
                </c:pt>
                <c:pt idx="71">
                  <c:v>23000</c:v>
                </c:pt>
                <c:pt idx="72">
                  <c:v>23500</c:v>
                </c:pt>
                <c:pt idx="73">
                  <c:v>24000</c:v>
                </c:pt>
                <c:pt idx="74">
                  <c:v>24500</c:v>
                </c:pt>
                <c:pt idx="75">
                  <c:v>25000</c:v>
                </c:pt>
                <c:pt idx="76">
                  <c:v>25500</c:v>
                </c:pt>
                <c:pt idx="77">
                  <c:v>26000</c:v>
                </c:pt>
                <c:pt idx="78">
                  <c:v>26500</c:v>
                </c:pt>
                <c:pt idx="79">
                  <c:v>27000</c:v>
                </c:pt>
                <c:pt idx="80">
                  <c:v>27500</c:v>
                </c:pt>
                <c:pt idx="81">
                  <c:v>28000</c:v>
                </c:pt>
                <c:pt idx="82">
                  <c:v>28500</c:v>
                </c:pt>
                <c:pt idx="83">
                  <c:v>29000</c:v>
                </c:pt>
                <c:pt idx="84">
                  <c:v>29500</c:v>
                </c:pt>
                <c:pt idx="85">
                  <c:v>30000</c:v>
                </c:pt>
                <c:pt idx="86">
                  <c:v>30500</c:v>
                </c:pt>
                <c:pt idx="87">
                  <c:v>31000</c:v>
                </c:pt>
                <c:pt idx="88">
                  <c:v>31500</c:v>
                </c:pt>
                <c:pt idx="89">
                  <c:v>32000</c:v>
                </c:pt>
                <c:pt idx="90">
                  <c:v>32500</c:v>
                </c:pt>
                <c:pt idx="91">
                  <c:v>33000</c:v>
                </c:pt>
                <c:pt idx="92">
                  <c:v>33500</c:v>
                </c:pt>
                <c:pt idx="93">
                  <c:v>34000</c:v>
                </c:pt>
                <c:pt idx="94">
                  <c:v>34500</c:v>
                </c:pt>
                <c:pt idx="95">
                  <c:v>35000</c:v>
                </c:pt>
                <c:pt idx="96">
                  <c:v>35500</c:v>
                </c:pt>
                <c:pt idx="97">
                  <c:v>36000</c:v>
                </c:pt>
                <c:pt idx="98">
                  <c:v>36500</c:v>
                </c:pt>
                <c:pt idx="99">
                  <c:v>37000</c:v>
                </c:pt>
                <c:pt idx="100">
                  <c:v>37500</c:v>
                </c:pt>
                <c:pt idx="101">
                  <c:v>38000</c:v>
                </c:pt>
                <c:pt idx="102">
                  <c:v>38500</c:v>
                </c:pt>
                <c:pt idx="103">
                  <c:v>39000</c:v>
                </c:pt>
                <c:pt idx="104">
                  <c:v>39500</c:v>
                </c:pt>
                <c:pt idx="105">
                  <c:v>40000</c:v>
                </c:pt>
                <c:pt idx="106">
                  <c:v>40500</c:v>
                </c:pt>
                <c:pt idx="107">
                  <c:v>41000</c:v>
                </c:pt>
                <c:pt idx="108">
                  <c:v>41500</c:v>
                </c:pt>
                <c:pt idx="109">
                  <c:v>42000</c:v>
                </c:pt>
                <c:pt idx="110">
                  <c:v>42500</c:v>
                </c:pt>
                <c:pt idx="111">
                  <c:v>43000</c:v>
                </c:pt>
                <c:pt idx="112">
                  <c:v>43500</c:v>
                </c:pt>
                <c:pt idx="113">
                  <c:v>44000</c:v>
                </c:pt>
                <c:pt idx="114">
                  <c:v>44500</c:v>
                </c:pt>
                <c:pt idx="115">
                  <c:v>45000</c:v>
                </c:pt>
                <c:pt idx="116">
                  <c:v>45500</c:v>
                </c:pt>
                <c:pt idx="117">
                  <c:v>46000</c:v>
                </c:pt>
                <c:pt idx="118">
                  <c:v>46500</c:v>
                </c:pt>
                <c:pt idx="119">
                  <c:v>47000</c:v>
                </c:pt>
                <c:pt idx="120">
                  <c:v>47500</c:v>
                </c:pt>
                <c:pt idx="121">
                  <c:v>48000</c:v>
                </c:pt>
                <c:pt idx="122">
                  <c:v>48500</c:v>
                </c:pt>
                <c:pt idx="123">
                  <c:v>49000</c:v>
                </c:pt>
                <c:pt idx="124">
                  <c:v>49500</c:v>
                </c:pt>
                <c:pt idx="125">
                  <c:v>50000</c:v>
                </c:pt>
                <c:pt idx="126">
                  <c:v>50500</c:v>
                </c:pt>
                <c:pt idx="127">
                  <c:v>51000</c:v>
                </c:pt>
                <c:pt idx="128">
                  <c:v>51500</c:v>
                </c:pt>
                <c:pt idx="129">
                  <c:v>52000</c:v>
                </c:pt>
                <c:pt idx="130">
                  <c:v>52500</c:v>
                </c:pt>
                <c:pt idx="131">
                  <c:v>53000</c:v>
                </c:pt>
                <c:pt idx="132">
                  <c:v>53500</c:v>
                </c:pt>
                <c:pt idx="133">
                  <c:v>54000</c:v>
                </c:pt>
                <c:pt idx="134">
                  <c:v>54500</c:v>
                </c:pt>
                <c:pt idx="135">
                  <c:v>55000</c:v>
                </c:pt>
                <c:pt idx="136">
                  <c:v>55500</c:v>
                </c:pt>
                <c:pt idx="137">
                  <c:v>56000</c:v>
                </c:pt>
                <c:pt idx="138">
                  <c:v>56500</c:v>
                </c:pt>
                <c:pt idx="139">
                  <c:v>57000</c:v>
                </c:pt>
                <c:pt idx="140">
                  <c:v>57500</c:v>
                </c:pt>
                <c:pt idx="141">
                  <c:v>58000</c:v>
                </c:pt>
                <c:pt idx="142">
                  <c:v>58500</c:v>
                </c:pt>
                <c:pt idx="143">
                  <c:v>59000</c:v>
                </c:pt>
                <c:pt idx="144">
                  <c:v>59500</c:v>
                </c:pt>
                <c:pt idx="145">
                  <c:v>60000</c:v>
                </c:pt>
                <c:pt idx="146">
                  <c:v>60500</c:v>
                </c:pt>
                <c:pt idx="147">
                  <c:v>61000</c:v>
                </c:pt>
                <c:pt idx="148">
                  <c:v>61500</c:v>
                </c:pt>
                <c:pt idx="149">
                  <c:v>62000</c:v>
                </c:pt>
                <c:pt idx="150">
                  <c:v>62500</c:v>
                </c:pt>
                <c:pt idx="151">
                  <c:v>63000</c:v>
                </c:pt>
                <c:pt idx="152">
                  <c:v>63500</c:v>
                </c:pt>
                <c:pt idx="153">
                  <c:v>64000</c:v>
                </c:pt>
                <c:pt idx="154">
                  <c:v>64500</c:v>
                </c:pt>
                <c:pt idx="155">
                  <c:v>65000</c:v>
                </c:pt>
                <c:pt idx="156">
                  <c:v>65500</c:v>
                </c:pt>
                <c:pt idx="157">
                  <c:v>66000</c:v>
                </c:pt>
                <c:pt idx="158">
                  <c:v>66500</c:v>
                </c:pt>
                <c:pt idx="159">
                  <c:v>67000</c:v>
                </c:pt>
                <c:pt idx="160">
                  <c:v>67500</c:v>
                </c:pt>
                <c:pt idx="161">
                  <c:v>68000</c:v>
                </c:pt>
                <c:pt idx="162">
                  <c:v>68500</c:v>
                </c:pt>
                <c:pt idx="163">
                  <c:v>69000</c:v>
                </c:pt>
                <c:pt idx="164">
                  <c:v>69500</c:v>
                </c:pt>
                <c:pt idx="165">
                  <c:v>70000</c:v>
                </c:pt>
                <c:pt idx="166">
                  <c:v>70500</c:v>
                </c:pt>
                <c:pt idx="167">
                  <c:v>71000</c:v>
                </c:pt>
                <c:pt idx="168">
                  <c:v>71500</c:v>
                </c:pt>
                <c:pt idx="169">
                  <c:v>72000</c:v>
                </c:pt>
                <c:pt idx="170">
                  <c:v>72500</c:v>
                </c:pt>
                <c:pt idx="171">
                  <c:v>73000</c:v>
                </c:pt>
                <c:pt idx="172">
                  <c:v>73500</c:v>
                </c:pt>
                <c:pt idx="173">
                  <c:v>74000</c:v>
                </c:pt>
                <c:pt idx="174">
                  <c:v>74500</c:v>
                </c:pt>
                <c:pt idx="175">
                  <c:v>75000</c:v>
                </c:pt>
                <c:pt idx="176">
                  <c:v>75500</c:v>
                </c:pt>
                <c:pt idx="177">
                  <c:v>76000</c:v>
                </c:pt>
                <c:pt idx="178">
                  <c:v>76500</c:v>
                </c:pt>
                <c:pt idx="179">
                  <c:v>77000</c:v>
                </c:pt>
                <c:pt idx="180">
                  <c:v>77500</c:v>
                </c:pt>
                <c:pt idx="181">
                  <c:v>78000</c:v>
                </c:pt>
                <c:pt idx="182">
                  <c:v>78500</c:v>
                </c:pt>
                <c:pt idx="183">
                  <c:v>79000</c:v>
                </c:pt>
                <c:pt idx="184">
                  <c:v>79500</c:v>
                </c:pt>
                <c:pt idx="185">
                  <c:v>80000</c:v>
                </c:pt>
                <c:pt idx="186">
                  <c:v>80500</c:v>
                </c:pt>
                <c:pt idx="187">
                  <c:v>81000</c:v>
                </c:pt>
                <c:pt idx="188">
                  <c:v>81500</c:v>
                </c:pt>
                <c:pt idx="189">
                  <c:v>82000</c:v>
                </c:pt>
                <c:pt idx="190">
                  <c:v>82500</c:v>
                </c:pt>
                <c:pt idx="191">
                  <c:v>83000</c:v>
                </c:pt>
                <c:pt idx="192">
                  <c:v>83500</c:v>
                </c:pt>
                <c:pt idx="193">
                  <c:v>84000</c:v>
                </c:pt>
                <c:pt idx="194">
                  <c:v>84500</c:v>
                </c:pt>
                <c:pt idx="195">
                  <c:v>85000</c:v>
                </c:pt>
                <c:pt idx="196">
                  <c:v>85500</c:v>
                </c:pt>
                <c:pt idx="197">
                  <c:v>86000</c:v>
                </c:pt>
                <c:pt idx="198">
                  <c:v>86500</c:v>
                </c:pt>
                <c:pt idx="199">
                  <c:v>87000</c:v>
                </c:pt>
                <c:pt idx="200">
                  <c:v>87500</c:v>
                </c:pt>
                <c:pt idx="201">
                  <c:v>88000</c:v>
                </c:pt>
                <c:pt idx="202">
                  <c:v>88500</c:v>
                </c:pt>
                <c:pt idx="203">
                  <c:v>89000</c:v>
                </c:pt>
                <c:pt idx="204">
                  <c:v>89500</c:v>
                </c:pt>
                <c:pt idx="205">
                  <c:v>90000</c:v>
                </c:pt>
                <c:pt idx="206">
                  <c:v>90500</c:v>
                </c:pt>
                <c:pt idx="207">
                  <c:v>91000</c:v>
                </c:pt>
                <c:pt idx="208">
                  <c:v>91500</c:v>
                </c:pt>
                <c:pt idx="209">
                  <c:v>92000</c:v>
                </c:pt>
                <c:pt idx="210">
                  <c:v>92500</c:v>
                </c:pt>
                <c:pt idx="211">
                  <c:v>93000</c:v>
                </c:pt>
                <c:pt idx="212">
                  <c:v>93500</c:v>
                </c:pt>
                <c:pt idx="213">
                  <c:v>94000</c:v>
                </c:pt>
                <c:pt idx="214">
                  <c:v>94500</c:v>
                </c:pt>
                <c:pt idx="215">
                  <c:v>95000</c:v>
                </c:pt>
                <c:pt idx="216">
                  <c:v>95500</c:v>
                </c:pt>
                <c:pt idx="217">
                  <c:v>96000</c:v>
                </c:pt>
                <c:pt idx="218">
                  <c:v>96500</c:v>
                </c:pt>
                <c:pt idx="219">
                  <c:v>97000</c:v>
                </c:pt>
                <c:pt idx="220">
                  <c:v>97500</c:v>
                </c:pt>
                <c:pt idx="221">
                  <c:v>98000</c:v>
                </c:pt>
                <c:pt idx="222">
                  <c:v>98500</c:v>
                </c:pt>
                <c:pt idx="223">
                  <c:v>99000</c:v>
                </c:pt>
                <c:pt idx="224">
                  <c:v>99500</c:v>
                </c:pt>
                <c:pt idx="225">
                  <c:v>100000</c:v>
                </c:pt>
                <c:pt idx="226">
                  <c:v>105000</c:v>
                </c:pt>
                <c:pt idx="227">
                  <c:v>110000</c:v>
                </c:pt>
                <c:pt idx="228">
                  <c:v>115000</c:v>
                </c:pt>
                <c:pt idx="229">
                  <c:v>120000</c:v>
                </c:pt>
                <c:pt idx="230">
                  <c:v>125000</c:v>
                </c:pt>
                <c:pt idx="231">
                  <c:v>130000</c:v>
                </c:pt>
                <c:pt idx="232">
                  <c:v>135000</c:v>
                </c:pt>
                <c:pt idx="233">
                  <c:v>140000</c:v>
                </c:pt>
                <c:pt idx="234">
                  <c:v>145000</c:v>
                </c:pt>
                <c:pt idx="235">
                  <c:v>150000</c:v>
                </c:pt>
                <c:pt idx="236">
                  <c:v>155000</c:v>
                </c:pt>
                <c:pt idx="237">
                  <c:v>160000</c:v>
                </c:pt>
                <c:pt idx="238">
                  <c:v>165000</c:v>
                </c:pt>
                <c:pt idx="239">
                  <c:v>170000</c:v>
                </c:pt>
                <c:pt idx="240">
                  <c:v>175000</c:v>
                </c:pt>
                <c:pt idx="241">
                  <c:v>180000</c:v>
                </c:pt>
                <c:pt idx="242">
                  <c:v>185000</c:v>
                </c:pt>
                <c:pt idx="243">
                  <c:v>190000</c:v>
                </c:pt>
                <c:pt idx="244">
                  <c:v>195000</c:v>
                </c:pt>
                <c:pt idx="245">
                  <c:v>200000</c:v>
                </c:pt>
                <c:pt idx="246">
                  <c:v>205000</c:v>
                </c:pt>
                <c:pt idx="247">
                  <c:v>210000</c:v>
                </c:pt>
                <c:pt idx="248">
                  <c:v>215000</c:v>
                </c:pt>
                <c:pt idx="249">
                  <c:v>220000</c:v>
                </c:pt>
                <c:pt idx="250">
                  <c:v>225000</c:v>
                </c:pt>
                <c:pt idx="251">
                  <c:v>230000</c:v>
                </c:pt>
                <c:pt idx="252">
                  <c:v>235000</c:v>
                </c:pt>
                <c:pt idx="253">
                  <c:v>240000</c:v>
                </c:pt>
                <c:pt idx="254">
                  <c:v>245000</c:v>
                </c:pt>
                <c:pt idx="255">
                  <c:v>250000</c:v>
                </c:pt>
                <c:pt idx="256">
                  <c:v>255000</c:v>
                </c:pt>
                <c:pt idx="257">
                  <c:v>260000</c:v>
                </c:pt>
                <c:pt idx="258">
                  <c:v>265000</c:v>
                </c:pt>
                <c:pt idx="259">
                  <c:v>270000</c:v>
                </c:pt>
                <c:pt idx="260">
                  <c:v>275000</c:v>
                </c:pt>
                <c:pt idx="261">
                  <c:v>280000</c:v>
                </c:pt>
                <c:pt idx="262">
                  <c:v>285000</c:v>
                </c:pt>
                <c:pt idx="263">
                  <c:v>290000</c:v>
                </c:pt>
                <c:pt idx="264">
                  <c:v>295000</c:v>
                </c:pt>
                <c:pt idx="265">
                  <c:v>300000</c:v>
                </c:pt>
                <c:pt idx="266">
                  <c:v>305000</c:v>
                </c:pt>
                <c:pt idx="267">
                  <c:v>310000</c:v>
                </c:pt>
                <c:pt idx="268">
                  <c:v>315000</c:v>
                </c:pt>
                <c:pt idx="269">
                  <c:v>320000</c:v>
                </c:pt>
                <c:pt idx="270">
                  <c:v>325000</c:v>
                </c:pt>
                <c:pt idx="271">
                  <c:v>330000</c:v>
                </c:pt>
                <c:pt idx="272">
                  <c:v>335000</c:v>
                </c:pt>
                <c:pt idx="273">
                  <c:v>340000</c:v>
                </c:pt>
                <c:pt idx="274">
                  <c:v>345000</c:v>
                </c:pt>
                <c:pt idx="275">
                  <c:v>350000</c:v>
                </c:pt>
                <c:pt idx="276">
                  <c:v>355000</c:v>
                </c:pt>
                <c:pt idx="277">
                  <c:v>360000</c:v>
                </c:pt>
                <c:pt idx="278">
                  <c:v>365000</c:v>
                </c:pt>
                <c:pt idx="279">
                  <c:v>370000</c:v>
                </c:pt>
                <c:pt idx="280">
                  <c:v>375000</c:v>
                </c:pt>
                <c:pt idx="281">
                  <c:v>380000</c:v>
                </c:pt>
                <c:pt idx="282">
                  <c:v>385000</c:v>
                </c:pt>
                <c:pt idx="283">
                  <c:v>390000</c:v>
                </c:pt>
                <c:pt idx="284">
                  <c:v>395000</c:v>
                </c:pt>
                <c:pt idx="285">
                  <c:v>400000</c:v>
                </c:pt>
                <c:pt idx="286">
                  <c:v>405000</c:v>
                </c:pt>
                <c:pt idx="287">
                  <c:v>410000</c:v>
                </c:pt>
                <c:pt idx="288">
                  <c:v>415000</c:v>
                </c:pt>
                <c:pt idx="289">
                  <c:v>420000</c:v>
                </c:pt>
                <c:pt idx="290">
                  <c:v>425000</c:v>
                </c:pt>
                <c:pt idx="291">
                  <c:v>430000</c:v>
                </c:pt>
                <c:pt idx="292">
                  <c:v>435000</c:v>
                </c:pt>
                <c:pt idx="293">
                  <c:v>440000</c:v>
                </c:pt>
                <c:pt idx="294">
                  <c:v>445000</c:v>
                </c:pt>
                <c:pt idx="295">
                  <c:v>450000</c:v>
                </c:pt>
                <c:pt idx="296">
                  <c:v>455000</c:v>
                </c:pt>
                <c:pt idx="297">
                  <c:v>460000</c:v>
                </c:pt>
                <c:pt idx="298">
                  <c:v>465000</c:v>
                </c:pt>
                <c:pt idx="299">
                  <c:v>470000</c:v>
                </c:pt>
                <c:pt idx="300">
                  <c:v>475000</c:v>
                </c:pt>
                <c:pt idx="301">
                  <c:v>480000</c:v>
                </c:pt>
                <c:pt idx="302">
                  <c:v>485000</c:v>
                </c:pt>
                <c:pt idx="303">
                  <c:v>490000</c:v>
                </c:pt>
                <c:pt idx="304">
                  <c:v>495000</c:v>
                </c:pt>
                <c:pt idx="305">
                  <c:v>500000</c:v>
                </c:pt>
                <c:pt idx="306">
                  <c:v>505000</c:v>
                </c:pt>
                <c:pt idx="307">
                  <c:v>510000</c:v>
                </c:pt>
                <c:pt idx="308">
                  <c:v>515000</c:v>
                </c:pt>
                <c:pt idx="309">
                  <c:v>520000</c:v>
                </c:pt>
                <c:pt idx="310">
                  <c:v>525000</c:v>
                </c:pt>
                <c:pt idx="311">
                  <c:v>530000</c:v>
                </c:pt>
                <c:pt idx="312">
                  <c:v>535000</c:v>
                </c:pt>
                <c:pt idx="313">
                  <c:v>540000</c:v>
                </c:pt>
                <c:pt idx="314">
                  <c:v>545000</c:v>
                </c:pt>
                <c:pt idx="315">
                  <c:v>550000</c:v>
                </c:pt>
                <c:pt idx="316">
                  <c:v>555000</c:v>
                </c:pt>
                <c:pt idx="317">
                  <c:v>560000</c:v>
                </c:pt>
                <c:pt idx="318">
                  <c:v>565000</c:v>
                </c:pt>
                <c:pt idx="319">
                  <c:v>570000</c:v>
                </c:pt>
                <c:pt idx="320">
                  <c:v>575000</c:v>
                </c:pt>
                <c:pt idx="321">
                  <c:v>580000</c:v>
                </c:pt>
                <c:pt idx="322">
                  <c:v>585000</c:v>
                </c:pt>
                <c:pt idx="323">
                  <c:v>590000</c:v>
                </c:pt>
                <c:pt idx="324">
                  <c:v>595000</c:v>
                </c:pt>
                <c:pt idx="325">
                  <c:v>600000</c:v>
                </c:pt>
                <c:pt idx="326">
                  <c:v>605000</c:v>
                </c:pt>
                <c:pt idx="327">
                  <c:v>610000</c:v>
                </c:pt>
                <c:pt idx="328">
                  <c:v>615000</c:v>
                </c:pt>
                <c:pt idx="329">
                  <c:v>620000</c:v>
                </c:pt>
                <c:pt idx="330">
                  <c:v>625000</c:v>
                </c:pt>
                <c:pt idx="331">
                  <c:v>630000</c:v>
                </c:pt>
                <c:pt idx="332">
                  <c:v>635000</c:v>
                </c:pt>
                <c:pt idx="333">
                  <c:v>640000</c:v>
                </c:pt>
                <c:pt idx="334">
                  <c:v>645000</c:v>
                </c:pt>
                <c:pt idx="335">
                  <c:v>650000</c:v>
                </c:pt>
                <c:pt idx="336">
                  <c:v>655000</c:v>
                </c:pt>
                <c:pt idx="337">
                  <c:v>660000</c:v>
                </c:pt>
                <c:pt idx="338">
                  <c:v>665000</c:v>
                </c:pt>
                <c:pt idx="339">
                  <c:v>670000</c:v>
                </c:pt>
                <c:pt idx="340">
                  <c:v>675000</c:v>
                </c:pt>
                <c:pt idx="341">
                  <c:v>680000</c:v>
                </c:pt>
                <c:pt idx="342">
                  <c:v>685000</c:v>
                </c:pt>
                <c:pt idx="343">
                  <c:v>690000</c:v>
                </c:pt>
                <c:pt idx="344">
                  <c:v>695000</c:v>
                </c:pt>
                <c:pt idx="345">
                  <c:v>700000</c:v>
                </c:pt>
                <c:pt idx="346">
                  <c:v>705000</c:v>
                </c:pt>
                <c:pt idx="347">
                  <c:v>710000</c:v>
                </c:pt>
                <c:pt idx="348">
                  <c:v>715000</c:v>
                </c:pt>
                <c:pt idx="349">
                  <c:v>720000</c:v>
                </c:pt>
                <c:pt idx="350">
                  <c:v>725000</c:v>
                </c:pt>
                <c:pt idx="351">
                  <c:v>730000</c:v>
                </c:pt>
                <c:pt idx="352">
                  <c:v>735000</c:v>
                </c:pt>
                <c:pt idx="353">
                  <c:v>740000</c:v>
                </c:pt>
                <c:pt idx="354">
                  <c:v>745000</c:v>
                </c:pt>
                <c:pt idx="355">
                  <c:v>750000</c:v>
                </c:pt>
                <c:pt idx="356">
                  <c:v>755000</c:v>
                </c:pt>
                <c:pt idx="357">
                  <c:v>760000</c:v>
                </c:pt>
                <c:pt idx="358">
                  <c:v>765000</c:v>
                </c:pt>
                <c:pt idx="359">
                  <c:v>770000</c:v>
                </c:pt>
                <c:pt idx="360">
                  <c:v>775000</c:v>
                </c:pt>
                <c:pt idx="361">
                  <c:v>780000</c:v>
                </c:pt>
                <c:pt idx="362">
                  <c:v>785000</c:v>
                </c:pt>
                <c:pt idx="363">
                  <c:v>790000</c:v>
                </c:pt>
                <c:pt idx="364">
                  <c:v>795000</c:v>
                </c:pt>
                <c:pt idx="365">
                  <c:v>800000</c:v>
                </c:pt>
                <c:pt idx="366">
                  <c:v>805000</c:v>
                </c:pt>
                <c:pt idx="367">
                  <c:v>810000</c:v>
                </c:pt>
                <c:pt idx="368">
                  <c:v>815000</c:v>
                </c:pt>
                <c:pt idx="369">
                  <c:v>820000</c:v>
                </c:pt>
                <c:pt idx="370">
                  <c:v>825000</c:v>
                </c:pt>
                <c:pt idx="371">
                  <c:v>830000</c:v>
                </c:pt>
                <c:pt idx="372">
                  <c:v>835000</c:v>
                </c:pt>
                <c:pt idx="373">
                  <c:v>840000</c:v>
                </c:pt>
                <c:pt idx="374">
                  <c:v>845000</c:v>
                </c:pt>
                <c:pt idx="375">
                  <c:v>850000</c:v>
                </c:pt>
                <c:pt idx="376">
                  <c:v>855000</c:v>
                </c:pt>
                <c:pt idx="377">
                  <c:v>860000</c:v>
                </c:pt>
                <c:pt idx="378">
                  <c:v>865000</c:v>
                </c:pt>
                <c:pt idx="379">
                  <c:v>870000</c:v>
                </c:pt>
                <c:pt idx="380">
                  <c:v>875000</c:v>
                </c:pt>
                <c:pt idx="381">
                  <c:v>880000</c:v>
                </c:pt>
                <c:pt idx="382">
                  <c:v>885000</c:v>
                </c:pt>
                <c:pt idx="383">
                  <c:v>890000</c:v>
                </c:pt>
                <c:pt idx="384">
                  <c:v>895000</c:v>
                </c:pt>
                <c:pt idx="385">
                  <c:v>900000</c:v>
                </c:pt>
                <c:pt idx="386">
                  <c:v>905000</c:v>
                </c:pt>
                <c:pt idx="387">
                  <c:v>910000</c:v>
                </c:pt>
                <c:pt idx="388">
                  <c:v>915000</c:v>
                </c:pt>
                <c:pt idx="389">
                  <c:v>920000</c:v>
                </c:pt>
                <c:pt idx="390">
                  <c:v>925000</c:v>
                </c:pt>
                <c:pt idx="391">
                  <c:v>930000</c:v>
                </c:pt>
                <c:pt idx="392">
                  <c:v>935000</c:v>
                </c:pt>
                <c:pt idx="393">
                  <c:v>940000</c:v>
                </c:pt>
                <c:pt idx="394">
                  <c:v>945000</c:v>
                </c:pt>
                <c:pt idx="395">
                  <c:v>950000</c:v>
                </c:pt>
                <c:pt idx="396">
                  <c:v>955000</c:v>
                </c:pt>
                <c:pt idx="397">
                  <c:v>960000</c:v>
                </c:pt>
                <c:pt idx="398">
                  <c:v>965000</c:v>
                </c:pt>
                <c:pt idx="399">
                  <c:v>970000</c:v>
                </c:pt>
                <c:pt idx="400">
                  <c:v>975000</c:v>
                </c:pt>
                <c:pt idx="401">
                  <c:v>980000</c:v>
                </c:pt>
                <c:pt idx="402">
                  <c:v>985000</c:v>
                </c:pt>
                <c:pt idx="403">
                  <c:v>990000</c:v>
                </c:pt>
                <c:pt idx="404">
                  <c:v>995000</c:v>
                </c:pt>
                <c:pt idx="405">
                  <c:v>1000000</c:v>
                </c:pt>
                <c:pt idx="406">
                  <c:v>1005000</c:v>
                </c:pt>
                <c:pt idx="407">
                  <c:v>1010000</c:v>
                </c:pt>
                <c:pt idx="408">
                  <c:v>1015000</c:v>
                </c:pt>
                <c:pt idx="409">
                  <c:v>1020000</c:v>
                </c:pt>
                <c:pt idx="410">
                  <c:v>1025000</c:v>
                </c:pt>
                <c:pt idx="411">
                  <c:v>1030000</c:v>
                </c:pt>
                <c:pt idx="412">
                  <c:v>1035000</c:v>
                </c:pt>
                <c:pt idx="413">
                  <c:v>1040000</c:v>
                </c:pt>
                <c:pt idx="414">
                  <c:v>1045000</c:v>
                </c:pt>
                <c:pt idx="415">
                  <c:v>1050000</c:v>
                </c:pt>
                <c:pt idx="416">
                  <c:v>1055000</c:v>
                </c:pt>
                <c:pt idx="417">
                  <c:v>1060000</c:v>
                </c:pt>
                <c:pt idx="418">
                  <c:v>1065000</c:v>
                </c:pt>
                <c:pt idx="419">
                  <c:v>1070000</c:v>
                </c:pt>
                <c:pt idx="420">
                  <c:v>1075000</c:v>
                </c:pt>
                <c:pt idx="421">
                  <c:v>1080000</c:v>
                </c:pt>
                <c:pt idx="422">
                  <c:v>1085000</c:v>
                </c:pt>
                <c:pt idx="423">
                  <c:v>1090000</c:v>
                </c:pt>
                <c:pt idx="424">
                  <c:v>1095000</c:v>
                </c:pt>
                <c:pt idx="425">
                  <c:v>1100000</c:v>
                </c:pt>
                <c:pt idx="426">
                  <c:v>1105000</c:v>
                </c:pt>
                <c:pt idx="427">
                  <c:v>1110000</c:v>
                </c:pt>
                <c:pt idx="428">
                  <c:v>1115000</c:v>
                </c:pt>
                <c:pt idx="429">
                  <c:v>1120000</c:v>
                </c:pt>
                <c:pt idx="430">
                  <c:v>1125000</c:v>
                </c:pt>
                <c:pt idx="431">
                  <c:v>1130000</c:v>
                </c:pt>
                <c:pt idx="432">
                  <c:v>1135000</c:v>
                </c:pt>
                <c:pt idx="433">
                  <c:v>1140000</c:v>
                </c:pt>
                <c:pt idx="434">
                  <c:v>1145000</c:v>
                </c:pt>
                <c:pt idx="435">
                  <c:v>1150000</c:v>
                </c:pt>
                <c:pt idx="436">
                  <c:v>1155000</c:v>
                </c:pt>
                <c:pt idx="437">
                  <c:v>1160000</c:v>
                </c:pt>
                <c:pt idx="438">
                  <c:v>1165000</c:v>
                </c:pt>
                <c:pt idx="439">
                  <c:v>1170000</c:v>
                </c:pt>
                <c:pt idx="440">
                  <c:v>1175000</c:v>
                </c:pt>
                <c:pt idx="441">
                  <c:v>1180000</c:v>
                </c:pt>
                <c:pt idx="442">
                  <c:v>1185000</c:v>
                </c:pt>
                <c:pt idx="443">
                  <c:v>1190000</c:v>
                </c:pt>
                <c:pt idx="444">
                  <c:v>1195000</c:v>
                </c:pt>
                <c:pt idx="445">
                  <c:v>1200000</c:v>
                </c:pt>
                <c:pt idx="446">
                  <c:v>1205000</c:v>
                </c:pt>
                <c:pt idx="447">
                  <c:v>1210000</c:v>
                </c:pt>
                <c:pt idx="448">
                  <c:v>1215000</c:v>
                </c:pt>
                <c:pt idx="449">
                  <c:v>1220000</c:v>
                </c:pt>
                <c:pt idx="450">
                  <c:v>1225000</c:v>
                </c:pt>
                <c:pt idx="451">
                  <c:v>1230000</c:v>
                </c:pt>
                <c:pt idx="452">
                  <c:v>1235000</c:v>
                </c:pt>
                <c:pt idx="453">
                  <c:v>1240000</c:v>
                </c:pt>
                <c:pt idx="454">
                  <c:v>1245000</c:v>
                </c:pt>
                <c:pt idx="455">
                  <c:v>1250000</c:v>
                </c:pt>
                <c:pt idx="456">
                  <c:v>1255000</c:v>
                </c:pt>
                <c:pt idx="457">
                  <c:v>1260000</c:v>
                </c:pt>
                <c:pt idx="458">
                  <c:v>1265000</c:v>
                </c:pt>
                <c:pt idx="459">
                  <c:v>1270000</c:v>
                </c:pt>
                <c:pt idx="460">
                  <c:v>1275000</c:v>
                </c:pt>
                <c:pt idx="461">
                  <c:v>1280000</c:v>
                </c:pt>
                <c:pt idx="462">
                  <c:v>1285000</c:v>
                </c:pt>
                <c:pt idx="463">
                  <c:v>1290000</c:v>
                </c:pt>
                <c:pt idx="464">
                  <c:v>1295000</c:v>
                </c:pt>
                <c:pt idx="465">
                  <c:v>1300000</c:v>
                </c:pt>
                <c:pt idx="466">
                  <c:v>1305000</c:v>
                </c:pt>
                <c:pt idx="467">
                  <c:v>1310000</c:v>
                </c:pt>
                <c:pt idx="468">
                  <c:v>1315000</c:v>
                </c:pt>
                <c:pt idx="469">
                  <c:v>1320000</c:v>
                </c:pt>
                <c:pt idx="470">
                  <c:v>1325000</c:v>
                </c:pt>
                <c:pt idx="471">
                  <c:v>1330000</c:v>
                </c:pt>
                <c:pt idx="472">
                  <c:v>1335000</c:v>
                </c:pt>
                <c:pt idx="473">
                  <c:v>1340000</c:v>
                </c:pt>
                <c:pt idx="474">
                  <c:v>1345000</c:v>
                </c:pt>
                <c:pt idx="475">
                  <c:v>1350000</c:v>
                </c:pt>
                <c:pt idx="476">
                  <c:v>1355000</c:v>
                </c:pt>
                <c:pt idx="477">
                  <c:v>1360000</c:v>
                </c:pt>
                <c:pt idx="478">
                  <c:v>1365000</c:v>
                </c:pt>
                <c:pt idx="479">
                  <c:v>1370000</c:v>
                </c:pt>
                <c:pt idx="480">
                  <c:v>1375000</c:v>
                </c:pt>
                <c:pt idx="481">
                  <c:v>1380000</c:v>
                </c:pt>
                <c:pt idx="482">
                  <c:v>1385000</c:v>
                </c:pt>
                <c:pt idx="483">
                  <c:v>1390000</c:v>
                </c:pt>
                <c:pt idx="484">
                  <c:v>1395000</c:v>
                </c:pt>
                <c:pt idx="485">
                  <c:v>1400000</c:v>
                </c:pt>
                <c:pt idx="486">
                  <c:v>1405000</c:v>
                </c:pt>
                <c:pt idx="487">
                  <c:v>1410000</c:v>
                </c:pt>
                <c:pt idx="488">
                  <c:v>1415000</c:v>
                </c:pt>
                <c:pt idx="489">
                  <c:v>1420000</c:v>
                </c:pt>
                <c:pt idx="490">
                  <c:v>1425000</c:v>
                </c:pt>
                <c:pt idx="491">
                  <c:v>1430000</c:v>
                </c:pt>
                <c:pt idx="492">
                  <c:v>1435000</c:v>
                </c:pt>
                <c:pt idx="493">
                  <c:v>1440000</c:v>
                </c:pt>
                <c:pt idx="494">
                  <c:v>1445000</c:v>
                </c:pt>
                <c:pt idx="495">
                  <c:v>1450000</c:v>
                </c:pt>
                <c:pt idx="496">
                  <c:v>1455000</c:v>
                </c:pt>
                <c:pt idx="497">
                  <c:v>1460000</c:v>
                </c:pt>
                <c:pt idx="498">
                  <c:v>1465000</c:v>
                </c:pt>
                <c:pt idx="499">
                  <c:v>1470000</c:v>
                </c:pt>
                <c:pt idx="500">
                  <c:v>1475000</c:v>
                </c:pt>
                <c:pt idx="501">
                  <c:v>1480000</c:v>
                </c:pt>
                <c:pt idx="502">
                  <c:v>1485000</c:v>
                </c:pt>
                <c:pt idx="503">
                  <c:v>1490000</c:v>
                </c:pt>
                <c:pt idx="504">
                  <c:v>1495000</c:v>
                </c:pt>
                <c:pt idx="505">
                  <c:v>1500000</c:v>
                </c:pt>
                <c:pt idx="506">
                  <c:v>1505000</c:v>
                </c:pt>
                <c:pt idx="507">
                  <c:v>1510000</c:v>
                </c:pt>
                <c:pt idx="508">
                  <c:v>1515000</c:v>
                </c:pt>
                <c:pt idx="509">
                  <c:v>1520000</c:v>
                </c:pt>
                <c:pt idx="510">
                  <c:v>1525000</c:v>
                </c:pt>
                <c:pt idx="511">
                  <c:v>1530000</c:v>
                </c:pt>
                <c:pt idx="512">
                  <c:v>1535000</c:v>
                </c:pt>
                <c:pt idx="513">
                  <c:v>1540000</c:v>
                </c:pt>
                <c:pt idx="514">
                  <c:v>1545000</c:v>
                </c:pt>
                <c:pt idx="515">
                  <c:v>1550000</c:v>
                </c:pt>
                <c:pt idx="516">
                  <c:v>1555000</c:v>
                </c:pt>
                <c:pt idx="517">
                  <c:v>1560000</c:v>
                </c:pt>
                <c:pt idx="518">
                  <c:v>1565000</c:v>
                </c:pt>
                <c:pt idx="519">
                  <c:v>1570000</c:v>
                </c:pt>
                <c:pt idx="520">
                  <c:v>1575000</c:v>
                </c:pt>
                <c:pt idx="521">
                  <c:v>1580000</c:v>
                </c:pt>
                <c:pt idx="522">
                  <c:v>1585000</c:v>
                </c:pt>
                <c:pt idx="523">
                  <c:v>1590000</c:v>
                </c:pt>
                <c:pt idx="524">
                  <c:v>1595000</c:v>
                </c:pt>
                <c:pt idx="525">
                  <c:v>1600000</c:v>
                </c:pt>
                <c:pt idx="526">
                  <c:v>1605000</c:v>
                </c:pt>
                <c:pt idx="527">
                  <c:v>1610000</c:v>
                </c:pt>
                <c:pt idx="528">
                  <c:v>1615000</c:v>
                </c:pt>
                <c:pt idx="529">
                  <c:v>1620000</c:v>
                </c:pt>
                <c:pt idx="530">
                  <c:v>1625000</c:v>
                </c:pt>
                <c:pt idx="531">
                  <c:v>1630000</c:v>
                </c:pt>
                <c:pt idx="532">
                  <c:v>1635000</c:v>
                </c:pt>
                <c:pt idx="533">
                  <c:v>1640000</c:v>
                </c:pt>
                <c:pt idx="534">
                  <c:v>1645000</c:v>
                </c:pt>
                <c:pt idx="535">
                  <c:v>1650000</c:v>
                </c:pt>
                <c:pt idx="536">
                  <c:v>1655000</c:v>
                </c:pt>
                <c:pt idx="537">
                  <c:v>1660000</c:v>
                </c:pt>
                <c:pt idx="538">
                  <c:v>1665000</c:v>
                </c:pt>
                <c:pt idx="539">
                  <c:v>1670000</c:v>
                </c:pt>
                <c:pt idx="540">
                  <c:v>1675000</c:v>
                </c:pt>
                <c:pt idx="541">
                  <c:v>1680000</c:v>
                </c:pt>
                <c:pt idx="542">
                  <c:v>1685000</c:v>
                </c:pt>
                <c:pt idx="543">
                  <c:v>1690000</c:v>
                </c:pt>
                <c:pt idx="544">
                  <c:v>1695000</c:v>
                </c:pt>
                <c:pt idx="545">
                  <c:v>1700000</c:v>
                </c:pt>
                <c:pt idx="546">
                  <c:v>1705000</c:v>
                </c:pt>
                <c:pt idx="547">
                  <c:v>1710000</c:v>
                </c:pt>
                <c:pt idx="548">
                  <c:v>1715000</c:v>
                </c:pt>
                <c:pt idx="549">
                  <c:v>1720000</c:v>
                </c:pt>
                <c:pt idx="550">
                  <c:v>1725000</c:v>
                </c:pt>
                <c:pt idx="551">
                  <c:v>1730000</c:v>
                </c:pt>
                <c:pt idx="552">
                  <c:v>1735000</c:v>
                </c:pt>
                <c:pt idx="553">
                  <c:v>1740000</c:v>
                </c:pt>
                <c:pt idx="554">
                  <c:v>1745000</c:v>
                </c:pt>
                <c:pt idx="555">
                  <c:v>1750000</c:v>
                </c:pt>
                <c:pt idx="556">
                  <c:v>1755000</c:v>
                </c:pt>
                <c:pt idx="557">
                  <c:v>1760000</c:v>
                </c:pt>
                <c:pt idx="558">
                  <c:v>1765000</c:v>
                </c:pt>
                <c:pt idx="559">
                  <c:v>1770000</c:v>
                </c:pt>
                <c:pt idx="560">
                  <c:v>1775000</c:v>
                </c:pt>
                <c:pt idx="561">
                  <c:v>1780000</c:v>
                </c:pt>
                <c:pt idx="562">
                  <c:v>1785000</c:v>
                </c:pt>
                <c:pt idx="563">
                  <c:v>1790000</c:v>
                </c:pt>
                <c:pt idx="564">
                  <c:v>1795000</c:v>
                </c:pt>
                <c:pt idx="565">
                  <c:v>1800000</c:v>
                </c:pt>
                <c:pt idx="566">
                  <c:v>1805000</c:v>
                </c:pt>
                <c:pt idx="567">
                  <c:v>1810000</c:v>
                </c:pt>
                <c:pt idx="568">
                  <c:v>1815000</c:v>
                </c:pt>
                <c:pt idx="569">
                  <c:v>1820000</c:v>
                </c:pt>
                <c:pt idx="570">
                  <c:v>1825000</c:v>
                </c:pt>
                <c:pt idx="571">
                  <c:v>1830000</c:v>
                </c:pt>
                <c:pt idx="572">
                  <c:v>1835000</c:v>
                </c:pt>
                <c:pt idx="573">
                  <c:v>1840000</c:v>
                </c:pt>
                <c:pt idx="574">
                  <c:v>1845000</c:v>
                </c:pt>
                <c:pt idx="575">
                  <c:v>1850000</c:v>
                </c:pt>
                <c:pt idx="576">
                  <c:v>1855000</c:v>
                </c:pt>
                <c:pt idx="577">
                  <c:v>1860000</c:v>
                </c:pt>
                <c:pt idx="578">
                  <c:v>1865000</c:v>
                </c:pt>
                <c:pt idx="579">
                  <c:v>1870000</c:v>
                </c:pt>
                <c:pt idx="580">
                  <c:v>1875000</c:v>
                </c:pt>
                <c:pt idx="581">
                  <c:v>1880000</c:v>
                </c:pt>
                <c:pt idx="582">
                  <c:v>1885000</c:v>
                </c:pt>
                <c:pt idx="583">
                  <c:v>1890000</c:v>
                </c:pt>
                <c:pt idx="584">
                  <c:v>1895000</c:v>
                </c:pt>
                <c:pt idx="585">
                  <c:v>1900000</c:v>
                </c:pt>
                <c:pt idx="586">
                  <c:v>1905000</c:v>
                </c:pt>
                <c:pt idx="587">
                  <c:v>1910000</c:v>
                </c:pt>
                <c:pt idx="588">
                  <c:v>1915000</c:v>
                </c:pt>
                <c:pt idx="589">
                  <c:v>1920000</c:v>
                </c:pt>
                <c:pt idx="590">
                  <c:v>1925000</c:v>
                </c:pt>
                <c:pt idx="591">
                  <c:v>1930000</c:v>
                </c:pt>
                <c:pt idx="592">
                  <c:v>1935000</c:v>
                </c:pt>
                <c:pt idx="593">
                  <c:v>1940000</c:v>
                </c:pt>
                <c:pt idx="594">
                  <c:v>1945000</c:v>
                </c:pt>
                <c:pt idx="595">
                  <c:v>1950000</c:v>
                </c:pt>
                <c:pt idx="596">
                  <c:v>1955000</c:v>
                </c:pt>
                <c:pt idx="597">
                  <c:v>1960000</c:v>
                </c:pt>
                <c:pt idx="598">
                  <c:v>1965000</c:v>
                </c:pt>
                <c:pt idx="599">
                  <c:v>1970000</c:v>
                </c:pt>
                <c:pt idx="600">
                  <c:v>1975000</c:v>
                </c:pt>
                <c:pt idx="601">
                  <c:v>1980000</c:v>
                </c:pt>
                <c:pt idx="602">
                  <c:v>1985000</c:v>
                </c:pt>
                <c:pt idx="603">
                  <c:v>1990000</c:v>
                </c:pt>
                <c:pt idx="604">
                  <c:v>1995000</c:v>
                </c:pt>
                <c:pt idx="605">
                  <c:v>2000000</c:v>
                </c:pt>
                <c:pt idx="606">
                  <c:v>2250000</c:v>
                </c:pt>
                <c:pt idx="607">
                  <c:v>2500000</c:v>
                </c:pt>
                <c:pt idx="608">
                  <c:v>2750000</c:v>
                </c:pt>
                <c:pt idx="609">
                  <c:v>3000000</c:v>
                </c:pt>
                <c:pt idx="610">
                  <c:v>3250000</c:v>
                </c:pt>
                <c:pt idx="611">
                  <c:v>3500000</c:v>
                </c:pt>
                <c:pt idx="612">
                  <c:v>3750000</c:v>
                </c:pt>
                <c:pt idx="613">
                  <c:v>4000000</c:v>
                </c:pt>
                <c:pt idx="614">
                  <c:v>4250000</c:v>
                </c:pt>
                <c:pt idx="615">
                  <c:v>4500000</c:v>
                </c:pt>
                <c:pt idx="616">
                  <c:v>4750000</c:v>
                </c:pt>
                <c:pt idx="617">
                  <c:v>5000000</c:v>
                </c:pt>
                <c:pt idx="618">
                  <c:v>5100000</c:v>
                </c:pt>
                <c:pt idx="619">
                  <c:v>5200000</c:v>
                </c:pt>
                <c:pt idx="620">
                  <c:v>5300000</c:v>
                </c:pt>
                <c:pt idx="621">
                  <c:v>5400000</c:v>
                </c:pt>
                <c:pt idx="622">
                  <c:v>5500000</c:v>
                </c:pt>
                <c:pt idx="623">
                  <c:v>5600000</c:v>
                </c:pt>
                <c:pt idx="624">
                  <c:v>5700000</c:v>
                </c:pt>
                <c:pt idx="625">
                  <c:v>5800000</c:v>
                </c:pt>
                <c:pt idx="626">
                  <c:v>5900000</c:v>
                </c:pt>
                <c:pt idx="627">
                  <c:v>6000000</c:v>
                </c:pt>
                <c:pt idx="628">
                  <c:v>6100000</c:v>
                </c:pt>
                <c:pt idx="629">
                  <c:v>6200000</c:v>
                </c:pt>
                <c:pt idx="630">
                  <c:v>6300000</c:v>
                </c:pt>
                <c:pt idx="631">
                  <c:v>6400000</c:v>
                </c:pt>
                <c:pt idx="632">
                  <c:v>6500000</c:v>
                </c:pt>
                <c:pt idx="633">
                  <c:v>6600000</c:v>
                </c:pt>
                <c:pt idx="634">
                  <c:v>6700000</c:v>
                </c:pt>
                <c:pt idx="635">
                  <c:v>6800000</c:v>
                </c:pt>
                <c:pt idx="636">
                  <c:v>6900000</c:v>
                </c:pt>
                <c:pt idx="637">
                  <c:v>7000000</c:v>
                </c:pt>
                <c:pt idx="638">
                  <c:v>7100000</c:v>
                </c:pt>
                <c:pt idx="639">
                  <c:v>7200000</c:v>
                </c:pt>
                <c:pt idx="640">
                  <c:v>7300000</c:v>
                </c:pt>
                <c:pt idx="641">
                  <c:v>7400000</c:v>
                </c:pt>
                <c:pt idx="642">
                  <c:v>7500000</c:v>
                </c:pt>
                <c:pt idx="643">
                  <c:v>7600000</c:v>
                </c:pt>
                <c:pt idx="644">
                  <c:v>7700000</c:v>
                </c:pt>
                <c:pt idx="645">
                  <c:v>7800000</c:v>
                </c:pt>
                <c:pt idx="646">
                  <c:v>7900000</c:v>
                </c:pt>
                <c:pt idx="647">
                  <c:v>8000000</c:v>
                </c:pt>
                <c:pt idx="648">
                  <c:v>8100000</c:v>
                </c:pt>
                <c:pt idx="649">
                  <c:v>8200000</c:v>
                </c:pt>
                <c:pt idx="650">
                  <c:v>8300000</c:v>
                </c:pt>
                <c:pt idx="651">
                  <c:v>8400000</c:v>
                </c:pt>
                <c:pt idx="652">
                  <c:v>8500000</c:v>
                </c:pt>
                <c:pt idx="653">
                  <c:v>8600000</c:v>
                </c:pt>
                <c:pt idx="654">
                  <c:v>8700000</c:v>
                </c:pt>
                <c:pt idx="655">
                  <c:v>8800000</c:v>
                </c:pt>
                <c:pt idx="656">
                  <c:v>8900000</c:v>
                </c:pt>
                <c:pt idx="657">
                  <c:v>9000000</c:v>
                </c:pt>
                <c:pt idx="658">
                  <c:v>9100000</c:v>
                </c:pt>
                <c:pt idx="659">
                  <c:v>9200000</c:v>
                </c:pt>
                <c:pt idx="660">
                  <c:v>9300000</c:v>
                </c:pt>
                <c:pt idx="661">
                  <c:v>9400000</c:v>
                </c:pt>
                <c:pt idx="662">
                  <c:v>9500000</c:v>
                </c:pt>
                <c:pt idx="663">
                  <c:v>9600000</c:v>
                </c:pt>
                <c:pt idx="664">
                  <c:v>9700000</c:v>
                </c:pt>
                <c:pt idx="665">
                  <c:v>9800000</c:v>
                </c:pt>
                <c:pt idx="666">
                  <c:v>9900000</c:v>
                </c:pt>
                <c:pt idx="667">
                  <c:v>10000000</c:v>
                </c:pt>
              </c:numCache>
            </c:numRef>
          </c:xVal>
          <c:yVal>
            <c:numRef>
              <c:f>'Raw data'!$D$82:$D$749</c:f>
              <c:numCache>
                <c:formatCode>General</c:formatCode>
                <c:ptCount val="6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numCache>
            </c:numRef>
          </c:yVal>
          <c:smooth val="1"/>
          <c:extLst>
            <c:ext xmlns:c16="http://schemas.microsoft.com/office/drawing/2014/chart" uri="{C3380CC4-5D6E-409C-BE32-E72D297353CC}">
              <c16:uniqueId val="{00000000-77A4-4C30-A877-9450162693D8}"/>
            </c:ext>
          </c:extLst>
        </c:ser>
        <c:dLbls>
          <c:showLegendKey val="0"/>
          <c:showVal val="0"/>
          <c:showCatName val="0"/>
          <c:showSerName val="0"/>
          <c:showPercent val="0"/>
          <c:showBubbleSize val="0"/>
        </c:dLbls>
        <c:axId val="199278976"/>
        <c:axId val="199280896"/>
      </c:scatterChart>
      <c:scatterChart>
        <c:scatterStyle val="lineMarker"/>
        <c:varyColors val="0"/>
        <c:ser>
          <c:idx val="1"/>
          <c:order val="1"/>
          <c:tx>
            <c:v>Phase</c:v>
          </c:tx>
          <c:spPr>
            <a:ln w="25400">
              <a:solidFill>
                <a:srgbClr val="FF0000"/>
              </a:solidFill>
              <a:prstDash val="solid"/>
            </a:ln>
          </c:spPr>
          <c:marker>
            <c:symbol val="none"/>
          </c:marker>
          <c:xVal>
            <c:numRef>
              <c:f>'Raw data'!$C$82:$C$749</c:f>
              <c:numCache>
                <c:formatCode>General</c:formatCode>
                <c:ptCount val="668"/>
                <c:pt idx="0">
                  <c:v>1</c:v>
                </c:pt>
                <c:pt idx="1">
                  <c:v>2</c:v>
                </c:pt>
                <c:pt idx="2">
                  <c:v>3</c:v>
                </c:pt>
                <c:pt idx="3">
                  <c:v>4</c:v>
                </c:pt>
                <c:pt idx="4">
                  <c:v>5</c:v>
                </c:pt>
                <c:pt idx="5">
                  <c:v>6</c:v>
                </c:pt>
                <c:pt idx="6">
                  <c:v>7</c:v>
                </c:pt>
                <c:pt idx="7">
                  <c:v>8</c:v>
                </c:pt>
                <c:pt idx="8">
                  <c:v>9</c:v>
                </c:pt>
                <c:pt idx="9">
                  <c:v>10</c:v>
                </c:pt>
                <c:pt idx="10">
                  <c:v>20</c:v>
                </c:pt>
                <c:pt idx="11">
                  <c:v>30</c:v>
                </c:pt>
                <c:pt idx="12">
                  <c:v>40</c:v>
                </c:pt>
                <c:pt idx="13">
                  <c:v>50</c:v>
                </c:pt>
                <c:pt idx="14">
                  <c:v>60</c:v>
                </c:pt>
                <c:pt idx="15">
                  <c:v>70</c:v>
                </c:pt>
                <c:pt idx="16">
                  <c:v>80</c:v>
                </c:pt>
                <c:pt idx="17">
                  <c:v>90</c:v>
                </c:pt>
                <c:pt idx="18">
                  <c:v>100</c:v>
                </c:pt>
                <c:pt idx="19">
                  <c:v>200</c:v>
                </c:pt>
                <c:pt idx="20">
                  <c:v>300</c:v>
                </c:pt>
                <c:pt idx="21">
                  <c:v>400</c:v>
                </c:pt>
                <c:pt idx="22">
                  <c:v>500</c:v>
                </c:pt>
                <c:pt idx="23">
                  <c:v>600</c:v>
                </c:pt>
                <c:pt idx="24">
                  <c:v>700</c:v>
                </c:pt>
                <c:pt idx="25">
                  <c:v>800</c:v>
                </c:pt>
                <c:pt idx="26">
                  <c:v>900</c:v>
                </c:pt>
                <c:pt idx="27">
                  <c:v>1000</c:v>
                </c:pt>
                <c:pt idx="28">
                  <c:v>1500</c:v>
                </c:pt>
                <c:pt idx="29">
                  <c:v>2000</c:v>
                </c:pt>
                <c:pt idx="30">
                  <c:v>2500</c:v>
                </c:pt>
                <c:pt idx="31">
                  <c:v>3000</c:v>
                </c:pt>
                <c:pt idx="32">
                  <c:v>3500</c:v>
                </c:pt>
                <c:pt idx="33">
                  <c:v>4000</c:v>
                </c:pt>
                <c:pt idx="34">
                  <c:v>4500</c:v>
                </c:pt>
                <c:pt idx="35">
                  <c:v>5000</c:v>
                </c:pt>
                <c:pt idx="36">
                  <c:v>5500</c:v>
                </c:pt>
                <c:pt idx="37">
                  <c:v>6000</c:v>
                </c:pt>
                <c:pt idx="38">
                  <c:v>6500</c:v>
                </c:pt>
                <c:pt idx="39">
                  <c:v>7000</c:v>
                </c:pt>
                <c:pt idx="40">
                  <c:v>7500</c:v>
                </c:pt>
                <c:pt idx="41">
                  <c:v>8000</c:v>
                </c:pt>
                <c:pt idx="42">
                  <c:v>8500</c:v>
                </c:pt>
                <c:pt idx="43">
                  <c:v>9000</c:v>
                </c:pt>
                <c:pt idx="44">
                  <c:v>9500</c:v>
                </c:pt>
                <c:pt idx="45">
                  <c:v>10000</c:v>
                </c:pt>
                <c:pt idx="46">
                  <c:v>10500</c:v>
                </c:pt>
                <c:pt idx="47">
                  <c:v>11000</c:v>
                </c:pt>
                <c:pt idx="48">
                  <c:v>11500</c:v>
                </c:pt>
                <c:pt idx="49">
                  <c:v>12000</c:v>
                </c:pt>
                <c:pt idx="50">
                  <c:v>12500</c:v>
                </c:pt>
                <c:pt idx="51">
                  <c:v>13000</c:v>
                </c:pt>
                <c:pt idx="52">
                  <c:v>13500</c:v>
                </c:pt>
                <c:pt idx="53">
                  <c:v>14000</c:v>
                </c:pt>
                <c:pt idx="54">
                  <c:v>14500</c:v>
                </c:pt>
                <c:pt idx="55">
                  <c:v>15000</c:v>
                </c:pt>
                <c:pt idx="56">
                  <c:v>15500</c:v>
                </c:pt>
                <c:pt idx="57">
                  <c:v>16000</c:v>
                </c:pt>
                <c:pt idx="58">
                  <c:v>16500</c:v>
                </c:pt>
                <c:pt idx="59">
                  <c:v>17000</c:v>
                </c:pt>
                <c:pt idx="60">
                  <c:v>17500</c:v>
                </c:pt>
                <c:pt idx="61">
                  <c:v>18000</c:v>
                </c:pt>
                <c:pt idx="62">
                  <c:v>18500</c:v>
                </c:pt>
                <c:pt idx="63">
                  <c:v>19000</c:v>
                </c:pt>
                <c:pt idx="64">
                  <c:v>19500</c:v>
                </c:pt>
                <c:pt idx="65">
                  <c:v>20000</c:v>
                </c:pt>
                <c:pt idx="66">
                  <c:v>20500</c:v>
                </c:pt>
                <c:pt idx="67">
                  <c:v>21000</c:v>
                </c:pt>
                <c:pt idx="68">
                  <c:v>21500</c:v>
                </c:pt>
                <c:pt idx="69">
                  <c:v>22000</c:v>
                </c:pt>
                <c:pt idx="70">
                  <c:v>22500</c:v>
                </c:pt>
                <c:pt idx="71">
                  <c:v>23000</c:v>
                </c:pt>
                <c:pt idx="72">
                  <c:v>23500</c:v>
                </c:pt>
                <c:pt idx="73">
                  <c:v>24000</c:v>
                </c:pt>
                <c:pt idx="74">
                  <c:v>24500</c:v>
                </c:pt>
                <c:pt idx="75">
                  <c:v>25000</c:v>
                </c:pt>
                <c:pt idx="76">
                  <c:v>25500</c:v>
                </c:pt>
                <c:pt idx="77">
                  <c:v>26000</c:v>
                </c:pt>
                <c:pt idx="78">
                  <c:v>26500</c:v>
                </c:pt>
                <c:pt idx="79">
                  <c:v>27000</c:v>
                </c:pt>
                <c:pt idx="80">
                  <c:v>27500</c:v>
                </c:pt>
                <c:pt idx="81">
                  <c:v>28000</c:v>
                </c:pt>
                <c:pt idx="82">
                  <c:v>28500</c:v>
                </c:pt>
                <c:pt idx="83">
                  <c:v>29000</c:v>
                </c:pt>
                <c:pt idx="84">
                  <c:v>29500</c:v>
                </c:pt>
                <c:pt idx="85">
                  <c:v>30000</c:v>
                </c:pt>
                <c:pt idx="86">
                  <c:v>30500</c:v>
                </c:pt>
                <c:pt idx="87">
                  <c:v>31000</c:v>
                </c:pt>
                <c:pt idx="88">
                  <c:v>31500</c:v>
                </c:pt>
                <c:pt idx="89">
                  <c:v>32000</c:v>
                </c:pt>
                <c:pt idx="90">
                  <c:v>32500</c:v>
                </c:pt>
                <c:pt idx="91">
                  <c:v>33000</c:v>
                </c:pt>
                <c:pt idx="92">
                  <c:v>33500</c:v>
                </c:pt>
                <c:pt idx="93">
                  <c:v>34000</c:v>
                </c:pt>
                <c:pt idx="94">
                  <c:v>34500</c:v>
                </c:pt>
                <c:pt idx="95">
                  <c:v>35000</c:v>
                </c:pt>
                <c:pt idx="96">
                  <c:v>35500</c:v>
                </c:pt>
                <c:pt idx="97">
                  <c:v>36000</c:v>
                </c:pt>
                <c:pt idx="98">
                  <c:v>36500</c:v>
                </c:pt>
                <c:pt idx="99">
                  <c:v>37000</c:v>
                </c:pt>
                <c:pt idx="100">
                  <c:v>37500</c:v>
                </c:pt>
                <c:pt idx="101">
                  <c:v>38000</c:v>
                </c:pt>
                <c:pt idx="102">
                  <c:v>38500</c:v>
                </c:pt>
                <c:pt idx="103">
                  <c:v>39000</c:v>
                </c:pt>
                <c:pt idx="104">
                  <c:v>39500</c:v>
                </c:pt>
                <c:pt idx="105">
                  <c:v>40000</c:v>
                </c:pt>
                <c:pt idx="106">
                  <c:v>40500</c:v>
                </c:pt>
                <c:pt idx="107">
                  <c:v>41000</c:v>
                </c:pt>
                <c:pt idx="108">
                  <c:v>41500</c:v>
                </c:pt>
                <c:pt idx="109">
                  <c:v>42000</c:v>
                </c:pt>
                <c:pt idx="110">
                  <c:v>42500</c:v>
                </c:pt>
                <c:pt idx="111">
                  <c:v>43000</c:v>
                </c:pt>
                <c:pt idx="112">
                  <c:v>43500</c:v>
                </c:pt>
                <c:pt idx="113">
                  <c:v>44000</c:v>
                </c:pt>
                <c:pt idx="114">
                  <c:v>44500</c:v>
                </c:pt>
                <c:pt idx="115">
                  <c:v>45000</c:v>
                </c:pt>
                <c:pt idx="116">
                  <c:v>45500</c:v>
                </c:pt>
                <c:pt idx="117">
                  <c:v>46000</c:v>
                </c:pt>
                <c:pt idx="118">
                  <c:v>46500</c:v>
                </c:pt>
                <c:pt idx="119">
                  <c:v>47000</c:v>
                </c:pt>
                <c:pt idx="120">
                  <c:v>47500</c:v>
                </c:pt>
                <c:pt idx="121">
                  <c:v>48000</c:v>
                </c:pt>
                <c:pt idx="122">
                  <c:v>48500</c:v>
                </c:pt>
                <c:pt idx="123">
                  <c:v>49000</c:v>
                </c:pt>
                <c:pt idx="124">
                  <c:v>49500</c:v>
                </c:pt>
                <c:pt idx="125">
                  <c:v>50000</c:v>
                </c:pt>
                <c:pt idx="126">
                  <c:v>50500</c:v>
                </c:pt>
                <c:pt idx="127">
                  <c:v>51000</c:v>
                </c:pt>
                <c:pt idx="128">
                  <c:v>51500</c:v>
                </c:pt>
                <c:pt idx="129">
                  <c:v>52000</c:v>
                </c:pt>
                <c:pt idx="130">
                  <c:v>52500</c:v>
                </c:pt>
                <c:pt idx="131">
                  <c:v>53000</c:v>
                </c:pt>
                <c:pt idx="132">
                  <c:v>53500</c:v>
                </c:pt>
                <c:pt idx="133">
                  <c:v>54000</c:v>
                </c:pt>
                <c:pt idx="134">
                  <c:v>54500</c:v>
                </c:pt>
                <c:pt idx="135">
                  <c:v>55000</c:v>
                </c:pt>
                <c:pt idx="136">
                  <c:v>55500</c:v>
                </c:pt>
                <c:pt idx="137">
                  <c:v>56000</c:v>
                </c:pt>
                <c:pt idx="138">
                  <c:v>56500</c:v>
                </c:pt>
                <c:pt idx="139">
                  <c:v>57000</c:v>
                </c:pt>
                <c:pt idx="140">
                  <c:v>57500</c:v>
                </c:pt>
                <c:pt idx="141">
                  <c:v>58000</c:v>
                </c:pt>
                <c:pt idx="142">
                  <c:v>58500</c:v>
                </c:pt>
                <c:pt idx="143">
                  <c:v>59000</c:v>
                </c:pt>
                <c:pt idx="144">
                  <c:v>59500</c:v>
                </c:pt>
                <c:pt idx="145">
                  <c:v>60000</c:v>
                </c:pt>
                <c:pt idx="146">
                  <c:v>60500</c:v>
                </c:pt>
                <c:pt idx="147">
                  <c:v>61000</c:v>
                </c:pt>
                <c:pt idx="148">
                  <c:v>61500</c:v>
                </c:pt>
                <c:pt idx="149">
                  <c:v>62000</c:v>
                </c:pt>
                <c:pt idx="150">
                  <c:v>62500</c:v>
                </c:pt>
                <c:pt idx="151">
                  <c:v>63000</c:v>
                </c:pt>
                <c:pt idx="152">
                  <c:v>63500</c:v>
                </c:pt>
                <c:pt idx="153">
                  <c:v>64000</c:v>
                </c:pt>
                <c:pt idx="154">
                  <c:v>64500</c:v>
                </c:pt>
                <c:pt idx="155">
                  <c:v>65000</c:v>
                </c:pt>
                <c:pt idx="156">
                  <c:v>65500</c:v>
                </c:pt>
                <c:pt idx="157">
                  <c:v>66000</c:v>
                </c:pt>
                <c:pt idx="158">
                  <c:v>66500</c:v>
                </c:pt>
                <c:pt idx="159">
                  <c:v>67000</c:v>
                </c:pt>
                <c:pt idx="160">
                  <c:v>67500</c:v>
                </c:pt>
                <c:pt idx="161">
                  <c:v>68000</c:v>
                </c:pt>
                <c:pt idx="162">
                  <c:v>68500</c:v>
                </c:pt>
                <c:pt idx="163">
                  <c:v>69000</c:v>
                </c:pt>
                <c:pt idx="164">
                  <c:v>69500</c:v>
                </c:pt>
                <c:pt idx="165">
                  <c:v>70000</c:v>
                </c:pt>
                <c:pt idx="166">
                  <c:v>70500</c:v>
                </c:pt>
                <c:pt idx="167">
                  <c:v>71000</c:v>
                </c:pt>
                <c:pt idx="168">
                  <c:v>71500</c:v>
                </c:pt>
                <c:pt idx="169">
                  <c:v>72000</c:v>
                </c:pt>
                <c:pt idx="170">
                  <c:v>72500</c:v>
                </c:pt>
                <c:pt idx="171">
                  <c:v>73000</c:v>
                </c:pt>
                <c:pt idx="172">
                  <c:v>73500</c:v>
                </c:pt>
                <c:pt idx="173">
                  <c:v>74000</c:v>
                </c:pt>
                <c:pt idx="174">
                  <c:v>74500</c:v>
                </c:pt>
                <c:pt idx="175">
                  <c:v>75000</c:v>
                </c:pt>
                <c:pt idx="176">
                  <c:v>75500</c:v>
                </c:pt>
                <c:pt idx="177">
                  <c:v>76000</c:v>
                </c:pt>
                <c:pt idx="178">
                  <c:v>76500</c:v>
                </c:pt>
                <c:pt idx="179">
                  <c:v>77000</c:v>
                </c:pt>
                <c:pt idx="180">
                  <c:v>77500</c:v>
                </c:pt>
                <c:pt idx="181">
                  <c:v>78000</c:v>
                </c:pt>
                <c:pt idx="182">
                  <c:v>78500</c:v>
                </c:pt>
                <c:pt idx="183">
                  <c:v>79000</c:v>
                </c:pt>
                <c:pt idx="184">
                  <c:v>79500</c:v>
                </c:pt>
                <c:pt idx="185">
                  <c:v>80000</c:v>
                </c:pt>
                <c:pt idx="186">
                  <c:v>80500</c:v>
                </c:pt>
                <c:pt idx="187">
                  <c:v>81000</c:v>
                </c:pt>
                <c:pt idx="188">
                  <c:v>81500</c:v>
                </c:pt>
                <c:pt idx="189">
                  <c:v>82000</c:v>
                </c:pt>
                <c:pt idx="190">
                  <c:v>82500</c:v>
                </c:pt>
                <c:pt idx="191">
                  <c:v>83000</c:v>
                </c:pt>
                <c:pt idx="192">
                  <c:v>83500</c:v>
                </c:pt>
                <c:pt idx="193">
                  <c:v>84000</c:v>
                </c:pt>
                <c:pt idx="194">
                  <c:v>84500</c:v>
                </c:pt>
                <c:pt idx="195">
                  <c:v>85000</c:v>
                </c:pt>
                <c:pt idx="196">
                  <c:v>85500</c:v>
                </c:pt>
                <c:pt idx="197">
                  <c:v>86000</c:v>
                </c:pt>
                <c:pt idx="198">
                  <c:v>86500</c:v>
                </c:pt>
                <c:pt idx="199">
                  <c:v>87000</c:v>
                </c:pt>
                <c:pt idx="200">
                  <c:v>87500</c:v>
                </c:pt>
                <c:pt idx="201">
                  <c:v>88000</c:v>
                </c:pt>
                <c:pt idx="202">
                  <c:v>88500</c:v>
                </c:pt>
                <c:pt idx="203">
                  <c:v>89000</c:v>
                </c:pt>
                <c:pt idx="204">
                  <c:v>89500</c:v>
                </c:pt>
                <c:pt idx="205">
                  <c:v>90000</c:v>
                </c:pt>
                <c:pt idx="206">
                  <c:v>90500</c:v>
                </c:pt>
                <c:pt idx="207">
                  <c:v>91000</c:v>
                </c:pt>
                <c:pt idx="208">
                  <c:v>91500</c:v>
                </c:pt>
                <c:pt idx="209">
                  <c:v>92000</c:v>
                </c:pt>
                <c:pt idx="210">
                  <c:v>92500</c:v>
                </c:pt>
                <c:pt idx="211">
                  <c:v>93000</c:v>
                </c:pt>
                <c:pt idx="212">
                  <c:v>93500</c:v>
                </c:pt>
                <c:pt idx="213">
                  <c:v>94000</c:v>
                </c:pt>
                <c:pt idx="214">
                  <c:v>94500</c:v>
                </c:pt>
                <c:pt idx="215">
                  <c:v>95000</c:v>
                </c:pt>
                <c:pt idx="216">
                  <c:v>95500</c:v>
                </c:pt>
                <c:pt idx="217">
                  <c:v>96000</c:v>
                </c:pt>
                <c:pt idx="218">
                  <c:v>96500</c:v>
                </c:pt>
                <c:pt idx="219">
                  <c:v>97000</c:v>
                </c:pt>
                <c:pt idx="220">
                  <c:v>97500</c:v>
                </c:pt>
                <c:pt idx="221">
                  <c:v>98000</c:v>
                </c:pt>
                <c:pt idx="222">
                  <c:v>98500</c:v>
                </c:pt>
                <c:pt idx="223">
                  <c:v>99000</c:v>
                </c:pt>
                <c:pt idx="224">
                  <c:v>99500</c:v>
                </c:pt>
                <c:pt idx="225">
                  <c:v>100000</c:v>
                </c:pt>
                <c:pt idx="226">
                  <c:v>105000</c:v>
                </c:pt>
                <c:pt idx="227">
                  <c:v>110000</c:v>
                </c:pt>
                <c:pt idx="228">
                  <c:v>115000</c:v>
                </c:pt>
                <c:pt idx="229">
                  <c:v>120000</c:v>
                </c:pt>
                <c:pt idx="230">
                  <c:v>125000</c:v>
                </c:pt>
                <c:pt idx="231">
                  <c:v>130000</c:v>
                </c:pt>
                <c:pt idx="232">
                  <c:v>135000</c:v>
                </c:pt>
                <c:pt idx="233">
                  <c:v>140000</c:v>
                </c:pt>
                <c:pt idx="234">
                  <c:v>145000</c:v>
                </c:pt>
                <c:pt idx="235">
                  <c:v>150000</c:v>
                </c:pt>
                <c:pt idx="236">
                  <c:v>155000</c:v>
                </c:pt>
                <c:pt idx="237">
                  <c:v>160000</c:v>
                </c:pt>
                <c:pt idx="238">
                  <c:v>165000</c:v>
                </c:pt>
                <c:pt idx="239">
                  <c:v>170000</c:v>
                </c:pt>
                <c:pt idx="240">
                  <c:v>175000</c:v>
                </c:pt>
                <c:pt idx="241">
                  <c:v>180000</c:v>
                </c:pt>
                <c:pt idx="242">
                  <c:v>185000</c:v>
                </c:pt>
                <c:pt idx="243">
                  <c:v>190000</c:v>
                </c:pt>
                <c:pt idx="244">
                  <c:v>195000</c:v>
                </c:pt>
                <c:pt idx="245">
                  <c:v>200000</c:v>
                </c:pt>
                <c:pt idx="246">
                  <c:v>205000</c:v>
                </c:pt>
                <c:pt idx="247">
                  <c:v>210000</c:v>
                </c:pt>
                <c:pt idx="248">
                  <c:v>215000</c:v>
                </c:pt>
                <c:pt idx="249">
                  <c:v>220000</c:v>
                </c:pt>
                <c:pt idx="250">
                  <c:v>225000</c:v>
                </c:pt>
                <c:pt idx="251">
                  <c:v>230000</c:v>
                </c:pt>
                <c:pt idx="252">
                  <c:v>235000</c:v>
                </c:pt>
                <c:pt idx="253">
                  <c:v>240000</c:v>
                </c:pt>
                <c:pt idx="254">
                  <c:v>245000</c:v>
                </c:pt>
                <c:pt idx="255">
                  <c:v>250000</c:v>
                </c:pt>
                <c:pt idx="256">
                  <c:v>255000</c:v>
                </c:pt>
                <c:pt idx="257">
                  <c:v>260000</c:v>
                </c:pt>
                <c:pt idx="258">
                  <c:v>265000</c:v>
                </c:pt>
                <c:pt idx="259">
                  <c:v>270000</c:v>
                </c:pt>
                <c:pt idx="260">
                  <c:v>275000</c:v>
                </c:pt>
                <c:pt idx="261">
                  <c:v>280000</c:v>
                </c:pt>
                <c:pt idx="262">
                  <c:v>285000</c:v>
                </c:pt>
                <c:pt idx="263">
                  <c:v>290000</c:v>
                </c:pt>
                <c:pt idx="264">
                  <c:v>295000</c:v>
                </c:pt>
                <c:pt idx="265">
                  <c:v>300000</c:v>
                </c:pt>
                <c:pt idx="266">
                  <c:v>305000</c:v>
                </c:pt>
                <c:pt idx="267">
                  <c:v>310000</c:v>
                </c:pt>
                <c:pt idx="268">
                  <c:v>315000</c:v>
                </c:pt>
                <c:pt idx="269">
                  <c:v>320000</c:v>
                </c:pt>
                <c:pt idx="270">
                  <c:v>325000</c:v>
                </c:pt>
                <c:pt idx="271">
                  <c:v>330000</c:v>
                </c:pt>
                <c:pt idx="272">
                  <c:v>335000</c:v>
                </c:pt>
                <c:pt idx="273">
                  <c:v>340000</c:v>
                </c:pt>
                <c:pt idx="274">
                  <c:v>345000</c:v>
                </c:pt>
                <c:pt idx="275">
                  <c:v>350000</c:v>
                </c:pt>
                <c:pt idx="276">
                  <c:v>355000</c:v>
                </c:pt>
                <c:pt idx="277">
                  <c:v>360000</c:v>
                </c:pt>
                <c:pt idx="278">
                  <c:v>365000</c:v>
                </c:pt>
                <c:pt idx="279">
                  <c:v>370000</c:v>
                </c:pt>
                <c:pt idx="280">
                  <c:v>375000</c:v>
                </c:pt>
                <c:pt idx="281">
                  <c:v>380000</c:v>
                </c:pt>
                <c:pt idx="282">
                  <c:v>385000</c:v>
                </c:pt>
                <c:pt idx="283">
                  <c:v>390000</c:v>
                </c:pt>
                <c:pt idx="284">
                  <c:v>395000</c:v>
                </c:pt>
                <c:pt idx="285">
                  <c:v>400000</c:v>
                </c:pt>
                <c:pt idx="286">
                  <c:v>405000</c:v>
                </c:pt>
                <c:pt idx="287">
                  <c:v>410000</c:v>
                </c:pt>
                <c:pt idx="288">
                  <c:v>415000</c:v>
                </c:pt>
                <c:pt idx="289">
                  <c:v>420000</c:v>
                </c:pt>
                <c:pt idx="290">
                  <c:v>425000</c:v>
                </c:pt>
                <c:pt idx="291">
                  <c:v>430000</c:v>
                </c:pt>
                <c:pt idx="292">
                  <c:v>435000</c:v>
                </c:pt>
                <c:pt idx="293">
                  <c:v>440000</c:v>
                </c:pt>
                <c:pt idx="294">
                  <c:v>445000</c:v>
                </c:pt>
                <c:pt idx="295">
                  <c:v>450000</c:v>
                </c:pt>
                <c:pt idx="296">
                  <c:v>455000</c:v>
                </c:pt>
                <c:pt idx="297">
                  <c:v>460000</c:v>
                </c:pt>
                <c:pt idx="298">
                  <c:v>465000</c:v>
                </c:pt>
                <c:pt idx="299">
                  <c:v>470000</c:v>
                </c:pt>
                <c:pt idx="300">
                  <c:v>475000</c:v>
                </c:pt>
                <c:pt idx="301">
                  <c:v>480000</c:v>
                </c:pt>
                <c:pt idx="302">
                  <c:v>485000</c:v>
                </c:pt>
                <c:pt idx="303">
                  <c:v>490000</c:v>
                </c:pt>
                <c:pt idx="304">
                  <c:v>495000</c:v>
                </c:pt>
                <c:pt idx="305">
                  <c:v>500000</c:v>
                </c:pt>
                <c:pt idx="306">
                  <c:v>505000</c:v>
                </c:pt>
                <c:pt idx="307">
                  <c:v>510000</c:v>
                </c:pt>
                <c:pt idx="308">
                  <c:v>515000</c:v>
                </c:pt>
                <c:pt idx="309">
                  <c:v>520000</c:v>
                </c:pt>
                <c:pt idx="310">
                  <c:v>525000</c:v>
                </c:pt>
                <c:pt idx="311">
                  <c:v>530000</c:v>
                </c:pt>
                <c:pt idx="312">
                  <c:v>535000</c:v>
                </c:pt>
                <c:pt idx="313">
                  <c:v>540000</c:v>
                </c:pt>
                <c:pt idx="314">
                  <c:v>545000</c:v>
                </c:pt>
                <c:pt idx="315">
                  <c:v>550000</c:v>
                </c:pt>
                <c:pt idx="316">
                  <c:v>555000</c:v>
                </c:pt>
                <c:pt idx="317">
                  <c:v>560000</c:v>
                </c:pt>
                <c:pt idx="318">
                  <c:v>565000</c:v>
                </c:pt>
                <c:pt idx="319">
                  <c:v>570000</c:v>
                </c:pt>
                <c:pt idx="320">
                  <c:v>575000</c:v>
                </c:pt>
                <c:pt idx="321">
                  <c:v>580000</c:v>
                </c:pt>
                <c:pt idx="322">
                  <c:v>585000</c:v>
                </c:pt>
                <c:pt idx="323">
                  <c:v>590000</c:v>
                </c:pt>
                <c:pt idx="324">
                  <c:v>595000</c:v>
                </c:pt>
                <c:pt idx="325">
                  <c:v>600000</c:v>
                </c:pt>
                <c:pt idx="326">
                  <c:v>605000</c:v>
                </c:pt>
                <c:pt idx="327">
                  <c:v>610000</c:v>
                </c:pt>
                <c:pt idx="328">
                  <c:v>615000</c:v>
                </c:pt>
                <c:pt idx="329">
                  <c:v>620000</c:v>
                </c:pt>
                <c:pt idx="330">
                  <c:v>625000</c:v>
                </c:pt>
                <c:pt idx="331">
                  <c:v>630000</c:v>
                </c:pt>
                <c:pt idx="332">
                  <c:v>635000</c:v>
                </c:pt>
                <c:pt idx="333">
                  <c:v>640000</c:v>
                </c:pt>
                <c:pt idx="334">
                  <c:v>645000</c:v>
                </c:pt>
                <c:pt idx="335">
                  <c:v>650000</c:v>
                </c:pt>
                <c:pt idx="336">
                  <c:v>655000</c:v>
                </c:pt>
                <c:pt idx="337">
                  <c:v>660000</c:v>
                </c:pt>
                <c:pt idx="338">
                  <c:v>665000</c:v>
                </c:pt>
                <c:pt idx="339">
                  <c:v>670000</c:v>
                </c:pt>
                <c:pt idx="340">
                  <c:v>675000</c:v>
                </c:pt>
                <c:pt idx="341">
                  <c:v>680000</c:v>
                </c:pt>
                <c:pt idx="342">
                  <c:v>685000</c:v>
                </c:pt>
                <c:pt idx="343">
                  <c:v>690000</c:v>
                </c:pt>
                <c:pt idx="344">
                  <c:v>695000</c:v>
                </c:pt>
                <c:pt idx="345">
                  <c:v>700000</c:v>
                </c:pt>
                <c:pt idx="346">
                  <c:v>705000</c:v>
                </c:pt>
                <c:pt idx="347">
                  <c:v>710000</c:v>
                </c:pt>
                <c:pt idx="348">
                  <c:v>715000</c:v>
                </c:pt>
                <c:pt idx="349">
                  <c:v>720000</c:v>
                </c:pt>
                <c:pt idx="350">
                  <c:v>725000</c:v>
                </c:pt>
                <c:pt idx="351">
                  <c:v>730000</c:v>
                </c:pt>
                <c:pt idx="352">
                  <c:v>735000</c:v>
                </c:pt>
                <c:pt idx="353">
                  <c:v>740000</c:v>
                </c:pt>
                <c:pt idx="354">
                  <c:v>745000</c:v>
                </c:pt>
                <c:pt idx="355">
                  <c:v>750000</c:v>
                </c:pt>
                <c:pt idx="356">
                  <c:v>755000</c:v>
                </c:pt>
                <c:pt idx="357">
                  <c:v>760000</c:v>
                </c:pt>
                <c:pt idx="358">
                  <c:v>765000</c:v>
                </c:pt>
                <c:pt idx="359">
                  <c:v>770000</c:v>
                </c:pt>
                <c:pt idx="360">
                  <c:v>775000</c:v>
                </c:pt>
                <c:pt idx="361">
                  <c:v>780000</c:v>
                </c:pt>
                <c:pt idx="362">
                  <c:v>785000</c:v>
                </c:pt>
                <c:pt idx="363">
                  <c:v>790000</c:v>
                </c:pt>
                <c:pt idx="364">
                  <c:v>795000</c:v>
                </c:pt>
                <c:pt idx="365">
                  <c:v>800000</c:v>
                </c:pt>
                <c:pt idx="366">
                  <c:v>805000</c:v>
                </c:pt>
                <c:pt idx="367">
                  <c:v>810000</c:v>
                </c:pt>
                <c:pt idx="368">
                  <c:v>815000</c:v>
                </c:pt>
                <c:pt idx="369">
                  <c:v>820000</c:v>
                </c:pt>
                <c:pt idx="370">
                  <c:v>825000</c:v>
                </c:pt>
                <c:pt idx="371">
                  <c:v>830000</c:v>
                </c:pt>
                <c:pt idx="372">
                  <c:v>835000</c:v>
                </c:pt>
                <c:pt idx="373">
                  <c:v>840000</c:v>
                </c:pt>
                <c:pt idx="374">
                  <c:v>845000</c:v>
                </c:pt>
                <c:pt idx="375">
                  <c:v>850000</c:v>
                </c:pt>
                <c:pt idx="376">
                  <c:v>855000</c:v>
                </c:pt>
                <c:pt idx="377">
                  <c:v>860000</c:v>
                </c:pt>
                <c:pt idx="378">
                  <c:v>865000</c:v>
                </c:pt>
                <c:pt idx="379">
                  <c:v>870000</c:v>
                </c:pt>
                <c:pt idx="380">
                  <c:v>875000</c:v>
                </c:pt>
                <c:pt idx="381">
                  <c:v>880000</c:v>
                </c:pt>
                <c:pt idx="382">
                  <c:v>885000</c:v>
                </c:pt>
                <c:pt idx="383">
                  <c:v>890000</c:v>
                </c:pt>
                <c:pt idx="384">
                  <c:v>895000</c:v>
                </c:pt>
                <c:pt idx="385">
                  <c:v>900000</c:v>
                </c:pt>
                <c:pt idx="386">
                  <c:v>905000</c:v>
                </c:pt>
                <c:pt idx="387">
                  <c:v>910000</c:v>
                </c:pt>
                <c:pt idx="388">
                  <c:v>915000</c:v>
                </c:pt>
                <c:pt idx="389">
                  <c:v>920000</c:v>
                </c:pt>
                <c:pt idx="390">
                  <c:v>925000</c:v>
                </c:pt>
                <c:pt idx="391">
                  <c:v>930000</c:v>
                </c:pt>
                <c:pt idx="392">
                  <c:v>935000</c:v>
                </c:pt>
                <c:pt idx="393">
                  <c:v>940000</c:v>
                </c:pt>
                <c:pt idx="394">
                  <c:v>945000</c:v>
                </c:pt>
                <c:pt idx="395">
                  <c:v>950000</c:v>
                </c:pt>
                <c:pt idx="396">
                  <c:v>955000</c:v>
                </c:pt>
                <c:pt idx="397">
                  <c:v>960000</c:v>
                </c:pt>
                <c:pt idx="398">
                  <c:v>965000</c:v>
                </c:pt>
                <c:pt idx="399">
                  <c:v>970000</c:v>
                </c:pt>
                <c:pt idx="400">
                  <c:v>975000</c:v>
                </c:pt>
                <c:pt idx="401">
                  <c:v>980000</c:v>
                </c:pt>
                <c:pt idx="402">
                  <c:v>985000</c:v>
                </c:pt>
                <c:pt idx="403">
                  <c:v>990000</c:v>
                </c:pt>
                <c:pt idx="404">
                  <c:v>995000</c:v>
                </c:pt>
                <c:pt idx="405">
                  <c:v>1000000</c:v>
                </c:pt>
                <c:pt idx="406">
                  <c:v>1005000</c:v>
                </c:pt>
                <c:pt idx="407">
                  <c:v>1010000</c:v>
                </c:pt>
                <c:pt idx="408">
                  <c:v>1015000</c:v>
                </c:pt>
                <c:pt idx="409">
                  <c:v>1020000</c:v>
                </c:pt>
                <c:pt idx="410">
                  <c:v>1025000</c:v>
                </c:pt>
                <c:pt idx="411">
                  <c:v>1030000</c:v>
                </c:pt>
                <c:pt idx="412">
                  <c:v>1035000</c:v>
                </c:pt>
                <c:pt idx="413">
                  <c:v>1040000</c:v>
                </c:pt>
                <c:pt idx="414">
                  <c:v>1045000</c:v>
                </c:pt>
                <c:pt idx="415">
                  <c:v>1050000</c:v>
                </c:pt>
                <c:pt idx="416">
                  <c:v>1055000</c:v>
                </c:pt>
                <c:pt idx="417">
                  <c:v>1060000</c:v>
                </c:pt>
                <c:pt idx="418">
                  <c:v>1065000</c:v>
                </c:pt>
                <c:pt idx="419">
                  <c:v>1070000</c:v>
                </c:pt>
                <c:pt idx="420">
                  <c:v>1075000</c:v>
                </c:pt>
                <c:pt idx="421">
                  <c:v>1080000</c:v>
                </c:pt>
                <c:pt idx="422">
                  <c:v>1085000</c:v>
                </c:pt>
                <c:pt idx="423">
                  <c:v>1090000</c:v>
                </c:pt>
                <c:pt idx="424">
                  <c:v>1095000</c:v>
                </c:pt>
                <c:pt idx="425">
                  <c:v>1100000</c:v>
                </c:pt>
                <c:pt idx="426">
                  <c:v>1105000</c:v>
                </c:pt>
                <c:pt idx="427">
                  <c:v>1110000</c:v>
                </c:pt>
                <c:pt idx="428">
                  <c:v>1115000</c:v>
                </c:pt>
                <c:pt idx="429">
                  <c:v>1120000</c:v>
                </c:pt>
                <c:pt idx="430">
                  <c:v>1125000</c:v>
                </c:pt>
                <c:pt idx="431">
                  <c:v>1130000</c:v>
                </c:pt>
                <c:pt idx="432">
                  <c:v>1135000</c:v>
                </c:pt>
                <c:pt idx="433">
                  <c:v>1140000</c:v>
                </c:pt>
                <c:pt idx="434">
                  <c:v>1145000</c:v>
                </c:pt>
                <c:pt idx="435">
                  <c:v>1150000</c:v>
                </c:pt>
                <c:pt idx="436">
                  <c:v>1155000</c:v>
                </c:pt>
                <c:pt idx="437">
                  <c:v>1160000</c:v>
                </c:pt>
                <c:pt idx="438">
                  <c:v>1165000</c:v>
                </c:pt>
                <c:pt idx="439">
                  <c:v>1170000</c:v>
                </c:pt>
                <c:pt idx="440">
                  <c:v>1175000</c:v>
                </c:pt>
                <c:pt idx="441">
                  <c:v>1180000</c:v>
                </c:pt>
                <c:pt idx="442">
                  <c:v>1185000</c:v>
                </c:pt>
                <c:pt idx="443">
                  <c:v>1190000</c:v>
                </c:pt>
                <c:pt idx="444">
                  <c:v>1195000</c:v>
                </c:pt>
                <c:pt idx="445">
                  <c:v>1200000</c:v>
                </c:pt>
                <c:pt idx="446">
                  <c:v>1205000</c:v>
                </c:pt>
                <c:pt idx="447">
                  <c:v>1210000</c:v>
                </c:pt>
                <c:pt idx="448">
                  <c:v>1215000</c:v>
                </c:pt>
                <c:pt idx="449">
                  <c:v>1220000</c:v>
                </c:pt>
                <c:pt idx="450">
                  <c:v>1225000</c:v>
                </c:pt>
                <c:pt idx="451">
                  <c:v>1230000</c:v>
                </c:pt>
                <c:pt idx="452">
                  <c:v>1235000</c:v>
                </c:pt>
                <c:pt idx="453">
                  <c:v>1240000</c:v>
                </c:pt>
                <c:pt idx="454">
                  <c:v>1245000</c:v>
                </c:pt>
                <c:pt idx="455">
                  <c:v>1250000</c:v>
                </c:pt>
                <c:pt idx="456">
                  <c:v>1255000</c:v>
                </c:pt>
                <c:pt idx="457">
                  <c:v>1260000</c:v>
                </c:pt>
                <c:pt idx="458">
                  <c:v>1265000</c:v>
                </c:pt>
                <c:pt idx="459">
                  <c:v>1270000</c:v>
                </c:pt>
                <c:pt idx="460">
                  <c:v>1275000</c:v>
                </c:pt>
                <c:pt idx="461">
                  <c:v>1280000</c:v>
                </c:pt>
                <c:pt idx="462">
                  <c:v>1285000</c:v>
                </c:pt>
                <c:pt idx="463">
                  <c:v>1290000</c:v>
                </c:pt>
                <c:pt idx="464">
                  <c:v>1295000</c:v>
                </c:pt>
                <c:pt idx="465">
                  <c:v>1300000</c:v>
                </c:pt>
                <c:pt idx="466">
                  <c:v>1305000</c:v>
                </c:pt>
                <c:pt idx="467">
                  <c:v>1310000</c:v>
                </c:pt>
                <c:pt idx="468">
                  <c:v>1315000</c:v>
                </c:pt>
                <c:pt idx="469">
                  <c:v>1320000</c:v>
                </c:pt>
                <c:pt idx="470">
                  <c:v>1325000</c:v>
                </c:pt>
                <c:pt idx="471">
                  <c:v>1330000</c:v>
                </c:pt>
                <c:pt idx="472">
                  <c:v>1335000</c:v>
                </c:pt>
                <c:pt idx="473">
                  <c:v>1340000</c:v>
                </c:pt>
                <c:pt idx="474">
                  <c:v>1345000</c:v>
                </c:pt>
                <c:pt idx="475">
                  <c:v>1350000</c:v>
                </c:pt>
                <c:pt idx="476">
                  <c:v>1355000</c:v>
                </c:pt>
                <c:pt idx="477">
                  <c:v>1360000</c:v>
                </c:pt>
                <c:pt idx="478">
                  <c:v>1365000</c:v>
                </c:pt>
                <c:pt idx="479">
                  <c:v>1370000</c:v>
                </c:pt>
                <c:pt idx="480">
                  <c:v>1375000</c:v>
                </c:pt>
                <c:pt idx="481">
                  <c:v>1380000</c:v>
                </c:pt>
                <c:pt idx="482">
                  <c:v>1385000</c:v>
                </c:pt>
                <c:pt idx="483">
                  <c:v>1390000</c:v>
                </c:pt>
                <c:pt idx="484">
                  <c:v>1395000</c:v>
                </c:pt>
                <c:pt idx="485">
                  <c:v>1400000</c:v>
                </c:pt>
                <c:pt idx="486">
                  <c:v>1405000</c:v>
                </c:pt>
                <c:pt idx="487">
                  <c:v>1410000</c:v>
                </c:pt>
                <c:pt idx="488">
                  <c:v>1415000</c:v>
                </c:pt>
                <c:pt idx="489">
                  <c:v>1420000</c:v>
                </c:pt>
                <c:pt idx="490">
                  <c:v>1425000</c:v>
                </c:pt>
                <c:pt idx="491">
                  <c:v>1430000</c:v>
                </c:pt>
                <c:pt idx="492">
                  <c:v>1435000</c:v>
                </c:pt>
                <c:pt idx="493">
                  <c:v>1440000</c:v>
                </c:pt>
                <c:pt idx="494">
                  <c:v>1445000</c:v>
                </c:pt>
                <c:pt idx="495">
                  <c:v>1450000</c:v>
                </c:pt>
                <c:pt idx="496">
                  <c:v>1455000</c:v>
                </c:pt>
                <c:pt idx="497">
                  <c:v>1460000</c:v>
                </c:pt>
                <c:pt idx="498">
                  <c:v>1465000</c:v>
                </c:pt>
                <c:pt idx="499">
                  <c:v>1470000</c:v>
                </c:pt>
                <c:pt idx="500">
                  <c:v>1475000</c:v>
                </c:pt>
                <c:pt idx="501">
                  <c:v>1480000</c:v>
                </c:pt>
                <c:pt idx="502">
                  <c:v>1485000</c:v>
                </c:pt>
                <c:pt idx="503">
                  <c:v>1490000</c:v>
                </c:pt>
                <c:pt idx="504">
                  <c:v>1495000</c:v>
                </c:pt>
                <c:pt idx="505">
                  <c:v>1500000</c:v>
                </c:pt>
                <c:pt idx="506">
                  <c:v>1505000</c:v>
                </c:pt>
                <c:pt idx="507">
                  <c:v>1510000</c:v>
                </c:pt>
                <c:pt idx="508">
                  <c:v>1515000</c:v>
                </c:pt>
                <c:pt idx="509">
                  <c:v>1520000</c:v>
                </c:pt>
                <c:pt idx="510">
                  <c:v>1525000</c:v>
                </c:pt>
                <c:pt idx="511">
                  <c:v>1530000</c:v>
                </c:pt>
                <c:pt idx="512">
                  <c:v>1535000</c:v>
                </c:pt>
                <c:pt idx="513">
                  <c:v>1540000</c:v>
                </c:pt>
                <c:pt idx="514">
                  <c:v>1545000</c:v>
                </c:pt>
                <c:pt idx="515">
                  <c:v>1550000</c:v>
                </c:pt>
                <c:pt idx="516">
                  <c:v>1555000</c:v>
                </c:pt>
                <c:pt idx="517">
                  <c:v>1560000</c:v>
                </c:pt>
                <c:pt idx="518">
                  <c:v>1565000</c:v>
                </c:pt>
                <c:pt idx="519">
                  <c:v>1570000</c:v>
                </c:pt>
                <c:pt idx="520">
                  <c:v>1575000</c:v>
                </c:pt>
                <c:pt idx="521">
                  <c:v>1580000</c:v>
                </c:pt>
                <c:pt idx="522">
                  <c:v>1585000</c:v>
                </c:pt>
                <c:pt idx="523">
                  <c:v>1590000</c:v>
                </c:pt>
                <c:pt idx="524">
                  <c:v>1595000</c:v>
                </c:pt>
                <c:pt idx="525">
                  <c:v>1600000</c:v>
                </c:pt>
                <c:pt idx="526">
                  <c:v>1605000</c:v>
                </c:pt>
                <c:pt idx="527">
                  <c:v>1610000</c:v>
                </c:pt>
                <c:pt idx="528">
                  <c:v>1615000</c:v>
                </c:pt>
                <c:pt idx="529">
                  <c:v>1620000</c:v>
                </c:pt>
                <c:pt idx="530">
                  <c:v>1625000</c:v>
                </c:pt>
                <c:pt idx="531">
                  <c:v>1630000</c:v>
                </c:pt>
                <c:pt idx="532">
                  <c:v>1635000</c:v>
                </c:pt>
                <c:pt idx="533">
                  <c:v>1640000</c:v>
                </c:pt>
                <c:pt idx="534">
                  <c:v>1645000</c:v>
                </c:pt>
                <c:pt idx="535">
                  <c:v>1650000</c:v>
                </c:pt>
                <c:pt idx="536">
                  <c:v>1655000</c:v>
                </c:pt>
                <c:pt idx="537">
                  <c:v>1660000</c:v>
                </c:pt>
                <c:pt idx="538">
                  <c:v>1665000</c:v>
                </c:pt>
                <c:pt idx="539">
                  <c:v>1670000</c:v>
                </c:pt>
                <c:pt idx="540">
                  <c:v>1675000</c:v>
                </c:pt>
                <c:pt idx="541">
                  <c:v>1680000</c:v>
                </c:pt>
                <c:pt idx="542">
                  <c:v>1685000</c:v>
                </c:pt>
                <c:pt idx="543">
                  <c:v>1690000</c:v>
                </c:pt>
                <c:pt idx="544">
                  <c:v>1695000</c:v>
                </c:pt>
                <c:pt idx="545">
                  <c:v>1700000</c:v>
                </c:pt>
                <c:pt idx="546">
                  <c:v>1705000</c:v>
                </c:pt>
                <c:pt idx="547">
                  <c:v>1710000</c:v>
                </c:pt>
                <c:pt idx="548">
                  <c:v>1715000</c:v>
                </c:pt>
                <c:pt idx="549">
                  <c:v>1720000</c:v>
                </c:pt>
                <c:pt idx="550">
                  <c:v>1725000</c:v>
                </c:pt>
                <c:pt idx="551">
                  <c:v>1730000</c:v>
                </c:pt>
                <c:pt idx="552">
                  <c:v>1735000</c:v>
                </c:pt>
                <c:pt idx="553">
                  <c:v>1740000</c:v>
                </c:pt>
                <c:pt idx="554">
                  <c:v>1745000</c:v>
                </c:pt>
                <c:pt idx="555">
                  <c:v>1750000</c:v>
                </c:pt>
                <c:pt idx="556">
                  <c:v>1755000</c:v>
                </c:pt>
                <c:pt idx="557">
                  <c:v>1760000</c:v>
                </c:pt>
                <c:pt idx="558">
                  <c:v>1765000</c:v>
                </c:pt>
                <c:pt idx="559">
                  <c:v>1770000</c:v>
                </c:pt>
                <c:pt idx="560">
                  <c:v>1775000</c:v>
                </c:pt>
                <c:pt idx="561">
                  <c:v>1780000</c:v>
                </c:pt>
                <c:pt idx="562">
                  <c:v>1785000</c:v>
                </c:pt>
                <c:pt idx="563">
                  <c:v>1790000</c:v>
                </c:pt>
                <c:pt idx="564">
                  <c:v>1795000</c:v>
                </c:pt>
                <c:pt idx="565">
                  <c:v>1800000</c:v>
                </c:pt>
                <c:pt idx="566">
                  <c:v>1805000</c:v>
                </c:pt>
                <c:pt idx="567">
                  <c:v>1810000</c:v>
                </c:pt>
                <c:pt idx="568">
                  <c:v>1815000</c:v>
                </c:pt>
                <c:pt idx="569">
                  <c:v>1820000</c:v>
                </c:pt>
                <c:pt idx="570">
                  <c:v>1825000</c:v>
                </c:pt>
                <c:pt idx="571">
                  <c:v>1830000</c:v>
                </c:pt>
                <c:pt idx="572">
                  <c:v>1835000</c:v>
                </c:pt>
                <c:pt idx="573">
                  <c:v>1840000</c:v>
                </c:pt>
                <c:pt idx="574">
                  <c:v>1845000</c:v>
                </c:pt>
                <c:pt idx="575">
                  <c:v>1850000</c:v>
                </c:pt>
                <c:pt idx="576">
                  <c:v>1855000</c:v>
                </c:pt>
                <c:pt idx="577">
                  <c:v>1860000</c:v>
                </c:pt>
                <c:pt idx="578">
                  <c:v>1865000</c:v>
                </c:pt>
                <c:pt idx="579">
                  <c:v>1870000</c:v>
                </c:pt>
                <c:pt idx="580">
                  <c:v>1875000</c:v>
                </c:pt>
                <c:pt idx="581">
                  <c:v>1880000</c:v>
                </c:pt>
                <c:pt idx="582">
                  <c:v>1885000</c:v>
                </c:pt>
                <c:pt idx="583">
                  <c:v>1890000</c:v>
                </c:pt>
                <c:pt idx="584">
                  <c:v>1895000</c:v>
                </c:pt>
                <c:pt idx="585">
                  <c:v>1900000</c:v>
                </c:pt>
                <c:pt idx="586">
                  <c:v>1905000</c:v>
                </c:pt>
                <c:pt idx="587">
                  <c:v>1910000</c:v>
                </c:pt>
                <c:pt idx="588">
                  <c:v>1915000</c:v>
                </c:pt>
                <c:pt idx="589">
                  <c:v>1920000</c:v>
                </c:pt>
                <c:pt idx="590">
                  <c:v>1925000</c:v>
                </c:pt>
                <c:pt idx="591">
                  <c:v>1930000</c:v>
                </c:pt>
                <c:pt idx="592">
                  <c:v>1935000</c:v>
                </c:pt>
                <c:pt idx="593">
                  <c:v>1940000</c:v>
                </c:pt>
                <c:pt idx="594">
                  <c:v>1945000</c:v>
                </c:pt>
                <c:pt idx="595">
                  <c:v>1950000</c:v>
                </c:pt>
                <c:pt idx="596">
                  <c:v>1955000</c:v>
                </c:pt>
                <c:pt idx="597">
                  <c:v>1960000</c:v>
                </c:pt>
                <c:pt idx="598">
                  <c:v>1965000</c:v>
                </c:pt>
                <c:pt idx="599">
                  <c:v>1970000</c:v>
                </c:pt>
                <c:pt idx="600">
                  <c:v>1975000</c:v>
                </c:pt>
                <c:pt idx="601">
                  <c:v>1980000</c:v>
                </c:pt>
                <c:pt idx="602">
                  <c:v>1985000</c:v>
                </c:pt>
                <c:pt idx="603">
                  <c:v>1990000</c:v>
                </c:pt>
                <c:pt idx="604">
                  <c:v>1995000</c:v>
                </c:pt>
                <c:pt idx="605">
                  <c:v>2000000</c:v>
                </c:pt>
                <c:pt idx="606">
                  <c:v>2250000</c:v>
                </c:pt>
                <c:pt idx="607">
                  <c:v>2500000</c:v>
                </c:pt>
                <c:pt idx="608">
                  <c:v>2750000</c:v>
                </c:pt>
                <c:pt idx="609">
                  <c:v>3000000</c:v>
                </c:pt>
                <c:pt idx="610">
                  <c:v>3250000</c:v>
                </c:pt>
                <c:pt idx="611">
                  <c:v>3500000</c:v>
                </c:pt>
                <c:pt idx="612">
                  <c:v>3750000</c:v>
                </c:pt>
                <c:pt idx="613">
                  <c:v>4000000</c:v>
                </c:pt>
                <c:pt idx="614">
                  <c:v>4250000</c:v>
                </c:pt>
                <c:pt idx="615">
                  <c:v>4500000</c:v>
                </c:pt>
                <c:pt idx="616">
                  <c:v>4750000</c:v>
                </c:pt>
                <c:pt idx="617">
                  <c:v>5000000</c:v>
                </c:pt>
                <c:pt idx="618">
                  <c:v>5100000</c:v>
                </c:pt>
                <c:pt idx="619">
                  <c:v>5200000</c:v>
                </c:pt>
                <c:pt idx="620">
                  <c:v>5300000</c:v>
                </c:pt>
                <c:pt idx="621">
                  <c:v>5400000</c:v>
                </c:pt>
                <c:pt idx="622">
                  <c:v>5500000</c:v>
                </c:pt>
                <c:pt idx="623">
                  <c:v>5600000</c:v>
                </c:pt>
                <c:pt idx="624">
                  <c:v>5700000</c:v>
                </c:pt>
                <c:pt idx="625">
                  <c:v>5800000</c:v>
                </c:pt>
                <c:pt idx="626">
                  <c:v>5900000</c:v>
                </c:pt>
                <c:pt idx="627">
                  <c:v>6000000</c:v>
                </c:pt>
                <c:pt idx="628">
                  <c:v>6100000</c:v>
                </c:pt>
                <c:pt idx="629">
                  <c:v>6200000</c:v>
                </c:pt>
                <c:pt idx="630">
                  <c:v>6300000</c:v>
                </c:pt>
                <c:pt idx="631">
                  <c:v>6400000</c:v>
                </c:pt>
                <c:pt idx="632">
                  <c:v>6500000</c:v>
                </c:pt>
                <c:pt idx="633">
                  <c:v>6600000</c:v>
                </c:pt>
                <c:pt idx="634">
                  <c:v>6700000</c:v>
                </c:pt>
                <c:pt idx="635">
                  <c:v>6800000</c:v>
                </c:pt>
                <c:pt idx="636">
                  <c:v>6900000</c:v>
                </c:pt>
                <c:pt idx="637">
                  <c:v>7000000</c:v>
                </c:pt>
                <c:pt idx="638">
                  <c:v>7100000</c:v>
                </c:pt>
                <c:pt idx="639">
                  <c:v>7200000</c:v>
                </c:pt>
                <c:pt idx="640">
                  <c:v>7300000</c:v>
                </c:pt>
                <c:pt idx="641">
                  <c:v>7400000</c:v>
                </c:pt>
                <c:pt idx="642">
                  <c:v>7500000</c:v>
                </c:pt>
                <c:pt idx="643">
                  <c:v>7600000</c:v>
                </c:pt>
                <c:pt idx="644">
                  <c:v>7700000</c:v>
                </c:pt>
                <c:pt idx="645">
                  <c:v>7800000</c:v>
                </c:pt>
                <c:pt idx="646">
                  <c:v>7900000</c:v>
                </c:pt>
                <c:pt idx="647">
                  <c:v>8000000</c:v>
                </c:pt>
                <c:pt idx="648">
                  <c:v>8100000</c:v>
                </c:pt>
                <c:pt idx="649">
                  <c:v>8200000</c:v>
                </c:pt>
                <c:pt idx="650">
                  <c:v>8300000</c:v>
                </c:pt>
                <c:pt idx="651">
                  <c:v>8400000</c:v>
                </c:pt>
                <c:pt idx="652">
                  <c:v>8500000</c:v>
                </c:pt>
                <c:pt idx="653">
                  <c:v>8600000</c:v>
                </c:pt>
                <c:pt idx="654">
                  <c:v>8700000</c:v>
                </c:pt>
                <c:pt idx="655">
                  <c:v>8800000</c:v>
                </c:pt>
                <c:pt idx="656">
                  <c:v>8900000</c:v>
                </c:pt>
                <c:pt idx="657">
                  <c:v>9000000</c:v>
                </c:pt>
                <c:pt idx="658">
                  <c:v>9100000</c:v>
                </c:pt>
                <c:pt idx="659">
                  <c:v>9200000</c:v>
                </c:pt>
                <c:pt idx="660">
                  <c:v>9300000</c:v>
                </c:pt>
                <c:pt idx="661">
                  <c:v>9400000</c:v>
                </c:pt>
                <c:pt idx="662">
                  <c:v>9500000</c:v>
                </c:pt>
                <c:pt idx="663">
                  <c:v>9600000</c:v>
                </c:pt>
                <c:pt idx="664">
                  <c:v>9700000</c:v>
                </c:pt>
                <c:pt idx="665">
                  <c:v>9800000</c:v>
                </c:pt>
                <c:pt idx="666">
                  <c:v>9900000</c:v>
                </c:pt>
                <c:pt idx="667">
                  <c:v>10000000</c:v>
                </c:pt>
              </c:numCache>
            </c:numRef>
          </c:xVal>
          <c:yVal>
            <c:numRef>
              <c:f>'Raw data'!$E$82:$E$749</c:f>
              <c:numCache>
                <c:formatCode>General</c:formatCode>
                <c:ptCount val="6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numCache>
            </c:numRef>
          </c:yVal>
          <c:smooth val="1"/>
          <c:extLst>
            <c:ext xmlns:c16="http://schemas.microsoft.com/office/drawing/2014/chart" uri="{C3380CC4-5D6E-409C-BE32-E72D297353CC}">
              <c16:uniqueId val="{00000001-77A4-4C30-A877-9450162693D8}"/>
            </c:ext>
          </c:extLst>
        </c:ser>
        <c:dLbls>
          <c:showLegendKey val="0"/>
          <c:showVal val="0"/>
          <c:showCatName val="0"/>
          <c:showSerName val="0"/>
          <c:showPercent val="0"/>
          <c:showBubbleSize val="0"/>
        </c:dLbls>
        <c:axId val="199287168"/>
        <c:axId val="199288704"/>
      </c:scatterChart>
      <c:valAx>
        <c:axId val="199278976"/>
        <c:scaling>
          <c:logBase val="10"/>
          <c:orientation val="minMax"/>
          <c:max val="1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200" b="1" i="0" u="none" strike="noStrike" baseline="0">
                    <a:solidFill>
                      <a:srgbClr val="000000"/>
                    </a:solidFill>
                    <a:latin typeface="+mn-lt"/>
                    <a:ea typeface="Arial"/>
                    <a:cs typeface="Arial"/>
                  </a:defRPr>
                </a:pPr>
                <a:r>
                  <a:rPr lang="en-US" sz="1200">
                    <a:latin typeface="+mn-lt"/>
                  </a:rPr>
                  <a:t>Frequency(Hz)</a:t>
                </a:r>
              </a:p>
            </c:rich>
          </c:tx>
          <c:layout>
            <c:manualLayout>
              <c:xMode val="edge"/>
              <c:yMode val="edge"/>
              <c:x val="0.39287850608077962"/>
              <c:y val="0.89432172952065203"/>
            </c:manualLayout>
          </c:layout>
          <c:overlay val="0"/>
          <c:spPr>
            <a:noFill/>
            <a:ln w="25400">
              <a:noFill/>
            </a:ln>
          </c:spPr>
        </c:title>
        <c:numFmt formatCode="0.00E+0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99280896"/>
        <c:crossesAt val="-60"/>
        <c:crossBetween val="midCat"/>
        <c:majorUnit val="10"/>
        <c:minorUnit val="10"/>
      </c:valAx>
      <c:valAx>
        <c:axId val="199280896"/>
        <c:scaling>
          <c:orientation val="minMax"/>
          <c:max val="60"/>
          <c:min val="-60"/>
        </c:scaling>
        <c:delete val="0"/>
        <c:axPos val="l"/>
        <c:majorGridlines>
          <c:spPr>
            <a:ln w="3175">
              <a:solidFill>
                <a:srgbClr val="000000"/>
              </a:solidFill>
              <a:prstDash val="solid"/>
            </a:ln>
          </c:spPr>
        </c:majorGridlines>
        <c:title>
          <c:tx>
            <c:rich>
              <a:bodyPr/>
              <a:lstStyle/>
              <a:p>
                <a:pPr>
                  <a:defRPr sz="1200" b="1" i="0" u="none" strike="noStrike" baseline="0">
                    <a:solidFill>
                      <a:srgbClr val="0000FF"/>
                    </a:solidFill>
                    <a:latin typeface="+mn-lt"/>
                    <a:ea typeface="Arial"/>
                    <a:cs typeface="Arial"/>
                  </a:defRPr>
                </a:pPr>
                <a:r>
                  <a:rPr lang="en-US" sz="1200">
                    <a:latin typeface="+mn-lt"/>
                  </a:rPr>
                  <a:t>Gain (dB)</a:t>
                </a:r>
              </a:p>
            </c:rich>
          </c:tx>
          <c:layout>
            <c:manualLayout>
              <c:xMode val="edge"/>
              <c:yMode val="edge"/>
              <c:x val="2.4691615534813117E-2"/>
              <c:y val="0.432665423401022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278976"/>
        <c:crossesAt val="1"/>
        <c:crossBetween val="midCat"/>
        <c:minorUnit val="4"/>
      </c:valAx>
      <c:valAx>
        <c:axId val="199287168"/>
        <c:scaling>
          <c:logBase val="10"/>
          <c:orientation val="minMax"/>
        </c:scaling>
        <c:delete val="1"/>
        <c:axPos val="b"/>
        <c:numFmt formatCode="General" sourceLinked="1"/>
        <c:majorTickMark val="out"/>
        <c:minorTickMark val="none"/>
        <c:tickLblPos val="nextTo"/>
        <c:crossAx val="199288704"/>
        <c:crosses val="autoZero"/>
        <c:crossBetween val="midCat"/>
      </c:valAx>
      <c:valAx>
        <c:axId val="199288704"/>
        <c:scaling>
          <c:orientation val="minMax"/>
          <c:max val="30"/>
          <c:min val="-150"/>
        </c:scaling>
        <c:delete val="0"/>
        <c:axPos val="r"/>
        <c:title>
          <c:tx>
            <c:rich>
              <a:bodyPr/>
              <a:lstStyle/>
              <a:p>
                <a:pPr>
                  <a:defRPr sz="1200" b="1" i="0" u="none" strike="noStrike" baseline="0">
                    <a:solidFill>
                      <a:srgbClr val="FF0000"/>
                    </a:solidFill>
                    <a:latin typeface="+mn-lt"/>
                    <a:ea typeface="Arial"/>
                    <a:cs typeface="Arial"/>
                  </a:defRPr>
                </a:pPr>
                <a:r>
                  <a:rPr lang="en-US" sz="1200">
                    <a:latin typeface="+mn-lt"/>
                  </a:rPr>
                  <a:t>Phase (deg)</a:t>
                </a:r>
              </a:p>
            </c:rich>
          </c:tx>
          <c:layout>
            <c:manualLayout>
              <c:xMode val="edge"/>
              <c:yMode val="edge"/>
              <c:x val="0.93474590510623268"/>
              <c:y val="0.406877331123083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99287168"/>
        <c:crosses val="max"/>
        <c:crossBetween val="midCat"/>
        <c:majorUnit val="30"/>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1" i="0" u="none" strike="noStrike" baseline="0">
                <a:solidFill>
                  <a:srgbClr val="000000"/>
                </a:solidFill>
                <a:latin typeface="+mn-lt"/>
                <a:ea typeface="Arial"/>
                <a:cs typeface="Arial"/>
              </a:defRPr>
            </a:pPr>
            <a:r>
              <a:rPr lang="en-US" sz="1200">
                <a:latin typeface="+mn-lt"/>
              </a:rPr>
              <a:t>Feedabck Gain/Phase</a:t>
            </a:r>
          </a:p>
        </c:rich>
      </c:tx>
      <c:layout>
        <c:manualLayout>
          <c:xMode val="edge"/>
          <c:yMode val="edge"/>
          <c:x val="0.30253719758436154"/>
          <c:y val="3.9109918613262282E-2"/>
        </c:manualLayout>
      </c:layout>
      <c:overlay val="0"/>
      <c:spPr>
        <a:noFill/>
        <a:ln w="25400">
          <a:noFill/>
        </a:ln>
      </c:spPr>
    </c:title>
    <c:autoTitleDeleted val="0"/>
    <c:plotArea>
      <c:layout>
        <c:manualLayout>
          <c:layoutTarget val="inner"/>
          <c:xMode val="edge"/>
          <c:yMode val="edge"/>
          <c:x val="0.17258933521709177"/>
          <c:y val="0.21156509218359804"/>
          <c:w val="0.59963730569015161"/>
          <c:h val="0.60214680083024041"/>
        </c:manualLayout>
      </c:layout>
      <c:scatterChart>
        <c:scatterStyle val="smoothMarker"/>
        <c:varyColors val="0"/>
        <c:ser>
          <c:idx val="0"/>
          <c:order val="0"/>
          <c:tx>
            <c:v>Gain</c:v>
          </c:tx>
          <c:spPr>
            <a:ln w="25400">
              <a:solidFill>
                <a:srgbClr val="0000FF"/>
              </a:solidFill>
              <a:prstDash val="solid"/>
            </a:ln>
          </c:spPr>
          <c:marker>
            <c:symbol val="none"/>
          </c:marker>
          <c:xVal>
            <c:numRef>
              <c:f>'Raw data'!$C$82:$C$749</c:f>
              <c:numCache>
                <c:formatCode>General</c:formatCode>
                <c:ptCount val="668"/>
                <c:pt idx="0">
                  <c:v>1</c:v>
                </c:pt>
                <c:pt idx="1">
                  <c:v>2</c:v>
                </c:pt>
                <c:pt idx="2">
                  <c:v>3</c:v>
                </c:pt>
                <c:pt idx="3">
                  <c:v>4</c:v>
                </c:pt>
                <c:pt idx="4">
                  <c:v>5</c:v>
                </c:pt>
                <c:pt idx="5">
                  <c:v>6</c:v>
                </c:pt>
                <c:pt idx="6">
                  <c:v>7</c:v>
                </c:pt>
                <c:pt idx="7">
                  <c:v>8</c:v>
                </c:pt>
                <c:pt idx="8">
                  <c:v>9</c:v>
                </c:pt>
                <c:pt idx="9">
                  <c:v>10</c:v>
                </c:pt>
                <c:pt idx="10">
                  <c:v>20</c:v>
                </c:pt>
                <c:pt idx="11">
                  <c:v>30</c:v>
                </c:pt>
                <c:pt idx="12">
                  <c:v>40</c:v>
                </c:pt>
                <c:pt idx="13">
                  <c:v>50</c:v>
                </c:pt>
                <c:pt idx="14">
                  <c:v>60</c:v>
                </c:pt>
                <c:pt idx="15">
                  <c:v>70</c:v>
                </c:pt>
                <c:pt idx="16">
                  <c:v>80</c:v>
                </c:pt>
                <c:pt idx="17">
                  <c:v>90</c:v>
                </c:pt>
                <c:pt idx="18">
                  <c:v>100</c:v>
                </c:pt>
                <c:pt idx="19">
                  <c:v>200</c:v>
                </c:pt>
                <c:pt idx="20">
                  <c:v>300</c:v>
                </c:pt>
                <c:pt idx="21">
                  <c:v>400</c:v>
                </c:pt>
                <c:pt idx="22">
                  <c:v>500</c:v>
                </c:pt>
                <c:pt idx="23">
                  <c:v>600</c:v>
                </c:pt>
                <c:pt idx="24">
                  <c:v>700</c:v>
                </c:pt>
                <c:pt idx="25">
                  <c:v>800</c:v>
                </c:pt>
                <c:pt idx="26">
                  <c:v>900</c:v>
                </c:pt>
                <c:pt idx="27">
                  <c:v>1000</c:v>
                </c:pt>
                <c:pt idx="28">
                  <c:v>1500</c:v>
                </c:pt>
                <c:pt idx="29">
                  <c:v>2000</c:v>
                </c:pt>
                <c:pt idx="30">
                  <c:v>2500</c:v>
                </c:pt>
                <c:pt idx="31">
                  <c:v>3000</c:v>
                </c:pt>
                <c:pt idx="32">
                  <c:v>3500</c:v>
                </c:pt>
                <c:pt idx="33">
                  <c:v>4000</c:v>
                </c:pt>
                <c:pt idx="34">
                  <c:v>4500</c:v>
                </c:pt>
                <c:pt idx="35">
                  <c:v>5000</c:v>
                </c:pt>
                <c:pt idx="36">
                  <c:v>5500</c:v>
                </c:pt>
                <c:pt idx="37">
                  <c:v>6000</c:v>
                </c:pt>
                <c:pt idx="38">
                  <c:v>6500</c:v>
                </c:pt>
                <c:pt idx="39">
                  <c:v>7000</c:v>
                </c:pt>
                <c:pt idx="40">
                  <c:v>7500</c:v>
                </c:pt>
                <c:pt idx="41">
                  <c:v>8000</c:v>
                </c:pt>
                <c:pt idx="42">
                  <c:v>8500</c:v>
                </c:pt>
                <c:pt idx="43">
                  <c:v>9000</c:v>
                </c:pt>
                <c:pt idx="44">
                  <c:v>9500</c:v>
                </c:pt>
                <c:pt idx="45">
                  <c:v>10000</c:v>
                </c:pt>
                <c:pt idx="46">
                  <c:v>10500</c:v>
                </c:pt>
                <c:pt idx="47">
                  <c:v>11000</c:v>
                </c:pt>
                <c:pt idx="48">
                  <c:v>11500</c:v>
                </c:pt>
                <c:pt idx="49">
                  <c:v>12000</c:v>
                </c:pt>
                <c:pt idx="50">
                  <c:v>12500</c:v>
                </c:pt>
                <c:pt idx="51">
                  <c:v>13000</c:v>
                </c:pt>
                <c:pt idx="52">
                  <c:v>13500</c:v>
                </c:pt>
                <c:pt idx="53">
                  <c:v>14000</c:v>
                </c:pt>
                <c:pt idx="54">
                  <c:v>14500</c:v>
                </c:pt>
                <c:pt idx="55">
                  <c:v>15000</c:v>
                </c:pt>
                <c:pt idx="56">
                  <c:v>15500</c:v>
                </c:pt>
                <c:pt idx="57">
                  <c:v>16000</c:v>
                </c:pt>
                <c:pt idx="58">
                  <c:v>16500</c:v>
                </c:pt>
                <c:pt idx="59">
                  <c:v>17000</c:v>
                </c:pt>
                <c:pt idx="60">
                  <c:v>17500</c:v>
                </c:pt>
                <c:pt idx="61">
                  <c:v>18000</c:v>
                </c:pt>
                <c:pt idx="62">
                  <c:v>18500</c:v>
                </c:pt>
                <c:pt idx="63">
                  <c:v>19000</c:v>
                </c:pt>
                <c:pt idx="64">
                  <c:v>19500</c:v>
                </c:pt>
                <c:pt idx="65">
                  <c:v>20000</c:v>
                </c:pt>
                <c:pt idx="66">
                  <c:v>20500</c:v>
                </c:pt>
                <c:pt idx="67">
                  <c:v>21000</c:v>
                </c:pt>
                <c:pt idx="68">
                  <c:v>21500</c:v>
                </c:pt>
                <c:pt idx="69">
                  <c:v>22000</c:v>
                </c:pt>
                <c:pt idx="70">
                  <c:v>22500</c:v>
                </c:pt>
                <c:pt idx="71">
                  <c:v>23000</c:v>
                </c:pt>
                <c:pt idx="72">
                  <c:v>23500</c:v>
                </c:pt>
                <c:pt idx="73">
                  <c:v>24000</c:v>
                </c:pt>
                <c:pt idx="74">
                  <c:v>24500</c:v>
                </c:pt>
                <c:pt idx="75">
                  <c:v>25000</c:v>
                </c:pt>
                <c:pt idx="76">
                  <c:v>25500</c:v>
                </c:pt>
                <c:pt idx="77">
                  <c:v>26000</c:v>
                </c:pt>
                <c:pt idx="78">
                  <c:v>26500</c:v>
                </c:pt>
                <c:pt idx="79">
                  <c:v>27000</c:v>
                </c:pt>
                <c:pt idx="80">
                  <c:v>27500</c:v>
                </c:pt>
                <c:pt idx="81">
                  <c:v>28000</c:v>
                </c:pt>
                <c:pt idx="82">
                  <c:v>28500</c:v>
                </c:pt>
                <c:pt idx="83">
                  <c:v>29000</c:v>
                </c:pt>
                <c:pt idx="84">
                  <c:v>29500</c:v>
                </c:pt>
                <c:pt idx="85">
                  <c:v>30000</c:v>
                </c:pt>
                <c:pt idx="86">
                  <c:v>30500</c:v>
                </c:pt>
                <c:pt idx="87">
                  <c:v>31000</c:v>
                </c:pt>
                <c:pt idx="88">
                  <c:v>31500</c:v>
                </c:pt>
                <c:pt idx="89">
                  <c:v>32000</c:v>
                </c:pt>
                <c:pt idx="90">
                  <c:v>32500</c:v>
                </c:pt>
                <c:pt idx="91">
                  <c:v>33000</c:v>
                </c:pt>
                <c:pt idx="92">
                  <c:v>33500</c:v>
                </c:pt>
                <c:pt idx="93">
                  <c:v>34000</c:v>
                </c:pt>
                <c:pt idx="94">
                  <c:v>34500</c:v>
                </c:pt>
                <c:pt idx="95">
                  <c:v>35000</c:v>
                </c:pt>
                <c:pt idx="96">
                  <c:v>35500</c:v>
                </c:pt>
                <c:pt idx="97">
                  <c:v>36000</c:v>
                </c:pt>
                <c:pt idx="98">
                  <c:v>36500</c:v>
                </c:pt>
                <c:pt idx="99">
                  <c:v>37000</c:v>
                </c:pt>
                <c:pt idx="100">
                  <c:v>37500</c:v>
                </c:pt>
                <c:pt idx="101">
                  <c:v>38000</c:v>
                </c:pt>
                <c:pt idx="102">
                  <c:v>38500</c:v>
                </c:pt>
                <c:pt idx="103">
                  <c:v>39000</c:v>
                </c:pt>
                <c:pt idx="104">
                  <c:v>39500</c:v>
                </c:pt>
                <c:pt idx="105">
                  <c:v>40000</c:v>
                </c:pt>
                <c:pt idx="106">
                  <c:v>40500</c:v>
                </c:pt>
                <c:pt idx="107">
                  <c:v>41000</c:v>
                </c:pt>
                <c:pt idx="108">
                  <c:v>41500</c:v>
                </c:pt>
                <c:pt idx="109">
                  <c:v>42000</c:v>
                </c:pt>
                <c:pt idx="110">
                  <c:v>42500</c:v>
                </c:pt>
                <c:pt idx="111">
                  <c:v>43000</c:v>
                </c:pt>
                <c:pt idx="112">
                  <c:v>43500</c:v>
                </c:pt>
                <c:pt idx="113">
                  <c:v>44000</c:v>
                </c:pt>
                <c:pt idx="114">
                  <c:v>44500</c:v>
                </c:pt>
                <c:pt idx="115">
                  <c:v>45000</c:v>
                </c:pt>
                <c:pt idx="116">
                  <c:v>45500</c:v>
                </c:pt>
                <c:pt idx="117">
                  <c:v>46000</c:v>
                </c:pt>
                <c:pt idx="118">
                  <c:v>46500</c:v>
                </c:pt>
                <c:pt idx="119">
                  <c:v>47000</c:v>
                </c:pt>
                <c:pt idx="120">
                  <c:v>47500</c:v>
                </c:pt>
                <c:pt idx="121">
                  <c:v>48000</c:v>
                </c:pt>
                <c:pt idx="122">
                  <c:v>48500</c:v>
                </c:pt>
                <c:pt idx="123">
                  <c:v>49000</c:v>
                </c:pt>
                <c:pt idx="124">
                  <c:v>49500</c:v>
                </c:pt>
                <c:pt idx="125">
                  <c:v>50000</c:v>
                </c:pt>
                <c:pt idx="126">
                  <c:v>50500</c:v>
                </c:pt>
                <c:pt idx="127">
                  <c:v>51000</c:v>
                </c:pt>
                <c:pt idx="128">
                  <c:v>51500</c:v>
                </c:pt>
                <c:pt idx="129">
                  <c:v>52000</c:v>
                </c:pt>
                <c:pt idx="130">
                  <c:v>52500</c:v>
                </c:pt>
                <c:pt idx="131">
                  <c:v>53000</c:v>
                </c:pt>
                <c:pt idx="132">
                  <c:v>53500</c:v>
                </c:pt>
                <c:pt idx="133">
                  <c:v>54000</c:v>
                </c:pt>
                <c:pt idx="134">
                  <c:v>54500</c:v>
                </c:pt>
                <c:pt idx="135">
                  <c:v>55000</c:v>
                </c:pt>
                <c:pt idx="136">
                  <c:v>55500</c:v>
                </c:pt>
                <c:pt idx="137">
                  <c:v>56000</c:v>
                </c:pt>
                <c:pt idx="138">
                  <c:v>56500</c:v>
                </c:pt>
                <c:pt idx="139">
                  <c:v>57000</c:v>
                </c:pt>
                <c:pt idx="140">
                  <c:v>57500</c:v>
                </c:pt>
                <c:pt idx="141">
                  <c:v>58000</c:v>
                </c:pt>
                <c:pt idx="142">
                  <c:v>58500</c:v>
                </c:pt>
                <c:pt idx="143">
                  <c:v>59000</c:v>
                </c:pt>
                <c:pt idx="144">
                  <c:v>59500</c:v>
                </c:pt>
                <c:pt idx="145">
                  <c:v>60000</c:v>
                </c:pt>
                <c:pt idx="146">
                  <c:v>60500</c:v>
                </c:pt>
                <c:pt idx="147">
                  <c:v>61000</c:v>
                </c:pt>
                <c:pt idx="148">
                  <c:v>61500</c:v>
                </c:pt>
                <c:pt idx="149">
                  <c:v>62000</c:v>
                </c:pt>
                <c:pt idx="150">
                  <c:v>62500</c:v>
                </c:pt>
                <c:pt idx="151">
                  <c:v>63000</c:v>
                </c:pt>
                <c:pt idx="152">
                  <c:v>63500</c:v>
                </c:pt>
                <c:pt idx="153">
                  <c:v>64000</c:v>
                </c:pt>
                <c:pt idx="154">
                  <c:v>64500</c:v>
                </c:pt>
                <c:pt idx="155">
                  <c:v>65000</c:v>
                </c:pt>
                <c:pt idx="156">
                  <c:v>65500</c:v>
                </c:pt>
                <c:pt idx="157">
                  <c:v>66000</c:v>
                </c:pt>
                <c:pt idx="158">
                  <c:v>66500</c:v>
                </c:pt>
                <c:pt idx="159">
                  <c:v>67000</c:v>
                </c:pt>
                <c:pt idx="160">
                  <c:v>67500</c:v>
                </c:pt>
                <c:pt idx="161">
                  <c:v>68000</c:v>
                </c:pt>
                <c:pt idx="162">
                  <c:v>68500</c:v>
                </c:pt>
                <c:pt idx="163">
                  <c:v>69000</c:v>
                </c:pt>
                <c:pt idx="164">
                  <c:v>69500</c:v>
                </c:pt>
                <c:pt idx="165">
                  <c:v>70000</c:v>
                </c:pt>
                <c:pt idx="166">
                  <c:v>70500</c:v>
                </c:pt>
                <c:pt idx="167">
                  <c:v>71000</c:v>
                </c:pt>
                <c:pt idx="168">
                  <c:v>71500</c:v>
                </c:pt>
                <c:pt idx="169">
                  <c:v>72000</c:v>
                </c:pt>
                <c:pt idx="170">
                  <c:v>72500</c:v>
                </c:pt>
                <c:pt idx="171">
                  <c:v>73000</c:v>
                </c:pt>
                <c:pt idx="172">
                  <c:v>73500</c:v>
                </c:pt>
                <c:pt idx="173">
                  <c:v>74000</c:v>
                </c:pt>
                <c:pt idx="174">
                  <c:v>74500</c:v>
                </c:pt>
                <c:pt idx="175">
                  <c:v>75000</c:v>
                </c:pt>
                <c:pt idx="176">
                  <c:v>75500</c:v>
                </c:pt>
                <c:pt idx="177">
                  <c:v>76000</c:v>
                </c:pt>
                <c:pt idx="178">
                  <c:v>76500</c:v>
                </c:pt>
                <c:pt idx="179">
                  <c:v>77000</c:v>
                </c:pt>
                <c:pt idx="180">
                  <c:v>77500</c:v>
                </c:pt>
                <c:pt idx="181">
                  <c:v>78000</c:v>
                </c:pt>
                <c:pt idx="182">
                  <c:v>78500</c:v>
                </c:pt>
                <c:pt idx="183">
                  <c:v>79000</c:v>
                </c:pt>
                <c:pt idx="184">
                  <c:v>79500</c:v>
                </c:pt>
                <c:pt idx="185">
                  <c:v>80000</c:v>
                </c:pt>
                <c:pt idx="186">
                  <c:v>80500</c:v>
                </c:pt>
                <c:pt idx="187">
                  <c:v>81000</c:v>
                </c:pt>
                <c:pt idx="188">
                  <c:v>81500</c:v>
                </c:pt>
                <c:pt idx="189">
                  <c:v>82000</c:v>
                </c:pt>
                <c:pt idx="190">
                  <c:v>82500</c:v>
                </c:pt>
                <c:pt idx="191">
                  <c:v>83000</c:v>
                </c:pt>
                <c:pt idx="192">
                  <c:v>83500</c:v>
                </c:pt>
                <c:pt idx="193">
                  <c:v>84000</c:v>
                </c:pt>
                <c:pt idx="194">
                  <c:v>84500</c:v>
                </c:pt>
                <c:pt idx="195">
                  <c:v>85000</c:v>
                </c:pt>
                <c:pt idx="196">
                  <c:v>85500</c:v>
                </c:pt>
                <c:pt idx="197">
                  <c:v>86000</c:v>
                </c:pt>
                <c:pt idx="198">
                  <c:v>86500</c:v>
                </c:pt>
                <c:pt idx="199">
                  <c:v>87000</c:v>
                </c:pt>
                <c:pt idx="200">
                  <c:v>87500</c:v>
                </c:pt>
                <c:pt idx="201">
                  <c:v>88000</c:v>
                </c:pt>
                <c:pt idx="202">
                  <c:v>88500</c:v>
                </c:pt>
                <c:pt idx="203">
                  <c:v>89000</c:v>
                </c:pt>
                <c:pt idx="204">
                  <c:v>89500</c:v>
                </c:pt>
                <c:pt idx="205">
                  <c:v>90000</c:v>
                </c:pt>
                <c:pt idx="206">
                  <c:v>90500</c:v>
                </c:pt>
                <c:pt idx="207">
                  <c:v>91000</c:v>
                </c:pt>
                <c:pt idx="208">
                  <c:v>91500</c:v>
                </c:pt>
                <c:pt idx="209">
                  <c:v>92000</c:v>
                </c:pt>
                <c:pt idx="210">
                  <c:v>92500</c:v>
                </c:pt>
                <c:pt idx="211">
                  <c:v>93000</c:v>
                </c:pt>
                <c:pt idx="212">
                  <c:v>93500</c:v>
                </c:pt>
                <c:pt idx="213">
                  <c:v>94000</c:v>
                </c:pt>
                <c:pt idx="214">
                  <c:v>94500</c:v>
                </c:pt>
                <c:pt idx="215">
                  <c:v>95000</c:v>
                </c:pt>
                <c:pt idx="216">
                  <c:v>95500</c:v>
                </c:pt>
                <c:pt idx="217">
                  <c:v>96000</c:v>
                </c:pt>
                <c:pt idx="218">
                  <c:v>96500</c:v>
                </c:pt>
                <c:pt idx="219">
                  <c:v>97000</c:v>
                </c:pt>
                <c:pt idx="220">
                  <c:v>97500</c:v>
                </c:pt>
                <c:pt idx="221">
                  <c:v>98000</c:v>
                </c:pt>
                <c:pt idx="222">
                  <c:v>98500</c:v>
                </c:pt>
                <c:pt idx="223">
                  <c:v>99000</c:v>
                </c:pt>
                <c:pt idx="224">
                  <c:v>99500</c:v>
                </c:pt>
                <c:pt idx="225">
                  <c:v>100000</c:v>
                </c:pt>
                <c:pt idx="226">
                  <c:v>105000</c:v>
                </c:pt>
                <c:pt idx="227">
                  <c:v>110000</c:v>
                </c:pt>
                <c:pt idx="228">
                  <c:v>115000</c:v>
                </c:pt>
                <c:pt idx="229">
                  <c:v>120000</c:v>
                </c:pt>
                <c:pt idx="230">
                  <c:v>125000</c:v>
                </c:pt>
                <c:pt idx="231">
                  <c:v>130000</c:v>
                </c:pt>
                <c:pt idx="232">
                  <c:v>135000</c:v>
                </c:pt>
                <c:pt idx="233">
                  <c:v>140000</c:v>
                </c:pt>
                <c:pt idx="234">
                  <c:v>145000</c:v>
                </c:pt>
                <c:pt idx="235">
                  <c:v>150000</c:v>
                </c:pt>
                <c:pt idx="236">
                  <c:v>155000</c:v>
                </c:pt>
                <c:pt idx="237">
                  <c:v>160000</c:v>
                </c:pt>
                <c:pt idx="238">
                  <c:v>165000</c:v>
                </c:pt>
                <c:pt idx="239">
                  <c:v>170000</c:v>
                </c:pt>
                <c:pt idx="240">
                  <c:v>175000</c:v>
                </c:pt>
                <c:pt idx="241">
                  <c:v>180000</c:v>
                </c:pt>
                <c:pt idx="242">
                  <c:v>185000</c:v>
                </c:pt>
                <c:pt idx="243">
                  <c:v>190000</c:v>
                </c:pt>
                <c:pt idx="244">
                  <c:v>195000</c:v>
                </c:pt>
                <c:pt idx="245">
                  <c:v>200000</c:v>
                </c:pt>
                <c:pt idx="246">
                  <c:v>205000</c:v>
                </c:pt>
                <c:pt idx="247">
                  <c:v>210000</c:v>
                </c:pt>
                <c:pt idx="248">
                  <c:v>215000</c:v>
                </c:pt>
                <c:pt idx="249">
                  <c:v>220000</c:v>
                </c:pt>
                <c:pt idx="250">
                  <c:v>225000</c:v>
                </c:pt>
                <c:pt idx="251">
                  <c:v>230000</c:v>
                </c:pt>
                <c:pt idx="252">
                  <c:v>235000</c:v>
                </c:pt>
                <c:pt idx="253">
                  <c:v>240000</c:v>
                </c:pt>
                <c:pt idx="254">
                  <c:v>245000</c:v>
                </c:pt>
                <c:pt idx="255">
                  <c:v>250000</c:v>
                </c:pt>
                <c:pt idx="256">
                  <c:v>255000</c:v>
                </c:pt>
                <c:pt idx="257">
                  <c:v>260000</c:v>
                </c:pt>
                <c:pt idx="258">
                  <c:v>265000</c:v>
                </c:pt>
                <c:pt idx="259">
                  <c:v>270000</c:v>
                </c:pt>
                <c:pt idx="260">
                  <c:v>275000</c:v>
                </c:pt>
                <c:pt idx="261">
                  <c:v>280000</c:v>
                </c:pt>
                <c:pt idx="262">
                  <c:v>285000</c:v>
                </c:pt>
                <c:pt idx="263">
                  <c:v>290000</c:v>
                </c:pt>
                <c:pt idx="264">
                  <c:v>295000</c:v>
                </c:pt>
                <c:pt idx="265">
                  <c:v>300000</c:v>
                </c:pt>
                <c:pt idx="266">
                  <c:v>305000</c:v>
                </c:pt>
                <c:pt idx="267">
                  <c:v>310000</c:v>
                </c:pt>
                <c:pt idx="268">
                  <c:v>315000</c:v>
                </c:pt>
                <c:pt idx="269">
                  <c:v>320000</c:v>
                </c:pt>
                <c:pt idx="270">
                  <c:v>325000</c:v>
                </c:pt>
                <c:pt idx="271">
                  <c:v>330000</c:v>
                </c:pt>
                <c:pt idx="272">
                  <c:v>335000</c:v>
                </c:pt>
                <c:pt idx="273">
                  <c:v>340000</c:v>
                </c:pt>
                <c:pt idx="274">
                  <c:v>345000</c:v>
                </c:pt>
                <c:pt idx="275">
                  <c:v>350000</c:v>
                </c:pt>
                <c:pt idx="276">
                  <c:v>355000</c:v>
                </c:pt>
                <c:pt idx="277">
                  <c:v>360000</c:v>
                </c:pt>
                <c:pt idx="278">
                  <c:v>365000</c:v>
                </c:pt>
                <c:pt idx="279">
                  <c:v>370000</c:v>
                </c:pt>
                <c:pt idx="280">
                  <c:v>375000</c:v>
                </c:pt>
                <c:pt idx="281">
                  <c:v>380000</c:v>
                </c:pt>
                <c:pt idx="282">
                  <c:v>385000</c:v>
                </c:pt>
                <c:pt idx="283">
                  <c:v>390000</c:v>
                </c:pt>
                <c:pt idx="284">
                  <c:v>395000</c:v>
                </c:pt>
                <c:pt idx="285">
                  <c:v>400000</c:v>
                </c:pt>
                <c:pt idx="286">
                  <c:v>405000</c:v>
                </c:pt>
                <c:pt idx="287">
                  <c:v>410000</c:v>
                </c:pt>
                <c:pt idx="288">
                  <c:v>415000</c:v>
                </c:pt>
                <c:pt idx="289">
                  <c:v>420000</c:v>
                </c:pt>
                <c:pt idx="290">
                  <c:v>425000</c:v>
                </c:pt>
                <c:pt idx="291">
                  <c:v>430000</c:v>
                </c:pt>
                <c:pt idx="292">
                  <c:v>435000</c:v>
                </c:pt>
                <c:pt idx="293">
                  <c:v>440000</c:v>
                </c:pt>
                <c:pt idx="294">
                  <c:v>445000</c:v>
                </c:pt>
                <c:pt idx="295">
                  <c:v>450000</c:v>
                </c:pt>
                <c:pt idx="296">
                  <c:v>455000</c:v>
                </c:pt>
                <c:pt idx="297">
                  <c:v>460000</c:v>
                </c:pt>
                <c:pt idx="298">
                  <c:v>465000</c:v>
                </c:pt>
                <c:pt idx="299">
                  <c:v>470000</c:v>
                </c:pt>
                <c:pt idx="300">
                  <c:v>475000</c:v>
                </c:pt>
                <c:pt idx="301">
                  <c:v>480000</c:v>
                </c:pt>
                <c:pt idx="302">
                  <c:v>485000</c:v>
                </c:pt>
                <c:pt idx="303">
                  <c:v>490000</c:v>
                </c:pt>
                <c:pt idx="304">
                  <c:v>495000</c:v>
                </c:pt>
                <c:pt idx="305">
                  <c:v>500000</c:v>
                </c:pt>
                <c:pt idx="306">
                  <c:v>505000</c:v>
                </c:pt>
                <c:pt idx="307">
                  <c:v>510000</c:v>
                </c:pt>
                <c:pt idx="308">
                  <c:v>515000</c:v>
                </c:pt>
                <c:pt idx="309">
                  <c:v>520000</c:v>
                </c:pt>
                <c:pt idx="310">
                  <c:v>525000</c:v>
                </c:pt>
                <c:pt idx="311">
                  <c:v>530000</c:v>
                </c:pt>
                <c:pt idx="312">
                  <c:v>535000</c:v>
                </c:pt>
                <c:pt idx="313">
                  <c:v>540000</c:v>
                </c:pt>
                <c:pt idx="314">
                  <c:v>545000</c:v>
                </c:pt>
                <c:pt idx="315">
                  <c:v>550000</c:v>
                </c:pt>
                <c:pt idx="316">
                  <c:v>555000</c:v>
                </c:pt>
                <c:pt idx="317">
                  <c:v>560000</c:v>
                </c:pt>
                <c:pt idx="318">
                  <c:v>565000</c:v>
                </c:pt>
                <c:pt idx="319">
                  <c:v>570000</c:v>
                </c:pt>
                <c:pt idx="320">
                  <c:v>575000</c:v>
                </c:pt>
                <c:pt idx="321">
                  <c:v>580000</c:v>
                </c:pt>
                <c:pt idx="322">
                  <c:v>585000</c:v>
                </c:pt>
                <c:pt idx="323">
                  <c:v>590000</c:v>
                </c:pt>
                <c:pt idx="324">
                  <c:v>595000</c:v>
                </c:pt>
                <c:pt idx="325">
                  <c:v>600000</c:v>
                </c:pt>
                <c:pt idx="326">
                  <c:v>605000</c:v>
                </c:pt>
                <c:pt idx="327">
                  <c:v>610000</c:v>
                </c:pt>
                <c:pt idx="328">
                  <c:v>615000</c:v>
                </c:pt>
                <c:pt idx="329">
                  <c:v>620000</c:v>
                </c:pt>
                <c:pt idx="330">
                  <c:v>625000</c:v>
                </c:pt>
                <c:pt idx="331">
                  <c:v>630000</c:v>
                </c:pt>
                <c:pt idx="332">
                  <c:v>635000</c:v>
                </c:pt>
                <c:pt idx="333">
                  <c:v>640000</c:v>
                </c:pt>
                <c:pt idx="334">
                  <c:v>645000</c:v>
                </c:pt>
                <c:pt idx="335">
                  <c:v>650000</c:v>
                </c:pt>
                <c:pt idx="336">
                  <c:v>655000</c:v>
                </c:pt>
                <c:pt idx="337">
                  <c:v>660000</c:v>
                </c:pt>
                <c:pt idx="338">
                  <c:v>665000</c:v>
                </c:pt>
                <c:pt idx="339">
                  <c:v>670000</c:v>
                </c:pt>
                <c:pt idx="340">
                  <c:v>675000</c:v>
                </c:pt>
                <c:pt idx="341">
                  <c:v>680000</c:v>
                </c:pt>
                <c:pt idx="342">
                  <c:v>685000</c:v>
                </c:pt>
                <c:pt idx="343">
                  <c:v>690000</c:v>
                </c:pt>
                <c:pt idx="344">
                  <c:v>695000</c:v>
                </c:pt>
                <c:pt idx="345">
                  <c:v>700000</c:v>
                </c:pt>
                <c:pt idx="346">
                  <c:v>705000</c:v>
                </c:pt>
                <c:pt idx="347">
                  <c:v>710000</c:v>
                </c:pt>
                <c:pt idx="348">
                  <c:v>715000</c:v>
                </c:pt>
                <c:pt idx="349">
                  <c:v>720000</c:v>
                </c:pt>
                <c:pt idx="350">
                  <c:v>725000</c:v>
                </c:pt>
                <c:pt idx="351">
                  <c:v>730000</c:v>
                </c:pt>
                <c:pt idx="352">
                  <c:v>735000</c:v>
                </c:pt>
                <c:pt idx="353">
                  <c:v>740000</c:v>
                </c:pt>
                <c:pt idx="354">
                  <c:v>745000</c:v>
                </c:pt>
                <c:pt idx="355">
                  <c:v>750000</c:v>
                </c:pt>
                <c:pt idx="356">
                  <c:v>755000</c:v>
                </c:pt>
                <c:pt idx="357">
                  <c:v>760000</c:v>
                </c:pt>
                <c:pt idx="358">
                  <c:v>765000</c:v>
                </c:pt>
                <c:pt idx="359">
                  <c:v>770000</c:v>
                </c:pt>
                <c:pt idx="360">
                  <c:v>775000</c:v>
                </c:pt>
                <c:pt idx="361">
                  <c:v>780000</c:v>
                </c:pt>
                <c:pt idx="362">
                  <c:v>785000</c:v>
                </c:pt>
                <c:pt idx="363">
                  <c:v>790000</c:v>
                </c:pt>
                <c:pt idx="364">
                  <c:v>795000</c:v>
                </c:pt>
                <c:pt idx="365">
                  <c:v>800000</c:v>
                </c:pt>
                <c:pt idx="366">
                  <c:v>805000</c:v>
                </c:pt>
                <c:pt idx="367">
                  <c:v>810000</c:v>
                </c:pt>
                <c:pt idx="368">
                  <c:v>815000</c:v>
                </c:pt>
                <c:pt idx="369">
                  <c:v>820000</c:v>
                </c:pt>
                <c:pt idx="370">
                  <c:v>825000</c:v>
                </c:pt>
                <c:pt idx="371">
                  <c:v>830000</c:v>
                </c:pt>
                <c:pt idx="372">
                  <c:v>835000</c:v>
                </c:pt>
                <c:pt idx="373">
                  <c:v>840000</c:v>
                </c:pt>
                <c:pt idx="374">
                  <c:v>845000</c:v>
                </c:pt>
                <c:pt idx="375">
                  <c:v>850000</c:v>
                </c:pt>
                <c:pt idx="376">
                  <c:v>855000</c:v>
                </c:pt>
                <c:pt idx="377">
                  <c:v>860000</c:v>
                </c:pt>
                <c:pt idx="378">
                  <c:v>865000</c:v>
                </c:pt>
                <c:pt idx="379">
                  <c:v>870000</c:v>
                </c:pt>
                <c:pt idx="380">
                  <c:v>875000</c:v>
                </c:pt>
                <c:pt idx="381">
                  <c:v>880000</c:v>
                </c:pt>
                <c:pt idx="382">
                  <c:v>885000</c:v>
                </c:pt>
                <c:pt idx="383">
                  <c:v>890000</c:v>
                </c:pt>
                <c:pt idx="384">
                  <c:v>895000</c:v>
                </c:pt>
                <c:pt idx="385">
                  <c:v>900000</c:v>
                </c:pt>
                <c:pt idx="386">
                  <c:v>905000</c:v>
                </c:pt>
                <c:pt idx="387">
                  <c:v>910000</c:v>
                </c:pt>
                <c:pt idx="388">
                  <c:v>915000</c:v>
                </c:pt>
                <c:pt idx="389">
                  <c:v>920000</c:v>
                </c:pt>
                <c:pt idx="390">
                  <c:v>925000</c:v>
                </c:pt>
                <c:pt idx="391">
                  <c:v>930000</c:v>
                </c:pt>
                <c:pt idx="392">
                  <c:v>935000</c:v>
                </c:pt>
                <c:pt idx="393">
                  <c:v>940000</c:v>
                </c:pt>
                <c:pt idx="394">
                  <c:v>945000</c:v>
                </c:pt>
                <c:pt idx="395">
                  <c:v>950000</c:v>
                </c:pt>
                <c:pt idx="396">
                  <c:v>955000</c:v>
                </c:pt>
                <c:pt idx="397">
                  <c:v>960000</c:v>
                </c:pt>
                <c:pt idx="398">
                  <c:v>965000</c:v>
                </c:pt>
                <c:pt idx="399">
                  <c:v>970000</c:v>
                </c:pt>
                <c:pt idx="400">
                  <c:v>975000</c:v>
                </c:pt>
                <c:pt idx="401">
                  <c:v>980000</c:v>
                </c:pt>
                <c:pt idx="402">
                  <c:v>985000</c:v>
                </c:pt>
                <c:pt idx="403">
                  <c:v>990000</c:v>
                </c:pt>
                <c:pt idx="404">
                  <c:v>995000</c:v>
                </c:pt>
                <c:pt idx="405">
                  <c:v>1000000</c:v>
                </c:pt>
                <c:pt idx="406">
                  <c:v>1005000</c:v>
                </c:pt>
                <c:pt idx="407">
                  <c:v>1010000</c:v>
                </c:pt>
                <c:pt idx="408">
                  <c:v>1015000</c:v>
                </c:pt>
                <c:pt idx="409">
                  <c:v>1020000</c:v>
                </c:pt>
                <c:pt idx="410">
                  <c:v>1025000</c:v>
                </c:pt>
                <c:pt idx="411">
                  <c:v>1030000</c:v>
                </c:pt>
                <c:pt idx="412">
                  <c:v>1035000</c:v>
                </c:pt>
                <c:pt idx="413">
                  <c:v>1040000</c:v>
                </c:pt>
                <c:pt idx="414">
                  <c:v>1045000</c:v>
                </c:pt>
                <c:pt idx="415">
                  <c:v>1050000</c:v>
                </c:pt>
                <c:pt idx="416">
                  <c:v>1055000</c:v>
                </c:pt>
                <c:pt idx="417">
                  <c:v>1060000</c:v>
                </c:pt>
                <c:pt idx="418">
                  <c:v>1065000</c:v>
                </c:pt>
                <c:pt idx="419">
                  <c:v>1070000</c:v>
                </c:pt>
                <c:pt idx="420">
                  <c:v>1075000</c:v>
                </c:pt>
                <c:pt idx="421">
                  <c:v>1080000</c:v>
                </c:pt>
                <c:pt idx="422">
                  <c:v>1085000</c:v>
                </c:pt>
                <c:pt idx="423">
                  <c:v>1090000</c:v>
                </c:pt>
                <c:pt idx="424">
                  <c:v>1095000</c:v>
                </c:pt>
                <c:pt idx="425">
                  <c:v>1100000</c:v>
                </c:pt>
                <c:pt idx="426">
                  <c:v>1105000</c:v>
                </c:pt>
                <c:pt idx="427">
                  <c:v>1110000</c:v>
                </c:pt>
                <c:pt idx="428">
                  <c:v>1115000</c:v>
                </c:pt>
                <c:pt idx="429">
                  <c:v>1120000</c:v>
                </c:pt>
                <c:pt idx="430">
                  <c:v>1125000</c:v>
                </c:pt>
                <c:pt idx="431">
                  <c:v>1130000</c:v>
                </c:pt>
                <c:pt idx="432">
                  <c:v>1135000</c:v>
                </c:pt>
                <c:pt idx="433">
                  <c:v>1140000</c:v>
                </c:pt>
                <c:pt idx="434">
                  <c:v>1145000</c:v>
                </c:pt>
                <c:pt idx="435">
                  <c:v>1150000</c:v>
                </c:pt>
                <c:pt idx="436">
                  <c:v>1155000</c:v>
                </c:pt>
                <c:pt idx="437">
                  <c:v>1160000</c:v>
                </c:pt>
                <c:pt idx="438">
                  <c:v>1165000</c:v>
                </c:pt>
                <c:pt idx="439">
                  <c:v>1170000</c:v>
                </c:pt>
                <c:pt idx="440">
                  <c:v>1175000</c:v>
                </c:pt>
                <c:pt idx="441">
                  <c:v>1180000</c:v>
                </c:pt>
                <c:pt idx="442">
                  <c:v>1185000</c:v>
                </c:pt>
                <c:pt idx="443">
                  <c:v>1190000</c:v>
                </c:pt>
                <c:pt idx="444">
                  <c:v>1195000</c:v>
                </c:pt>
                <c:pt idx="445">
                  <c:v>1200000</c:v>
                </c:pt>
                <c:pt idx="446">
                  <c:v>1205000</c:v>
                </c:pt>
                <c:pt idx="447">
                  <c:v>1210000</c:v>
                </c:pt>
                <c:pt idx="448">
                  <c:v>1215000</c:v>
                </c:pt>
                <c:pt idx="449">
                  <c:v>1220000</c:v>
                </c:pt>
                <c:pt idx="450">
                  <c:v>1225000</c:v>
                </c:pt>
                <c:pt idx="451">
                  <c:v>1230000</c:v>
                </c:pt>
                <c:pt idx="452">
                  <c:v>1235000</c:v>
                </c:pt>
                <c:pt idx="453">
                  <c:v>1240000</c:v>
                </c:pt>
                <c:pt idx="454">
                  <c:v>1245000</c:v>
                </c:pt>
                <c:pt idx="455">
                  <c:v>1250000</c:v>
                </c:pt>
                <c:pt idx="456">
                  <c:v>1255000</c:v>
                </c:pt>
                <c:pt idx="457">
                  <c:v>1260000</c:v>
                </c:pt>
                <c:pt idx="458">
                  <c:v>1265000</c:v>
                </c:pt>
                <c:pt idx="459">
                  <c:v>1270000</c:v>
                </c:pt>
                <c:pt idx="460">
                  <c:v>1275000</c:v>
                </c:pt>
                <c:pt idx="461">
                  <c:v>1280000</c:v>
                </c:pt>
                <c:pt idx="462">
                  <c:v>1285000</c:v>
                </c:pt>
                <c:pt idx="463">
                  <c:v>1290000</c:v>
                </c:pt>
                <c:pt idx="464">
                  <c:v>1295000</c:v>
                </c:pt>
                <c:pt idx="465">
                  <c:v>1300000</c:v>
                </c:pt>
                <c:pt idx="466">
                  <c:v>1305000</c:v>
                </c:pt>
                <c:pt idx="467">
                  <c:v>1310000</c:v>
                </c:pt>
                <c:pt idx="468">
                  <c:v>1315000</c:v>
                </c:pt>
                <c:pt idx="469">
                  <c:v>1320000</c:v>
                </c:pt>
                <c:pt idx="470">
                  <c:v>1325000</c:v>
                </c:pt>
                <c:pt idx="471">
                  <c:v>1330000</c:v>
                </c:pt>
                <c:pt idx="472">
                  <c:v>1335000</c:v>
                </c:pt>
                <c:pt idx="473">
                  <c:v>1340000</c:v>
                </c:pt>
                <c:pt idx="474">
                  <c:v>1345000</c:v>
                </c:pt>
                <c:pt idx="475">
                  <c:v>1350000</c:v>
                </c:pt>
                <c:pt idx="476">
                  <c:v>1355000</c:v>
                </c:pt>
                <c:pt idx="477">
                  <c:v>1360000</c:v>
                </c:pt>
                <c:pt idx="478">
                  <c:v>1365000</c:v>
                </c:pt>
                <c:pt idx="479">
                  <c:v>1370000</c:v>
                </c:pt>
                <c:pt idx="480">
                  <c:v>1375000</c:v>
                </c:pt>
                <c:pt idx="481">
                  <c:v>1380000</c:v>
                </c:pt>
                <c:pt idx="482">
                  <c:v>1385000</c:v>
                </c:pt>
                <c:pt idx="483">
                  <c:v>1390000</c:v>
                </c:pt>
                <c:pt idx="484">
                  <c:v>1395000</c:v>
                </c:pt>
                <c:pt idx="485">
                  <c:v>1400000</c:v>
                </c:pt>
                <c:pt idx="486">
                  <c:v>1405000</c:v>
                </c:pt>
                <c:pt idx="487">
                  <c:v>1410000</c:v>
                </c:pt>
                <c:pt idx="488">
                  <c:v>1415000</c:v>
                </c:pt>
                <c:pt idx="489">
                  <c:v>1420000</c:v>
                </c:pt>
                <c:pt idx="490">
                  <c:v>1425000</c:v>
                </c:pt>
                <c:pt idx="491">
                  <c:v>1430000</c:v>
                </c:pt>
                <c:pt idx="492">
                  <c:v>1435000</c:v>
                </c:pt>
                <c:pt idx="493">
                  <c:v>1440000</c:v>
                </c:pt>
                <c:pt idx="494">
                  <c:v>1445000</c:v>
                </c:pt>
                <c:pt idx="495">
                  <c:v>1450000</c:v>
                </c:pt>
                <c:pt idx="496">
                  <c:v>1455000</c:v>
                </c:pt>
                <c:pt idx="497">
                  <c:v>1460000</c:v>
                </c:pt>
                <c:pt idx="498">
                  <c:v>1465000</c:v>
                </c:pt>
                <c:pt idx="499">
                  <c:v>1470000</c:v>
                </c:pt>
                <c:pt idx="500">
                  <c:v>1475000</c:v>
                </c:pt>
                <c:pt idx="501">
                  <c:v>1480000</c:v>
                </c:pt>
                <c:pt idx="502">
                  <c:v>1485000</c:v>
                </c:pt>
                <c:pt idx="503">
                  <c:v>1490000</c:v>
                </c:pt>
                <c:pt idx="504">
                  <c:v>1495000</c:v>
                </c:pt>
                <c:pt idx="505">
                  <c:v>1500000</c:v>
                </c:pt>
                <c:pt idx="506">
                  <c:v>1505000</c:v>
                </c:pt>
                <c:pt idx="507">
                  <c:v>1510000</c:v>
                </c:pt>
                <c:pt idx="508">
                  <c:v>1515000</c:v>
                </c:pt>
                <c:pt idx="509">
                  <c:v>1520000</c:v>
                </c:pt>
                <c:pt idx="510">
                  <c:v>1525000</c:v>
                </c:pt>
                <c:pt idx="511">
                  <c:v>1530000</c:v>
                </c:pt>
                <c:pt idx="512">
                  <c:v>1535000</c:v>
                </c:pt>
                <c:pt idx="513">
                  <c:v>1540000</c:v>
                </c:pt>
                <c:pt idx="514">
                  <c:v>1545000</c:v>
                </c:pt>
                <c:pt idx="515">
                  <c:v>1550000</c:v>
                </c:pt>
                <c:pt idx="516">
                  <c:v>1555000</c:v>
                </c:pt>
                <c:pt idx="517">
                  <c:v>1560000</c:v>
                </c:pt>
                <c:pt idx="518">
                  <c:v>1565000</c:v>
                </c:pt>
                <c:pt idx="519">
                  <c:v>1570000</c:v>
                </c:pt>
                <c:pt idx="520">
                  <c:v>1575000</c:v>
                </c:pt>
                <c:pt idx="521">
                  <c:v>1580000</c:v>
                </c:pt>
                <c:pt idx="522">
                  <c:v>1585000</c:v>
                </c:pt>
                <c:pt idx="523">
                  <c:v>1590000</c:v>
                </c:pt>
                <c:pt idx="524">
                  <c:v>1595000</c:v>
                </c:pt>
                <c:pt idx="525">
                  <c:v>1600000</c:v>
                </c:pt>
                <c:pt idx="526">
                  <c:v>1605000</c:v>
                </c:pt>
                <c:pt idx="527">
                  <c:v>1610000</c:v>
                </c:pt>
                <c:pt idx="528">
                  <c:v>1615000</c:v>
                </c:pt>
                <c:pt idx="529">
                  <c:v>1620000</c:v>
                </c:pt>
                <c:pt idx="530">
                  <c:v>1625000</c:v>
                </c:pt>
                <c:pt idx="531">
                  <c:v>1630000</c:v>
                </c:pt>
                <c:pt idx="532">
                  <c:v>1635000</c:v>
                </c:pt>
                <c:pt idx="533">
                  <c:v>1640000</c:v>
                </c:pt>
                <c:pt idx="534">
                  <c:v>1645000</c:v>
                </c:pt>
                <c:pt idx="535">
                  <c:v>1650000</c:v>
                </c:pt>
                <c:pt idx="536">
                  <c:v>1655000</c:v>
                </c:pt>
                <c:pt idx="537">
                  <c:v>1660000</c:v>
                </c:pt>
                <c:pt idx="538">
                  <c:v>1665000</c:v>
                </c:pt>
                <c:pt idx="539">
                  <c:v>1670000</c:v>
                </c:pt>
                <c:pt idx="540">
                  <c:v>1675000</c:v>
                </c:pt>
                <c:pt idx="541">
                  <c:v>1680000</c:v>
                </c:pt>
                <c:pt idx="542">
                  <c:v>1685000</c:v>
                </c:pt>
                <c:pt idx="543">
                  <c:v>1690000</c:v>
                </c:pt>
                <c:pt idx="544">
                  <c:v>1695000</c:v>
                </c:pt>
                <c:pt idx="545">
                  <c:v>1700000</c:v>
                </c:pt>
                <c:pt idx="546">
                  <c:v>1705000</c:v>
                </c:pt>
                <c:pt idx="547">
                  <c:v>1710000</c:v>
                </c:pt>
                <c:pt idx="548">
                  <c:v>1715000</c:v>
                </c:pt>
                <c:pt idx="549">
                  <c:v>1720000</c:v>
                </c:pt>
                <c:pt idx="550">
                  <c:v>1725000</c:v>
                </c:pt>
                <c:pt idx="551">
                  <c:v>1730000</c:v>
                </c:pt>
                <c:pt idx="552">
                  <c:v>1735000</c:v>
                </c:pt>
                <c:pt idx="553">
                  <c:v>1740000</c:v>
                </c:pt>
                <c:pt idx="554">
                  <c:v>1745000</c:v>
                </c:pt>
                <c:pt idx="555">
                  <c:v>1750000</c:v>
                </c:pt>
                <c:pt idx="556">
                  <c:v>1755000</c:v>
                </c:pt>
                <c:pt idx="557">
                  <c:v>1760000</c:v>
                </c:pt>
                <c:pt idx="558">
                  <c:v>1765000</c:v>
                </c:pt>
                <c:pt idx="559">
                  <c:v>1770000</c:v>
                </c:pt>
                <c:pt idx="560">
                  <c:v>1775000</c:v>
                </c:pt>
                <c:pt idx="561">
                  <c:v>1780000</c:v>
                </c:pt>
                <c:pt idx="562">
                  <c:v>1785000</c:v>
                </c:pt>
                <c:pt idx="563">
                  <c:v>1790000</c:v>
                </c:pt>
                <c:pt idx="564">
                  <c:v>1795000</c:v>
                </c:pt>
                <c:pt idx="565">
                  <c:v>1800000</c:v>
                </c:pt>
                <c:pt idx="566">
                  <c:v>1805000</c:v>
                </c:pt>
                <c:pt idx="567">
                  <c:v>1810000</c:v>
                </c:pt>
                <c:pt idx="568">
                  <c:v>1815000</c:v>
                </c:pt>
                <c:pt idx="569">
                  <c:v>1820000</c:v>
                </c:pt>
                <c:pt idx="570">
                  <c:v>1825000</c:v>
                </c:pt>
                <c:pt idx="571">
                  <c:v>1830000</c:v>
                </c:pt>
                <c:pt idx="572">
                  <c:v>1835000</c:v>
                </c:pt>
                <c:pt idx="573">
                  <c:v>1840000</c:v>
                </c:pt>
                <c:pt idx="574">
                  <c:v>1845000</c:v>
                </c:pt>
                <c:pt idx="575">
                  <c:v>1850000</c:v>
                </c:pt>
                <c:pt idx="576">
                  <c:v>1855000</c:v>
                </c:pt>
                <c:pt idx="577">
                  <c:v>1860000</c:v>
                </c:pt>
                <c:pt idx="578">
                  <c:v>1865000</c:v>
                </c:pt>
                <c:pt idx="579">
                  <c:v>1870000</c:v>
                </c:pt>
                <c:pt idx="580">
                  <c:v>1875000</c:v>
                </c:pt>
                <c:pt idx="581">
                  <c:v>1880000</c:v>
                </c:pt>
                <c:pt idx="582">
                  <c:v>1885000</c:v>
                </c:pt>
                <c:pt idx="583">
                  <c:v>1890000</c:v>
                </c:pt>
                <c:pt idx="584">
                  <c:v>1895000</c:v>
                </c:pt>
                <c:pt idx="585">
                  <c:v>1900000</c:v>
                </c:pt>
                <c:pt idx="586">
                  <c:v>1905000</c:v>
                </c:pt>
                <c:pt idx="587">
                  <c:v>1910000</c:v>
                </c:pt>
                <c:pt idx="588">
                  <c:v>1915000</c:v>
                </c:pt>
                <c:pt idx="589">
                  <c:v>1920000</c:v>
                </c:pt>
                <c:pt idx="590">
                  <c:v>1925000</c:v>
                </c:pt>
                <c:pt idx="591">
                  <c:v>1930000</c:v>
                </c:pt>
                <c:pt idx="592">
                  <c:v>1935000</c:v>
                </c:pt>
                <c:pt idx="593">
                  <c:v>1940000</c:v>
                </c:pt>
                <c:pt idx="594">
                  <c:v>1945000</c:v>
                </c:pt>
                <c:pt idx="595">
                  <c:v>1950000</c:v>
                </c:pt>
                <c:pt idx="596">
                  <c:v>1955000</c:v>
                </c:pt>
                <c:pt idx="597">
                  <c:v>1960000</c:v>
                </c:pt>
                <c:pt idx="598">
                  <c:v>1965000</c:v>
                </c:pt>
                <c:pt idx="599">
                  <c:v>1970000</c:v>
                </c:pt>
                <c:pt idx="600">
                  <c:v>1975000</c:v>
                </c:pt>
                <c:pt idx="601">
                  <c:v>1980000</c:v>
                </c:pt>
                <c:pt idx="602">
                  <c:v>1985000</c:v>
                </c:pt>
                <c:pt idx="603">
                  <c:v>1990000</c:v>
                </c:pt>
                <c:pt idx="604">
                  <c:v>1995000</c:v>
                </c:pt>
                <c:pt idx="605">
                  <c:v>2000000</c:v>
                </c:pt>
                <c:pt idx="606">
                  <c:v>2250000</c:v>
                </c:pt>
                <c:pt idx="607">
                  <c:v>2500000</c:v>
                </c:pt>
                <c:pt idx="608">
                  <c:v>2750000</c:v>
                </c:pt>
                <c:pt idx="609">
                  <c:v>3000000</c:v>
                </c:pt>
                <c:pt idx="610">
                  <c:v>3250000</c:v>
                </c:pt>
                <c:pt idx="611">
                  <c:v>3500000</c:v>
                </c:pt>
                <c:pt idx="612">
                  <c:v>3750000</c:v>
                </c:pt>
                <c:pt idx="613">
                  <c:v>4000000</c:v>
                </c:pt>
                <c:pt idx="614">
                  <c:v>4250000</c:v>
                </c:pt>
                <c:pt idx="615">
                  <c:v>4500000</c:v>
                </c:pt>
                <c:pt idx="616">
                  <c:v>4750000</c:v>
                </c:pt>
                <c:pt idx="617">
                  <c:v>5000000</c:v>
                </c:pt>
                <c:pt idx="618">
                  <c:v>5100000</c:v>
                </c:pt>
                <c:pt idx="619">
                  <c:v>5200000</c:v>
                </c:pt>
                <c:pt idx="620">
                  <c:v>5300000</c:v>
                </c:pt>
                <c:pt idx="621">
                  <c:v>5400000</c:v>
                </c:pt>
                <c:pt idx="622">
                  <c:v>5500000</c:v>
                </c:pt>
                <c:pt idx="623">
                  <c:v>5600000</c:v>
                </c:pt>
                <c:pt idx="624">
                  <c:v>5700000</c:v>
                </c:pt>
                <c:pt idx="625">
                  <c:v>5800000</c:v>
                </c:pt>
                <c:pt idx="626">
                  <c:v>5900000</c:v>
                </c:pt>
                <c:pt idx="627">
                  <c:v>6000000</c:v>
                </c:pt>
                <c:pt idx="628">
                  <c:v>6100000</c:v>
                </c:pt>
                <c:pt idx="629">
                  <c:v>6200000</c:v>
                </c:pt>
                <c:pt idx="630">
                  <c:v>6300000</c:v>
                </c:pt>
                <c:pt idx="631">
                  <c:v>6400000</c:v>
                </c:pt>
                <c:pt idx="632">
                  <c:v>6500000</c:v>
                </c:pt>
                <c:pt idx="633">
                  <c:v>6600000</c:v>
                </c:pt>
                <c:pt idx="634">
                  <c:v>6700000</c:v>
                </c:pt>
                <c:pt idx="635">
                  <c:v>6800000</c:v>
                </c:pt>
                <c:pt idx="636">
                  <c:v>6900000</c:v>
                </c:pt>
                <c:pt idx="637">
                  <c:v>7000000</c:v>
                </c:pt>
                <c:pt idx="638">
                  <c:v>7100000</c:v>
                </c:pt>
                <c:pt idx="639">
                  <c:v>7200000</c:v>
                </c:pt>
                <c:pt idx="640">
                  <c:v>7300000</c:v>
                </c:pt>
                <c:pt idx="641">
                  <c:v>7400000</c:v>
                </c:pt>
                <c:pt idx="642">
                  <c:v>7500000</c:v>
                </c:pt>
                <c:pt idx="643">
                  <c:v>7600000</c:v>
                </c:pt>
                <c:pt idx="644">
                  <c:v>7700000</c:v>
                </c:pt>
                <c:pt idx="645">
                  <c:v>7800000</c:v>
                </c:pt>
                <c:pt idx="646">
                  <c:v>7900000</c:v>
                </c:pt>
                <c:pt idx="647">
                  <c:v>8000000</c:v>
                </c:pt>
                <c:pt idx="648">
                  <c:v>8100000</c:v>
                </c:pt>
                <c:pt idx="649">
                  <c:v>8200000</c:v>
                </c:pt>
                <c:pt idx="650">
                  <c:v>8300000</c:v>
                </c:pt>
                <c:pt idx="651">
                  <c:v>8400000</c:v>
                </c:pt>
                <c:pt idx="652">
                  <c:v>8500000</c:v>
                </c:pt>
                <c:pt idx="653">
                  <c:v>8600000</c:v>
                </c:pt>
                <c:pt idx="654">
                  <c:v>8700000</c:v>
                </c:pt>
                <c:pt idx="655">
                  <c:v>8800000</c:v>
                </c:pt>
                <c:pt idx="656">
                  <c:v>8900000</c:v>
                </c:pt>
                <c:pt idx="657">
                  <c:v>9000000</c:v>
                </c:pt>
                <c:pt idx="658">
                  <c:v>9100000</c:v>
                </c:pt>
                <c:pt idx="659">
                  <c:v>9200000</c:v>
                </c:pt>
                <c:pt idx="660">
                  <c:v>9300000</c:v>
                </c:pt>
                <c:pt idx="661">
                  <c:v>9400000</c:v>
                </c:pt>
                <c:pt idx="662">
                  <c:v>9500000</c:v>
                </c:pt>
                <c:pt idx="663">
                  <c:v>9600000</c:v>
                </c:pt>
                <c:pt idx="664">
                  <c:v>9700000</c:v>
                </c:pt>
                <c:pt idx="665">
                  <c:v>9800000</c:v>
                </c:pt>
                <c:pt idx="666">
                  <c:v>9900000</c:v>
                </c:pt>
                <c:pt idx="667">
                  <c:v>10000000</c:v>
                </c:pt>
              </c:numCache>
            </c:numRef>
          </c:xVal>
          <c:yVal>
            <c:numRef>
              <c:f>'Raw data'!$F$82:$F$749</c:f>
              <c:numCache>
                <c:formatCode>General</c:formatCode>
                <c:ptCount val="668"/>
                <c:pt idx="0">
                  <c:v>64.564314217880494</c:v>
                </c:pt>
                <c:pt idx="1">
                  <c:v>58.543715251184196</c:v>
                </c:pt>
                <c:pt idx="2">
                  <c:v>55.021891647709097</c:v>
                </c:pt>
                <c:pt idx="3">
                  <c:v>52.523119124235997</c:v>
                </c:pt>
                <c:pt idx="4">
                  <c:v>50.584921703821294</c:v>
                </c:pt>
                <c:pt idx="5">
                  <c:v>49.001300253667338</c:v>
                </c:pt>
                <c:pt idx="6">
                  <c:v>47.662368562904398</c:v>
                </c:pt>
                <c:pt idx="7">
                  <c:v>46.502534356248908</c:v>
                </c:pt>
                <c:pt idx="8">
                  <c:v>45.479489271246436</c:v>
                </c:pt>
                <c:pt idx="9">
                  <c:v>44.564345455022504</c:v>
                </c:pt>
                <c:pt idx="10">
                  <c:v>38.54384019837709</c:v>
                </c:pt>
                <c:pt idx="11">
                  <c:v>35.022172773735441</c:v>
                </c:pt>
                <c:pt idx="12">
                  <c:v>32.523618891002556</c:v>
                </c:pt>
                <c:pt idx="13">
                  <c:v>30.585702563609662</c:v>
                </c:pt>
                <c:pt idx="14">
                  <c:v>29.0024246463867</c:v>
                </c:pt>
                <c:pt idx="15">
                  <c:v>27.663898913345317</c:v>
                </c:pt>
                <c:pt idx="16">
                  <c:v>26.5045330713399</c:v>
                </c:pt>
                <c:pt idx="17">
                  <c:v>25.48201873731292</c:v>
                </c:pt>
                <c:pt idx="18">
                  <c:v>24.567468035048901</c:v>
                </c:pt>
                <c:pt idx="19">
                  <c:v>18.556316797360566</c:v>
                </c:pt>
                <c:pt idx="20">
                  <c:v>15.050193865613277</c:v>
                </c:pt>
                <c:pt idx="21">
                  <c:v>12.573307329970504</c:v>
                </c:pt>
                <c:pt idx="22">
                  <c:v>10.663087891572562</c:v>
                </c:pt>
                <c:pt idx="23">
                  <c:v>9.1134187072289237</c:v>
                </c:pt>
                <c:pt idx="24">
                  <c:v>7.8142730808347363</c:v>
                </c:pt>
                <c:pt idx="25">
                  <c:v>6.6998973521611624</c:v>
                </c:pt>
                <c:pt idx="26">
                  <c:v>5.7278029600168132</c:v>
                </c:pt>
                <c:pt idx="27">
                  <c:v>4.8689052818691794</c:v>
                </c:pt>
                <c:pt idx="28">
                  <c:v>1.7000328075295297</c:v>
                </c:pt>
                <c:pt idx="29">
                  <c:v>-0.34834299420532877</c:v>
                </c:pt>
                <c:pt idx="30">
                  <c:v>-1.7686295012865014</c:v>
                </c:pt>
                <c:pt idx="31">
                  <c:v>-2.793133462175923</c:v>
                </c:pt>
                <c:pt idx="32">
                  <c:v>-3.5525184787290316</c:v>
                </c:pt>
                <c:pt idx="33">
                  <c:v>-4.1275598423333557</c:v>
                </c:pt>
                <c:pt idx="34">
                  <c:v>-4.5709994101414244</c:v>
                </c:pt>
                <c:pt idx="35">
                  <c:v>-4.9185027612103527</c:v>
                </c:pt>
                <c:pt idx="36">
                  <c:v>-5.1948051368617438</c:v>
                </c:pt>
                <c:pt idx="37">
                  <c:v>-5.4174118551180515</c:v>
                </c:pt>
                <c:pt idx="38">
                  <c:v>-5.5989293773763826</c:v>
                </c:pt>
                <c:pt idx="39">
                  <c:v>-5.7485796037195929</c:v>
                </c:pt>
                <c:pt idx="40">
                  <c:v>-5.8732063688765361</c:v>
                </c:pt>
                <c:pt idx="41">
                  <c:v>-5.9779570128637047</c:v>
                </c:pt>
                <c:pt idx="42">
                  <c:v>-6.0667514713854684</c:v>
                </c:pt>
                <c:pt idx="43">
                  <c:v>-6.1426099150282623</c:v>
                </c:pt>
                <c:pt idx="44">
                  <c:v>-6.2078847403497761</c:v>
                </c:pt>
                <c:pt idx="45">
                  <c:v>-6.2644269580264531</c:v>
                </c:pt>
                <c:pt idx="46">
                  <c:v>-6.313706984903817</c:v>
                </c:pt>
                <c:pt idx="47">
                  <c:v>-6.3569033465978517</c:v>
                </c:pt>
                <c:pt idx="48">
                  <c:v>-6.3949685268859664</c:v>
                </c:pt>
                <c:pt idx="49">
                  <c:v>-6.428678357148419</c:v>
                </c:pt>
                <c:pt idx="50">
                  <c:v>-6.4586694227469534</c:v>
                </c:pt>
                <c:pt idx="51">
                  <c:v>-6.4854676561002202</c:v>
                </c:pt>
                <c:pt idx="52">
                  <c:v>-6.5095103845349254</c:v>
                </c:pt>
                <c:pt idx="53">
                  <c:v>-6.5311634722386716</c:v>
                </c:pt>
                <c:pt idx="54">
                  <c:v>-6.5507347526449822</c:v>
                </c:pt>
                <c:pt idx="55">
                  <c:v>-6.5684846323502377</c:v>
                </c:pt>
                <c:pt idx="56">
                  <c:v>-6.5846345212063317</c:v>
                </c:pt>
                <c:pt idx="57">
                  <c:v>-6.5993735790646602</c:v>
                </c:pt>
                <c:pt idx="58">
                  <c:v>-6.6128641495904139</c:v>
                </c:pt>
                <c:pt idx="59">
                  <c:v>-6.6252461630364916</c:v>
                </c:pt>
                <c:pt idx="60">
                  <c:v>-6.6366407240579006</c:v>
                </c:pt>
                <c:pt idx="61">
                  <c:v>-6.6471530513564892</c:v>
                </c:pt>
                <c:pt idx="62">
                  <c:v>-6.6568748987543636</c:v>
                </c:pt>
                <c:pt idx="63">
                  <c:v>-6.6658865590356022</c:v>
                </c:pt>
                <c:pt idx="64">
                  <c:v>-6.6742585302798139</c:v>
                </c:pt>
                <c:pt idx="65">
                  <c:v>-6.6820529077695898</c:v>
                </c:pt>
                <c:pt idx="66">
                  <c:v>-6.6893245516645088</c:v>
                </c:pt>
                <c:pt idx="67">
                  <c:v>-6.6961220705893023</c:v>
                </c:pt>
                <c:pt idx="68">
                  <c:v>-6.7024886534143828</c:v>
                </c:pt>
                <c:pt idx="69">
                  <c:v>-6.7084627753052972</c:v>
                </c:pt>
                <c:pt idx="70">
                  <c:v>-6.7140787992074014</c:v>
                </c:pt>
                <c:pt idx="71">
                  <c:v>-6.7193674900226474</c:v>
                </c:pt>
                <c:pt idx="72">
                  <c:v>-6.7243564556097137</c:v>
                </c:pt>
                <c:pt idx="73">
                  <c:v>-6.7290705262261525</c:v>
                </c:pt>
                <c:pt idx="74">
                  <c:v>-6.7335320820047357</c:v>
                </c:pt>
                <c:pt idx="75">
                  <c:v>-6.7377613364120634</c:v>
                </c:pt>
                <c:pt idx="76">
                  <c:v>-6.7417765823011058</c:v>
                </c:pt>
                <c:pt idx="77">
                  <c:v>-6.7455944060758144</c:v>
                </c:pt>
                <c:pt idx="78">
                  <c:v>-6.7492298745900801</c:v>
                </c:pt>
                <c:pt idx="79">
                  <c:v>-6.7526966986649093</c:v>
                </c:pt>
                <c:pt idx="80">
                  <c:v>-6.7560073764987756</c:v>
                </c:pt>
                <c:pt idx="81">
                  <c:v>-6.7591733197391255</c:v>
                </c:pt>
                <c:pt idx="82">
                  <c:v>-6.7622049645644484</c:v>
                </c:pt>
                <c:pt idx="83">
                  <c:v>-6.7651118697735857</c:v>
                </c:pt>
                <c:pt idx="84">
                  <c:v>-6.7679028035864146</c:v>
                </c:pt>
                <c:pt idx="85">
                  <c:v>-6.7705858206128475</c:v>
                </c:pt>
                <c:pt idx="86">
                  <c:v>-6.7731683302395354</c:v>
                </c:pt>
                <c:pt idx="87">
                  <c:v>-6.7756571575081157</c:v>
                </c:pt>
                <c:pt idx="88">
                  <c:v>-6.7780585974106602</c:v>
                </c:pt>
                <c:pt idx="89">
                  <c:v>-6.7803784634015853</c:v>
                </c:pt>
                <c:pt idx="90">
                  <c:v>-6.7826221308179147</c:v>
                </c:pt>
                <c:pt idx="91">
                  <c:v>-6.7847945758085979</c:v>
                </c:pt>
                <c:pt idx="92">
                  <c:v>-6.7869004102946748</c:v>
                </c:pt>
                <c:pt idx="93">
                  <c:v>-6.7889439134155669</c:v>
                </c:pt>
                <c:pt idx="94">
                  <c:v>-6.790929059858307</c:v>
                </c:pt>
                <c:pt idx="95">
                  <c:v>-6.7928595454174179</c:v>
                </c:pt>
                <c:pt idx="96">
                  <c:v>-6.7947388100902408</c:v>
                </c:pt>
                <c:pt idx="97">
                  <c:v>-6.7965700589745657</c:v>
                </c:pt>
                <c:pt idx="98">
                  <c:v>-6.7983562812046019</c:v>
                </c:pt>
                <c:pt idx="99">
                  <c:v>-6.8001002671320876</c:v>
                </c:pt>
                <c:pt idx="100">
                  <c:v>-6.8018046239360661</c:v>
                </c:pt>
                <c:pt idx="101">
                  <c:v>-6.8034717898229307</c:v>
                </c:pt>
                <c:pt idx="102">
                  <c:v>-6.8051040469601309</c:v>
                </c:pt>
                <c:pt idx="103">
                  <c:v>-6.8067035332714028</c:v>
                </c:pt>
                <c:pt idx="104">
                  <c:v>-6.8082722532052484</c:v>
                </c:pt>
                <c:pt idx="105">
                  <c:v>-6.8098120875785053</c:v>
                </c:pt>
                <c:pt idx="106">
                  <c:v>-6.8113248025846227</c:v>
                </c:pt>
                <c:pt idx="107">
                  <c:v>-6.8128120580453233</c:v>
                </c:pt>
                <c:pt idx="108">
                  <c:v>-6.8142754149787148</c:v>
                </c:pt>
                <c:pt idx="109">
                  <c:v>-6.8157163425470912</c:v>
                </c:pt>
                <c:pt idx="110">
                  <c:v>-6.8171362244416125</c:v>
                </c:pt>
                <c:pt idx="111">
                  <c:v>-6.8185363647559463</c:v>
                </c:pt>
                <c:pt idx="112">
                  <c:v>-6.8199179933943324</c:v>
                </c:pt>
                <c:pt idx="113">
                  <c:v>-6.8212822710563863</c:v>
                </c:pt>
                <c:pt idx="114">
                  <c:v>-6.8226302938356334</c:v>
                </c:pt>
                <c:pt idx="115">
                  <c:v>-6.8239630974657386</c:v>
                </c:pt>
                <c:pt idx="116">
                  <c:v>-6.8252816612444525</c:v>
                </c:pt>
                <c:pt idx="117">
                  <c:v>-6.8265869116640712</c:v>
                </c:pt>
                <c:pt idx="118">
                  <c:v>-6.8278797257717985</c:v>
                </c:pt>
                <c:pt idx="119">
                  <c:v>-6.8291609342833741</c:v>
                </c:pt>
                <c:pt idx="120">
                  <c:v>-6.8304313244707071</c:v>
                </c:pt>
                <c:pt idx="121">
                  <c:v>-6.831691642841653</c:v>
                </c:pt>
                <c:pt idx="122">
                  <c:v>-6.8329425976289162</c:v>
                </c:pt>
                <c:pt idx="123">
                  <c:v>-6.8341848611030507</c:v>
                </c:pt>
                <c:pt idx="124">
                  <c:v>-6.8354190717251404</c:v>
                </c:pt>
                <c:pt idx="125">
                  <c:v>-6.8366458361491755</c:v>
                </c:pt>
                <c:pt idx="126">
                  <c:v>-6.8378657310884963</c:v>
                </c:pt>
                <c:pt idx="127">
                  <c:v>-6.8390793050553729</c:v>
                </c:pt>
                <c:pt idx="128">
                  <c:v>-6.8402870799836357</c:v>
                </c:pt>
                <c:pt idx="129">
                  <c:v>-6.8414895527432451</c:v>
                </c:pt>
                <c:pt idx="130">
                  <c:v>-6.8426871965556382</c:v>
                </c:pt>
                <c:pt idx="131">
                  <c:v>-6.8438804623161076</c:v>
                </c:pt>
                <c:pt idx="132">
                  <c:v>-6.8450697798309132</c:v>
                </c:pt>
                <c:pt idx="133">
                  <c:v>-6.8462555589750149</c:v>
                </c:pt>
                <c:pt idx="134">
                  <c:v>-6.8474381907763053</c:v>
                </c:pt>
                <c:pt idx="135">
                  <c:v>-6.848618048431435</c:v>
                </c:pt>
                <c:pt idx="136">
                  <c:v>-6.8497954882588168</c:v>
                </c:pt>
                <c:pt idx="137">
                  <c:v>-6.8509708505918816</c:v>
                </c:pt>
                <c:pt idx="138">
                  <c:v>-6.852144460617887</c:v>
                </c:pt>
                <c:pt idx="139">
                  <c:v>-6.8533166291663807</c:v>
                </c:pt>
                <c:pt idx="140">
                  <c:v>-6.8544876534491008</c:v>
                </c:pt>
                <c:pt idx="141">
                  <c:v>-6.8556578177562502</c:v>
                </c:pt>
                <c:pt idx="142">
                  <c:v>-6.8568273941116651</c:v>
                </c:pt>
                <c:pt idx="143">
                  <c:v>-6.8579966428891757</c:v>
                </c:pt>
                <c:pt idx="144">
                  <c:v>-6.8591658133930178</c:v>
                </c:pt>
                <c:pt idx="145">
                  <c:v>-6.8603351444051439</c:v>
                </c:pt>
                <c:pt idx="146">
                  <c:v>-6.861504864700521</c:v>
                </c:pt>
                <c:pt idx="147">
                  <c:v>-6.8626751935338683</c:v>
                </c:pt>
                <c:pt idx="148">
                  <c:v>-6.8638463410982578</c:v>
                </c:pt>
                <c:pt idx="149">
                  <c:v>-6.8650185089586397</c:v>
                </c:pt>
                <c:pt idx="150">
                  <c:v>-6.866191890460895</c:v>
                </c:pt>
                <c:pt idx="151">
                  <c:v>-6.8673666711183987</c:v>
                </c:pt>
                <c:pt idx="152">
                  <c:v>-6.8685430289779639</c:v>
                </c:pt>
                <c:pt idx="153">
                  <c:v>-6.8697211349651557</c:v>
                </c:pt>
                <c:pt idx="154">
                  <c:v>-6.8709011532116815</c:v>
                </c:pt>
                <c:pt idx="155">
                  <c:v>-6.8720832413650159</c:v>
                </c:pt>
                <c:pt idx="156">
                  <c:v>-6.8732675508816143</c:v>
                </c:pt>
                <c:pt idx="157">
                  <c:v>-6.8744542273047413</c:v>
                </c:pt>
                <c:pt idx="158">
                  <c:v>-6.875643410527954</c:v>
                </c:pt>
                <c:pt idx="159">
                  <c:v>-6.8768352350445605</c:v>
                </c:pt>
                <c:pt idx="160">
                  <c:v>-6.878029830184758</c:v>
                </c:pt>
                <c:pt idx="161">
                  <c:v>-6.8792273203401679</c:v>
                </c:pt>
                <c:pt idx="162">
                  <c:v>-6.8804278251773097</c:v>
                </c:pt>
                <c:pt idx="163">
                  <c:v>-6.8816314598402464</c:v>
                </c:pt>
                <c:pt idx="164">
                  <c:v>-6.8828383351430311</c:v>
                </c:pt>
                <c:pt idx="165">
                  <c:v>-6.8840485577527328</c:v>
                </c:pt>
                <c:pt idx="166">
                  <c:v>-6.8852622303633417</c:v>
                </c:pt>
                <c:pt idx="167">
                  <c:v>-6.8864794518612369</c:v>
                </c:pt>
                <c:pt idx="168">
                  <c:v>-6.8877003174825111</c:v>
                </c:pt>
                <c:pt idx="169">
                  <c:v>-6.8889249189629727</c:v>
                </c:pt>
                <c:pt idx="170">
                  <c:v>-6.8901533446805772</c:v>
                </c:pt>
                <c:pt idx="171">
                  <c:v>-6.8913856797912896</c:v>
                </c:pt>
                <c:pt idx="172">
                  <c:v>-6.8926220063587538</c:v>
                </c:pt>
                <c:pt idx="173">
                  <c:v>-6.8938624034773346</c:v>
                </c:pt>
                <c:pt idx="174">
                  <c:v>-6.8951069473898237</c:v>
                </c:pt>
                <c:pt idx="175">
                  <c:v>-6.8963557115996776</c:v>
                </c:pt>
                <c:pt idx="176">
                  <c:v>-6.8976087669780046</c:v>
                </c:pt>
                <c:pt idx="177">
                  <c:v>-6.8988661818655004</c:v>
                </c:pt>
                <c:pt idx="178">
                  <c:v>-6.9001280221700787</c:v>
                </c:pt>
                <c:pt idx="179">
                  <c:v>-6.9013943514599321</c:v>
                </c:pt>
                <c:pt idx="180">
                  <c:v>-6.9026652310522731</c:v>
                </c:pt>
                <c:pt idx="181">
                  <c:v>-6.9039407200984524</c:v>
                </c:pt>
                <c:pt idx="182">
                  <c:v>-6.9052208756650604</c:v>
                </c:pt>
                <c:pt idx="183">
                  <c:v>-6.9065057528115652</c:v>
                </c:pt>
                <c:pt idx="184">
                  <c:v>-6.9077954046644017</c:v>
                </c:pt>
                <c:pt idx="185">
                  <c:v>-6.9090898824881632</c:v>
                </c:pt>
                <c:pt idx="186">
                  <c:v>-6.9103892357534153</c:v>
                </c:pt>
                <c:pt idx="187">
                  <c:v>-6.9116935122016541</c:v>
                </c:pt>
                <c:pt idx="188">
                  <c:v>-6.9130027579077238</c:v>
                </c:pt>
                <c:pt idx="189">
                  <c:v>-6.9143170173393065</c:v>
                </c:pt>
                <c:pt idx="190">
                  <c:v>-6.9156363334139499</c:v>
                </c:pt>
                <c:pt idx="191">
                  <c:v>-6.9169607475539765</c:v>
                </c:pt>
                <c:pt idx="192">
                  <c:v>-6.9182902997387608</c:v>
                </c:pt>
                <c:pt idx="193">
                  <c:v>-6.9196250285550089</c:v>
                </c:pt>
                <c:pt idx="194">
                  <c:v>-6.9209649712450085</c:v>
                </c:pt>
                <c:pt idx="195">
                  <c:v>-6.9223101637528606</c:v>
                </c:pt>
                <c:pt idx="196">
                  <c:v>-6.9236606407687535</c:v>
                </c:pt>
                <c:pt idx="197">
                  <c:v>-6.9250164357716324</c:v>
                </c:pt>
                <c:pt idx="198">
                  <c:v>-6.9263775810699535</c:v>
                </c:pt>
                <c:pt idx="199">
                  <c:v>-6.9277441078409217</c:v>
                </c:pt>
                <c:pt idx="200">
                  <c:v>-6.9291160461682333</c:v>
                </c:pt>
                <c:pt idx="201">
                  <c:v>-6.9304934250781667</c:v>
                </c:pt>
                <c:pt idx="202">
                  <c:v>-6.9318762725743586</c:v>
                </c:pt>
                <c:pt idx="203">
                  <c:v>-6.933264615671261</c:v>
                </c:pt>
                <c:pt idx="204">
                  <c:v>-6.934658480426215</c:v>
                </c:pt>
                <c:pt idx="205">
                  <c:v>-6.9360578919703073</c:v>
                </c:pt>
                <c:pt idx="206">
                  <c:v>-6.937462874538082</c:v>
                </c:pt>
                <c:pt idx="207">
                  <c:v>-6.9388734514960557</c:v>
                </c:pt>
                <c:pt idx="208">
                  <c:v>-6.9402896453701937</c:v>
                </c:pt>
                <c:pt idx="209">
                  <c:v>-6.9417114778724329</c:v>
                </c:pt>
                <c:pt idx="210">
                  <c:v>-6.9431389699260908</c:v>
                </c:pt>
                <c:pt idx="211">
                  <c:v>-6.9445721416902719</c:v>
                </c:pt>
                <c:pt idx="212">
                  <c:v>-6.9460110125835195</c:v>
                </c:pt>
                <c:pt idx="213">
                  <c:v>-6.9474556013065865</c:v>
                </c:pt>
                <c:pt idx="214">
                  <c:v>-6.9489059258641728</c:v>
                </c:pt>
                <c:pt idx="215">
                  <c:v>-6.9503620035862212</c:v>
                </c:pt>
                <c:pt idx="216">
                  <c:v>-6.9518238511480686</c:v>
                </c:pt>
                <c:pt idx="217">
                  <c:v>-6.9532914845900695</c:v>
                </c:pt>
                <c:pt idx="218">
                  <c:v>-6.954764919336557</c:v>
                </c:pt>
                <c:pt idx="219">
                  <c:v>-6.9562441702139761</c:v>
                </c:pt>
                <c:pt idx="220">
                  <c:v>-6.9577292514683826</c:v>
                </c:pt>
                <c:pt idx="221">
                  <c:v>-6.9592201767826509</c:v>
                </c:pt>
                <c:pt idx="222">
                  <c:v>-6.9607169592924638</c:v>
                </c:pt>
                <c:pt idx="223">
                  <c:v>-6.9622196116023938</c:v>
                </c:pt>
                <c:pt idx="224">
                  <c:v>-6.9637281458009195</c:v>
                </c:pt>
                <c:pt idx="225">
                  <c:v>-6.9652425734752814</c:v>
                </c:pt>
                <c:pt idx="226">
                  <c:v>-6.9807132091660087</c:v>
                </c:pt>
                <c:pt idx="227">
                  <c:v>-6.996782706137914</c:v>
                </c:pt>
                <c:pt idx="228">
                  <c:v>-7.0134562149415167</c:v>
                </c:pt>
                <c:pt idx="229">
                  <c:v>-7.0307360790980749</c:v>
                </c:pt>
                <c:pt idx="230">
                  <c:v>-7.0486224468096488</c:v>
                </c:pt>
                <c:pt idx="231">
                  <c:v>-7.0671137246118647</c:v>
                </c:pt>
                <c:pt idx="232">
                  <c:v>-7.0862069188565595</c:v>
                </c:pt>
                <c:pt idx="233">
                  <c:v>-7.1058978964484822</c:v>
                </c:pt>
                <c:pt idx="234">
                  <c:v>-7.1261815866866378</c:v>
                </c:pt>
                <c:pt idx="235">
                  <c:v>-7.1470521396189053</c:v>
                </c:pt>
                <c:pt idx="236">
                  <c:v>-7.1685030519176518</c:v>
                </c:pt>
                <c:pt idx="237">
                  <c:v>-7.1905272682330565</c:v>
                </c:pt>
                <c:pt idx="238">
                  <c:v>-7.2131172638422134</c:v>
                </c:pt>
                <c:pt idx="239">
                  <c:v>-7.2362651128886331</c:v>
                </c:pt>
                <c:pt idx="240">
                  <c:v>-7.2599625454151582</c:v>
                </c:pt>
                <c:pt idx="241">
                  <c:v>-7.2842009955992602</c:v>
                </c:pt>
                <c:pt idx="242">
                  <c:v>-7.3089716430176885</c:v>
                </c:pt>
                <c:pt idx="243">
                  <c:v>-7.3342654483364527</c:v>
                </c:pt>
                <c:pt idx="244">
                  <c:v>-7.3600731845013936</c:v>
                </c:pt>
                <c:pt idx="245">
                  <c:v>-7.3863854642618696</c:v>
                </c:pt>
                <c:pt idx="246">
                  <c:v>-7.4131927646776568</c:v>
                </c:pt>
                <c:pt idx="247">
                  <c:v>-7.4404854491189223</c:v>
                </c:pt>
                <c:pt idx="248">
                  <c:v>-7.4682537871615304</c:v>
                </c:pt>
                <c:pt idx="249">
                  <c:v>-7.496487972697361</c:v>
                </c:pt>
                <c:pt idx="250">
                  <c:v>-7.5251781405147238</c:v>
                </c:pt>
                <c:pt idx="251">
                  <c:v>-7.5543143815534961</c:v>
                </c:pt>
                <c:pt idx="252">
                  <c:v>-7.5838867569999815</c:v>
                </c:pt>
                <c:pt idx="253">
                  <c:v>-7.6138853113561105</c:v>
                </c:pt>
                <c:pt idx="254">
                  <c:v>-7.6443000845922215</c:v>
                </c:pt>
                <c:pt idx="255">
                  <c:v>-7.6751211234732946</c:v>
                </c:pt>
                <c:pt idx="256">
                  <c:v>-7.7063384921335505</c:v>
                </c:pt>
                <c:pt idx="257">
                  <c:v>-7.7379422819615975</c:v>
                </c:pt>
                <c:pt idx="258">
                  <c:v>-7.7699226208476482</c:v>
                </c:pt>
                <c:pt idx="259">
                  <c:v>-7.8022696818381796</c:v>
                </c:pt>
                <c:pt idx="260">
                  <c:v>-7.834973691235156</c:v>
                </c:pt>
                <c:pt idx="261">
                  <c:v>-7.8680249361730805</c:v>
                </c:pt>
                <c:pt idx="262">
                  <c:v>-7.90141377170238</c:v>
                </c:pt>
                <c:pt idx="263">
                  <c:v>-7.9351306274047042</c:v>
                </c:pt>
                <c:pt idx="264">
                  <c:v>-7.9691660135626208</c:v>
                </c:pt>
                <c:pt idx="265">
                  <c:v>-8.0035105269044582</c:v>
                </c:pt>
                <c:pt idx="266">
                  <c:v>-8.0381548559430591</c:v>
                </c:pt>
                <c:pt idx="267">
                  <c:v>-8.0730897859255251</c:v>
                </c:pt>
                <c:pt idx="268">
                  <c:v>-8.1083062034107236</c:v>
                </c:pt>
                <c:pt idx="269">
                  <c:v>-8.143795100489136</c:v>
                </c:pt>
                <c:pt idx="270">
                  <c:v>-8.1795475786601788</c:v>
                </c:pt>
                <c:pt idx="271">
                  <c:v>-8.2155548523802011</c:v>
                </c:pt>
                <c:pt idx="272">
                  <c:v>-8.2518082522949268</c:v>
                </c:pt>
                <c:pt idx="273">
                  <c:v>-8.2882992281688441</c:v>
                </c:pt>
                <c:pt idx="274">
                  <c:v>-8.3250193515241673</c:v>
                </c:pt>
                <c:pt idx="275">
                  <c:v>-8.3619603180012252</c:v>
                </c:pt>
                <c:pt idx="276">
                  <c:v>-8.399113949452234</c:v>
                </c:pt>
                <c:pt idx="277">
                  <c:v>-8.4364721957796078</c:v>
                </c:pt>
                <c:pt idx="278">
                  <c:v>-8.4740271365303936</c:v>
                </c:pt>
                <c:pt idx="279">
                  <c:v>-8.5117709822575076</c:v>
                </c:pt>
                <c:pt idx="280">
                  <c:v>-8.5496960756583373</c:v>
                </c:pt>
                <c:pt idx="281">
                  <c:v>-8.5877948925015861</c:v>
                </c:pt>
                <c:pt idx="282">
                  <c:v>-8.6260600423521279</c:v>
                </c:pt>
                <c:pt idx="283">
                  <c:v>-8.664484269104058</c:v>
                </c:pt>
                <c:pt idx="284">
                  <c:v>-8.7030604513316341</c:v>
                </c:pt>
                <c:pt idx="285">
                  <c:v>-8.7417816024676274</c:v>
                </c:pt>
                <c:pt idx="286">
                  <c:v>-8.7806408708183135</c:v>
                </c:pt>
                <c:pt idx="287">
                  <c:v>-8.8196315394239768</c:v>
                </c:pt>
                <c:pt idx="288">
                  <c:v>-8.8587470257739138</c:v>
                </c:pt>
                <c:pt idx="289">
                  <c:v>-8.8979808813843331</c:v>
                </c:pt>
                <c:pt idx="290">
                  <c:v>-8.9373267912472674</c:v>
                </c:pt>
                <c:pt idx="291">
                  <c:v>-8.9767785731587662</c:v>
                </c:pt>
                <c:pt idx="292">
                  <c:v>-9.0163301769337991</c:v>
                </c:pt>
                <c:pt idx="293">
                  <c:v>-9.0559756835157312</c:v>
                </c:pt>
                <c:pt idx="294">
                  <c:v>-9.0957093039870216</c:v>
                </c:pt>
                <c:pt idx="295">
                  <c:v>-9.1355253784889445</c:v>
                </c:pt>
                <c:pt idx="296">
                  <c:v>-9.1754183750560419</c:v>
                </c:pt>
                <c:pt idx="297">
                  <c:v>-9.2153828883727158</c:v>
                </c:pt>
                <c:pt idx="298">
                  <c:v>-9.2554136384574548</c:v>
                </c:pt>
                <c:pt idx="299">
                  <c:v>-9.2955054692809842</c:v>
                </c:pt>
                <c:pt idx="300">
                  <c:v>-9.3356533473241328</c:v>
                </c:pt>
                <c:pt idx="301">
                  <c:v>-9.3758523600803994</c:v>
                </c:pt>
                <c:pt idx="302">
                  <c:v>-9.4160977145091493</c:v>
                </c:pt>
                <c:pt idx="303">
                  <c:v>-9.4563847354436401</c:v>
                </c:pt>
                <c:pt idx="304">
                  <c:v>-9.49670886395932</c:v>
                </c:pt>
                <c:pt idx="305">
                  <c:v>-9.5370656557065185</c:v>
                </c:pt>
                <c:pt idx="306">
                  <c:v>-9.5774507792117962</c:v>
                </c:pt>
                <c:pt idx="307">
                  <c:v>-9.6178600141524857</c:v>
                </c:pt>
                <c:pt idx="308">
                  <c:v>-9.6582892496076003</c:v>
                </c:pt>
                <c:pt idx="309">
                  <c:v>-9.6987344822895931</c:v>
                </c:pt>
                <c:pt idx="310">
                  <c:v>-9.7391918147596339</c:v>
                </c:pt>
                <c:pt idx="311">
                  <c:v>-9.7796574536302909</c:v>
                </c:pt>
                <c:pt idx="312">
                  <c:v>-9.8201277077583722</c:v>
                </c:pt>
                <c:pt idx="313">
                  <c:v>-9.8605989864311798</c:v>
                </c:pt>
                <c:pt idx="314">
                  <c:v>-9.9010677975482047</c:v>
                </c:pt>
                <c:pt idx="315">
                  <c:v>-9.9415307458019058</c:v>
                </c:pt>
                <c:pt idx="316">
                  <c:v>-9.9819845308589201</c:v>
                </c:pt>
                <c:pt idx="317">
                  <c:v>-10.022425945544597</c:v>
                </c:pt>
                <c:pt idx="318">
                  <c:v>-10.062851874032962</c:v>
                </c:pt>
                <c:pt idx="319">
                  <c:v>-10.103259290043436</c:v>
                </c:pt>
                <c:pt idx="320">
                  <c:v>-10.143645255047005</c:v>
                </c:pt>
                <c:pt idx="321">
                  <c:v>-10.184006916483144</c:v>
                </c:pt>
                <c:pt idx="322">
                  <c:v>-10.224341505988633</c:v>
                </c:pt>
                <c:pt idx="323">
                  <c:v>-10.264646337640343</c:v>
                </c:pt>
                <c:pt idx="324">
                  <c:v>-10.304918806213298</c:v>
                </c:pt>
                <c:pt idx="325">
                  <c:v>-10.345156385454592</c:v>
                </c:pt>
                <c:pt idx="326">
                  <c:v>-10.385356626375028</c:v>
                </c:pt>
                <c:pt idx="327">
                  <c:v>-10.425517155559096</c:v>
                </c:pt>
                <c:pt idx="328">
                  <c:v>-10.4656356734942</c:v>
                </c:pt>
                <c:pt idx="329">
                  <c:v>-10.505709952920155</c:v>
                </c:pt>
                <c:pt idx="330">
                  <c:v>-10.545737837199683</c:v>
                </c:pt>
                <c:pt idx="331">
                  <c:v>-10.585717238710489</c:v>
                </c:pt>
                <c:pt idx="332">
                  <c:v>-10.62564613725918</c:v>
                </c:pt>
                <c:pt idx="333">
                  <c:v>-10.665522578518569</c:v>
                </c:pt>
                <c:pt idx="334">
                  <c:v>-10.705344672487612</c:v>
                </c:pt>
                <c:pt idx="335">
                  <c:v>-10.745110591975088</c:v>
                </c:pt>
                <c:pt idx="336">
                  <c:v>-10.784818571107353</c:v>
                </c:pt>
                <c:pt idx="337">
                  <c:v>-10.82446690385998</c:v>
                </c:pt>
                <c:pt idx="338">
                  <c:v>-10.864053942614087</c:v>
                </c:pt>
                <c:pt idx="339">
                  <c:v>-10.903578096737164</c:v>
                </c:pt>
                <c:pt idx="340">
                  <c:v>-10.943037831188446</c:v>
                </c:pt>
                <c:pt idx="341">
                  <c:v>-10.982431665149425</c:v>
                </c:pt>
                <c:pt idx="342">
                  <c:v>-11.021758170678977</c:v>
                </c:pt>
                <c:pt idx="343">
                  <c:v>-11.061015971393438</c:v>
                </c:pt>
                <c:pt idx="344">
                  <c:v>-11.100203741171487</c:v>
                </c:pt>
                <c:pt idx="345">
                  <c:v>-11.139320202883745</c:v>
                </c:pt>
                <c:pt idx="346">
                  <c:v>-11.17836412714745</c:v>
                </c:pt>
                <c:pt idx="347">
                  <c:v>-11.217334331105189</c:v>
                </c:pt>
                <c:pt idx="348">
                  <c:v>-11.256229677228369</c:v>
                </c:pt>
                <c:pt idx="349">
                  <c:v>-11.295049072144929</c:v>
                </c:pt>
                <c:pt idx="350">
                  <c:v>-11.333791465491228</c:v>
                </c:pt>
                <c:pt idx="351">
                  <c:v>-11.372455848787503</c:v>
                </c:pt>
                <c:pt idx="352">
                  <c:v>-11.411041254337528</c:v>
                </c:pt>
                <c:pt idx="353">
                  <c:v>-11.449546754151012</c:v>
                </c:pt>
                <c:pt idx="354">
                  <c:v>-11.487971458889916</c:v>
                </c:pt>
                <c:pt idx="355">
                  <c:v>-11.526314516837108</c:v>
                </c:pt>
                <c:pt idx="356">
                  <c:v>-11.56457511288786</c:v>
                </c:pt>
                <c:pt idx="357">
                  <c:v>-11.602752467563661</c:v>
                </c:pt>
                <c:pt idx="358">
                  <c:v>-11.640845836048136</c:v>
                </c:pt>
                <c:pt idx="359">
                  <c:v>-11.678854507244496</c:v>
                </c:pt>
                <c:pt idx="360">
                  <c:v>-11.71677780285458</c:v>
                </c:pt>
                <c:pt idx="361">
                  <c:v>-11.754615076478919</c:v>
                </c:pt>
                <c:pt idx="362">
                  <c:v>-11.79236571273745</c:v>
                </c:pt>
                <c:pt idx="363">
                  <c:v>-11.830029126410961</c:v>
                </c:pt>
                <c:pt idx="364">
                  <c:v>-11.867604761602209</c:v>
                </c:pt>
                <c:pt idx="365">
                  <c:v>-11.90509209091706</c:v>
                </c:pt>
                <c:pt idx="366">
                  <c:v>-11.942490614665175</c:v>
                </c:pt>
                <c:pt idx="367">
                  <c:v>-11.97979986007911</c:v>
                </c:pt>
                <c:pt idx="368">
                  <c:v>-12.017019380553005</c:v>
                </c:pt>
                <c:pt idx="369">
                  <c:v>-12.054148754899149</c:v>
                </c:pt>
                <c:pt idx="370">
                  <c:v>-12.091187586622265</c:v>
                </c:pt>
                <c:pt idx="371">
                  <c:v>-12.128135503212485</c:v>
                </c:pt>
                <c:pt idx="372">
                  <c:v>-12.164992155454469</c:v>
                </c:pt>
                <c:pt idx="373">
                  <c:v>-12.201757216754562</c:v>
                </c:pt>
                <c:pt idx="374">
                  <c:v>-12.238430382483889</c:v>
                </c:pt>
                <c:pt idx="375">
                  <c:v>-12.275011369338017</c:v>
                </c:pt>
                <c:pt idx="376">
                  <c:v>-12.31149991471286</c:v>
                </c:pt>
                <c:pt idx="377">
                  <c:v>-12.347895776095914</c:v>
                </c:pt>
                <c:pt idx="378">
                  <c:v>-12.384198730472615</c:v>
                </c:pt>
                <c:pt idx="379">
                  <c:v>-12.42040857374846</c:v>
                </c:pt>
                <c:pt idx="380">
                  <c:v>-12.456525120185324</c:v>
                </c:pt>
                <c:pt idx="381">
                  <c:v>-12.492548201851658</c:v>
                </c:pt>
                <c:pt idx="382">
                  <c:v>-12.528477668087808</c:v>
                </c:pt>
                <c:pt idx="383">
                  <c:v>-12.564313384984413</c:v>
                </c:pt>
                <c:pt idx="384">
                  <c:v>-12.600055234873956</c:v>
                </c:pt>
                <c:pt idx="385">
                  <c:v>-12.635703115836261</c:v>
                </c:pt>
                <c:pt idx="386">
                  <c:v>-12.671256941216232</c:v>
                </c:pt>
                <c:pt idx="387">
                  <c:v>-12.706716639154134</c:v>
                </c:pt>
                <c:pt idx="388">
                  <c:v>-12.742082152128498</c:v>
                </c:pt>
                <c:pt idx="389">
                  <c:v>-12.777353436510692</c:v>
                </c:pt>
                <c:pt idx="390">
                  <c:v>-12.812530462131155</c:v>
                </c:pt>
                <c:pt idx="391">
                  <c:v>-12.847613211857441</c:v>
                </c:pt>
                <c:pt idx="392">
                  <c:v>-12.882601681182685</c:v>
                </c:pt>
                <c:pt idx="393">
                  <c:v>-12.917495877825802</c:v>
                </c:pt>
                <c:pt idx="394">
                  <c:v>-12.952295821341689</c:v>
                </c:pt>
                <c:pt idx="395">
                  <c:v>-12.987001542741899</c:v>
                </c:pt>
                <c:pt idx="396">
                  <c:v>-13.021613084125885</c:v>
                </c:pt>
                <c:pt idx="397">
                  <c:v>-13.056130498321361</c:v>
                </c:pt>
                <c:pt idx="398">
                  <c:v>-13.090553848534942</c:v>
                </c:pt>
                <c:pt idx="399">
                  <c:v>-13.124883208011951</c:v>
                </c:pt>
                <c:pt idx="400">
                  <c:v>-13.159118659705202</c:v>
                </c:pt>
                <c:pt idx="401">
                  <c:v>-13.193260295952998</c:v>
                </c:pt>
                <c:pt idx="402">
                  <c:v>-13.227308218165861</c:v>
                </c:pt>
                <c:pt idx="403">
                  <c:v>-13.261262536521564</c:v>
                </c:pt>
                <c:pt idx="404">
                  <c:v>-13.295123369668371</c:v>
                </c:pt>
                <c:pt idx="405">
                  <c:v>-13.328890844436678</c:v>
                </c:pt>
                <c:pt idx="406">
                  <c:v>-13.362565095558637</c:v>
                </c:pt>
                <c:pt idx="407">
                  <c:v>-13.396146265394792</c:v>
                </c:pt>
                <c:pt idx="408">
                  <c:v>-13.429634503668893</c:v>
                </c:pt>
                <c:pt idx="409">
                  <c:v>-13.463029967209543</c:v>
                </c:pt>
                <c:pt idx="410">
                  <c:v>-13.496332819699379</c:v>
                </c:pt>
                <c:pt idx="411">
                  <c:v>-13.529543231430736</c:v>
                </c:pt>
                <c:pt idx="412">
                  <c:v>-13.56266137906851</c:v>
                </c:pt>
                <c:pt idx="413">
                  <c:v>-13.595687445418969</c:v>
                </c:pt>
                <c:pt idx="414">
                  <c:v>-13.628621619206051</c:v>
                </c:pt>
                <c:pt idx="415">
                  <c:v>-13.661464094852491</c:v>
                </c:pt>
                <c:pt idx="416">
                  <c:v>-13.694215072268346</c:v>
                </c:pt>
                <c:pt idx="417">
                  <c:v>-13.7268747566446</c:v>
                </c:pt>
                <c:pt idx="418">
                  <c:v>-13.759443358252826</c:v>
                </c:pt>
                <c:pt idx="419">
                  <c:v>-13.791921092250572</c:v>
                </c:pt>
                <c:pt idx="420">
                  <c:v>-13.824308178492082</c:v>
                </c:pt>
                <c:pt idx="421">
                  <c:v>-13.856604841344364</c:v>
                </c:pt>
                <c:pt idx="422">
                  <c:v>-13.88881130950843</c:v>
                </c:pt>
                <c:pt idx="423">
                  <c:v>-13.920927815845713</c:v>
                </c:pt>
                <c:pt idx="424">
                  <c:v>-13.952954597209356</c:v>
                </c:pt>
                <c:pt idx="425">
                  <c:v>-13.984891894280301</c:v>
                </c:pt>
                <c:pt idx="426">
                  <c:v>-14.016739951407613</c:v>
                </c:pt>
                <c:pt idx="427">
                  <c:v>-14.04849901645451</c:v>
                </c:pt>
                <c:pt idx="428">
                  <c:v>-14.080169340647471</c:v>
                </c:pt>
                <c:pt idx="429">
                  <c:v>-14.111751178430262</c:v>
                </c:pt>
                <c:pt idx="430">
                  <c:v>-14.143244787322562</c:v>
                </c:pt>
                <c:pt idx="431">
                  <c:v>-14.174650427781913</c:v>
                </c:pt>
                <c:pt idx="432">
                  <c:v>-14.20596836307001</c:v>
                </c:pt>
                <c:pt idx="433">
                  <c:v>-14.237198859123012</c:v>
                </c:pt>
                <c:pt idx="434">
                  <c:v>-14.268342184425117</c:v>
                </c:pt>
                <c:pt idx="435">
                  <c:v>-14.299398609886635</c:v>
                </c:pt>
                <c:pt idx="436">
                  <c:v>-14.330368408724578</c:v>
                </c:pt>
                <c:pt idx="437">
                  <c:v>-14.361251856347572</c:v>
                </c:pt>
                <c:pt idx="438">
                  <c:v>-14.392049230243821</c:v>
                </c:pt>
                <c:pt idx="439">
                  <c:v>-14.422760809872111</c:v>
                </c:pt>
                <c:pt idx="440">
                  <c:v>-14.453386876556864</c:v>
                </c:pt>
                <c:pt idx="441">
                  <c:v>-14.483927713385141</c:v>
                </c:pt>
                <c:pt idx="442">
                  <c:v>-14.514383605107327</c:v>
                </c:pt>
                <c:pt idx="443">
                  <c:v>-14.544754838041216</c:v>
                </c:pt>
                <c:pt idx="444">
                  <c:v>-14.575041699977699</c:v>
                </c:pt>
                <c:pt idx="445">
                  <c:v>-14.605244480090464</c:v>
                </c:pt>
                <c:pt idx="446">
                  <c:v>-14.635363468847999</c:v>
                </c:pt>
                <c:pt idx="447">
                  <c:v>-14.665398957927705</c:v>
                </c:pt>
                <c:pt idx="448">
                  <c:v>-14.695351240133574</c:v>
                </c:pt>
                <c:pt idx="449">
                  <c:v>-14.725220609315585</c:v>
                </c:pt>
                <c:pt idx="450">
                  <c:v>-14.755007360291598</c:v>
                </c:pt>
                <c:pt idx="451">
                  <c:v>-14.784711788772295</c:v>
                </c:pt>
                <c:pt idx="452">
                  <c:v>-14.814334191287521</c:v>
                </c:pt>
                <c:pt idx="453">
                  <c:v>-14.843874865115531</c:v>
                </c:pt>
                <c:pt idx="454">
                  <c:v>-14.873334108213953</c:v>
                </c:pt>
                <c:pt idx="455">
                  <c:v>-14.902712219153329</c:v>
                </c:pt>
                <c:pt idx="456">
                  <c:v>-14.93200949705221</c:v>
                </c:pt>
                <c:pt idx="457">
                  <c:v>-14.961226241514773</c:v>
                </c:pt>
                <c:pt idx="458">
                  <c:v>-14.990362752570022</c:v>
                </c:pt>
                <c:pt idx="459">
                  <c:v>-15.019419330612923</c:v>
                </c:pt>
                <c:pt idx="460">
                  <c:v>-15.048396276347635</c:v>
                </c:pt>
                <c:pt idx="461">
                  <c:v>-15.077293890732257</c:v>
                </c:pt>
                <c:pt idx="462">
                  <c:v>-15.106112474925361</c:v>
                </c:pt>
                <c:pt idx="463">
                  <c:v>-15.134852330234541</c:v>
                </c:pt>
                <c:pt idx="464">
                  <c:v>-15.16351375806609</c:v>
                </c:pt>
                <c:pt idx="465">
                  <c:v>-15.192097059876668</c:v>
                </c:pt>
                <c:pt idx="466">
                  <c:v>-15.220602537126586</c:v>
                </c:pt>
                <c:pt idx="467">
                  <c:v>-15.249030491234041</c:v>
                </c:pt>
                <c:pt idx="468">
                  <c:v>-15.277381223531703</c:v>
                </c:pt>
                <c:pt idx="469">
                  <c:v>-15.305655035223872</c:v>
                </c:pt>
                <c:pt idx="470">
                  <c:v>-15.333852227345686</c:v>
                </c:pt>
                <c:pt idx="471">
                  <c:v>-15.361973100723198</c:v>
                </c:pt>
                <c:pt idx="472">
                  <c:v>-15.390017955935221</c:v>
                </c:pt>
                <c:pt idx="473">
                  <c:v>-15.417987093276246</c:v>
                </c:pt>
                <c:pt idx="474">
                  <c:v>-15.445880812720294</c:v>
                </c:pt>
                <c:pt idx="475">
                  <c:v>-15.473699413886621</c:v>
                </c:pt>
                <c:pt idx="476">
                  <c:v>-15.501443196006047</c:v>
                </c:pt>
                <c:pt idx="477">
                  <c:v>-15.529112457888887</c:v>
                </c:pt>
                <c:pt idx="478">
                  <c:v>-15.556707497893438</c:v>
                </c:pt>
                <c:pt idx="479">
                  <c:v>-15.584228613896167</c:v>
                </c:pt>
                <c:pt idx="480">
                  <c:v>-15.61167610326256</c:v>
                </c:pt>
                <c:pt idx="481">
                  <c:v>-15.639050262818948</c:v>
                </c:pt>
                <c:pt idx="482">
                  <c:v>-15.666351388825735</c:v>
                </c:pt>
                <c:pt idx="483">
                  <c:v>-15.693579776951097</c:v>
                </c:pt>
                <c:pt idx="484">
                  <c:v>-15.720735722246008</c:v>
                </c:pt>
                <c:pt idx="485">
                  <c:v>-15.747819519120094</c:v>
                </c:pt>
                <c:pt idx="486">
                  <c:v>-15.774831461318124</c:v>
                </c:pt>
                <c:pt idx="487">
                  <c:v>-15.801771841897452</c:v>
                </c:pt>
                <c:pt idx="488">
                  <c:v>-15.828640953206921</c:v>
                </c:pt>
                <c:pt idx="489">
                  <c:v>-15.855439086865397</c:v>
                </c:pt>
                <c:pt idx="490">
                  <c:v>-15.882166533742236</c:v>
                </c:pt>
                <c:pt idx="491">
                  <c:v>-15.908823583938016</c:v>
                </c:pt>
                <c:pt idx="492">
                  <c:v>-15.935410526765512</c:v>
                </c:pt>
                <c:pt idx="493">
                  <c:v>-15.961927650732758</c:v>
                </c:pt>
                <c:pt idx="494">
                  <c:v>-15.988375243525294</c:v>
                </c:pt>
                <c:pt idx="495">
                  <c:v>-16.014753591990122</c:v>
                </c:pt>
                <c:pt idx="496">
                  <c:v>-16.041062982119954</c:v>
                </c:pt>
                <c:pt idx="497">
                  <c:v>-16.067303699038124</c:v>
                </c:pt>
                <c:pt idx="498">
                  <c:v>-16.093476026984078</c:v>
                </c:pt>
                <c:pt idx="499">
                  <c:v>-16.119580249299741</c:v>
                </c:pt>
                <c:pt idx="500">
                  <c:v>-16.14561664841619</c:v>
                </c:pt>
                <c:pt idx="501">
                  <c:v>-16.171585505840827</c:v>
                </c:pt>
                <c:pt idx="502">
                  <c:v>-16.197487102145669</c:v>
                </c:pt>
                <c:pt idx="503">
                  <c:v>-16.223321716955574</c:v>
                </c:pt>
                <c:pt idx="504">
                  <c:v>-16.249089628936964</c:v>
                </c:pt>
                <c:pt idx="505">
                  <c:v>-16.274791115788023</c:v>
                </c:pt>
                <c:pt idx="506">
                  <c:v>-16.300426454227818</c:v>
                </c:pt>
                <c:pt idx="507">
                  <c:v>-16.325995919987573</c:v>
                </c:pt>
                <c:pt idx="508">
                  <c:v>-16.351499787801181</c:v>
                </c:pt>
                <c:pt idx="509">
                  <c:v>-16.376938331396406</c:v>
                </c:pt>
                <c:pt idx="510">
                  <c:v>-16.402311823487263</c:v>
                </c:pt>
                <c:pt idx="511">
                  <c:v>-16.427620535766028</c:v>
                </c:pt>
                <c:pt idx="512">
                  <c:v>-16.452864738895805</c:v>
                </c:pt>
                <c:pt idx="513">
                  <c:v>-16.478044702503674</c:v>
                </c:pt>
                <c:pt idx="514">
                  <c:v>-16.503160695174422</c:v>
                </c:pt>
                <c:pt idx="515">
                  <c:v>-16.528212984444053</c:v>
                </c:pt>
                <c:pt idx="516">
                  <c:v>-16.553201836794244</c:v>
                </c:pt>
                <c:pt idx="517">
                  <c:v>-16.578127517646923</c:v>
                </c:pt>
                <c:pt idx="518">
                  <c:v>-16.602990291359042</c:v>
                </c:pt>
                <c:pt idx="519">
                  <c:v>-16.627790421218126</c:v>
                </c:pt>
                <c:pt idx="520">
                  <c:v>-16.652528169437645</c:v>
                </c:pt>
                <c:pt idx="521">
                  <c:v>-16.67720379715292</c:v>
                </c:pt>
                <c:pt idx="522">
                  <c:v>-16.701817564417659</c:v>
                </c:pt>
                <c:pt idx="523">
                  <c:v>-16.726369730200091</c:v>
                </c:pt>
                <c:pt idx="524">
                  <c:v>-16.750860552380043</c:v>
                </c:pt>
                <c:pt idx="525">
                  <c:v>-16.775290287745992</c:v>
                </c:pt>
                <c:pt idx="526">
                  <c:v>-16.799659191992379</c:v>
                </c:pt>
                <c:pt idx="527">
                  <c:v>-16.823967519717165</c:v>
                </c:pt>
                <c:pt idx="528">
                  <c:v>-16.848215524420041</c:v>
                </c:pt>
                <c:pt idx="529">
                  <c:v>-16.872403458500202</c:v>
                </c:pt>
                <c:pt idx="530">
                  <c:v>-16.896531573254649</c:v>
                </c:pt>
                <c:pt idx="531">
                  <c:v>-16.920600118877466</c:v>
                </c:pt>
                <c:pt idx="532">
                  <c:v>-16.944609344457938</c:v>
                </c:pt>
                <c:pt idx="533">
                  <c:v>-16.968559497979797</c:v>
                </c:pt>
                <c:pt idx="534">
                  <c:v>-16.992450826320674</c:v>
                </c:pt>
                <c:pt idx="535">
                  <c:v>-17.016283575251325</c:v>
                </c:pt>
                <c:pt idx="536">
                  <c:v>-17.040057989435603</c:v>
                </c:pt>
                <c:pt idx="537">
                  <c:v>-17.063774312429917</c:v>
                </c:pt>
                <c:pt idx="538">
                  <c:v>-17.087432786683664</c:v>
                </c:pt>
                <c:pt idx="539">
                  <c:v>-17.111033653538964</c:v>
                </c:pt>
                <c:pt idx="540">
                  <c:v>-17.134577153231621</c:v>
                </c:pt>
                <c:pt idx="541">
                  <c:v>-17.158063524891325</c:v>
                </c:pt>
                <c:pt idx="542">
                  <c:v>-17.181493006542389</c:v>
                </c:pt>
                <c:pt idx="543">
                  <c:v>-17.204865835104769</c:v>
                </c:pt>
                <c:pt idx="544">
                  <c:v>-17.2281822463952</c:v>
                </c:pt>
                <c:pt idx="545">
                  <c:v>-17.251442475127767</c:v>
                </c:pt>
                <c:pt idx="546">
                  <c:v>-17.274646754916034</c:v>
                </c:pt>
                <c:pt idx="547">
                  <c:v>-17.297795318273959</c:v>
                </c:pt>
                <c:pt idx="548">
                  <c:v>-17.320888396617779</c:v>
                </c:pt>
                <c:pt idx="549">
                  <c:v>-17.343926220267448</c:v>
                </c:pt>
                <c:pt idx="550">
                  <c:v>-17.366909018448702</c:v>
                </c:pt>
                <c:pt idx="551">
                  <c:v>-17.389837019295054</c:v>
                </c:pt>
                <c:pt idx="552">
                  <c:v>-17.412710449849502</c:v>
                </c:pt>
                <c:pt idx="553">
                  <c:v>-17.435529536067275</c:v>
                </c:pt>
                <c:pt idx="554">
                  <c:v>-17.458294502817548</c:v>
                </c:pt>
                <c:pt idx="555">
                  <c:v>-17.481005573886257</c:v>
                </c:pt>
                <c:pt idx="556">
                  <c:v>-17.503662971978432</c:v>
                </c:pt>
                <c:pt idx="557">
                  <c:v>-17.526266918720829</c:v>
                </c:pt>
                <c:pt idx="558">
                  <c:v>-17.548817634664509</c:v>
                </c:pt>
                <c:pt idx="559">
                  <c:v>-17.571315339287747</c:v>
                </c:pt>
                <c:pt idx="560">
                  <c:v>-17.593760250998681</c:v>
                </c:pt>
                <c:pt idx="561">
                  <c:v>-17.616152587138647</c:v>
                </c:pt>
                <c:pt idx="562">
                  <c:v>-17.63849256398467</c:v>
                </c:pt>
                <c:pt idx="563">
                  <c:v>-17.660780396753054</c:v>
                </c:pt>
                <c:pt idx="564">
                  <c:v>-17.683016299602187</c:v>
                </c:pt>
                <c:pt idx="565">
                  <c:v>-17.705200485635793</c:v>
                </c:pt>
                <c:pt idx="566">
                  <c:v>-17.727333166906782</c:v>
                </c:pt>
                <c:pt idx="567">
                  <c:v>-17.749414554419637</c:v>
                </c:pt>
                <c:pt idx="568">
                  <c:v>-17.771444858134799</c:v>
                </c:pt>
                <c:pt idx="569">
                  <c:v>-17.793424286971554</c:v>
                </c:pt>
                <c:pt idx="570">
                  <c:v>-17.815353048811907</c:v>
                </c:pt>
                <c:pt idx="571">
                  <c:v>-17.837231350503767</c:v>
                </c:pt>
                <c:pt idx="572">
                  <c:v>-17.859059397865288</c:v>
                </c:pt>
                <c:pt idx="573">
                  <c:v>-17.880837395687685</c:v>
                </c:pt>
                <c:pt idx="574">
                  <c:v>-17.902565547739915</c:v>
                </c:pt>
                <c:pt idx="575">
                  <c:v>-17.924244056771805</c:v>
                </c:pt>
                <c:pt idx="576">
                  <c:v>-17.945873124518002</c:v>
                </c:pt>
                <c:pt idx="577">
                  <c:v>-17.967452951702015</c:v>
                </c:pt>
                <c:pt idx="578">
                  <c:v>-17.988983738040197</c:v>
                </c:pt>
                <c:pt idx="579">
                  <c:v>-18.010465682245286</c:v>
                </c:pt>
                <c:pt idx="580">
                  <c:v>-18.03189898203096</c:v>
                </c:pt>
                <c:pt idx="581">
                  <c:v>-18.053283834115334</c:v>
                </c:pt>
                <c:pt idx="582">
                  <c:v>-18.074620434225459</c:v>
                </c:pt>
                <c:pt idx="583">
                  <c:v>-18.095908977101082</c:v>
                </c:pt>
                <c:pt idx="584">
                  <c:v>-18.117149656498718</c:v>
                </c:pt>
                <c:pt idx="585">
                  <c:v>-18.138342665196255</c:v>
                </c:pt>
                <c:pt idx="586">
                  <c:v>-18.159488194996676</c:v>
                </c:pt>
                <c:pt idx="587">
                  <c:v>-18.180586436732305</c:v>
                </c:pt>
                <c:pt idx="588">
                  <c:v>-18.201637580269082</c:v>
                </c:pt>
                <c:pt idx="589">
                  <c:v>-18.222641814510997</c:v>
                </c:pt>
                <c:pt idx="590">
                  <c:v>-18.243599327403977</c:v>
                </c:pt>
                <c:pt idx="591">
                  <c:v>-18.264510305940437</c:v>
                </c:pt>
                <c:pt idx="592">
                  <c:v>-18.285374936163286</c:v>
                </c:pt>
                <c:pt idx="593">
                  <c:v>-18.306193403170528</c:v>
                </c:pt>
                <c:pt idx="594">
                  <c:v>-18.326965891119503</c:v>
                </c:pt>
                <c:pt idx="595">
                  <c:v>-18.347692583230927</c:v>
                </c:pt>
                <c:pt idx="596">
                  <c:v>-18.368373661793687</c:v>
                </c:pt>
                <c:pt idx="597">
                  <c:v>-18.389009308168873</c:v>
                </c:pt>
                <c:pt idx="598">
                  <c:v>-18.409599702794203</c:v>
                </c:pt>
                <c:pt idx="599">
                  <c:v>-18.430145025188448</c:v>
                </c:pt>
                <c:pt idx="600">
                  <c:v>-18.450645453955854</c:v>
                </c:pt>
                <c:pt idx="601">
                  <c:v>-18.471101166790206</c:v>
                </c:pt>
                <c:pt idx="602">
                  <c:v>-18.491512340479691</c:v>
                </c:pt>
                <c:pt idx="603">
                  <c:v>-18.511879150910964</c:v>
                </c:pt>
                <c:pt idx="604">
                  <c:v>-18.532201773073709</c:v>
                </c:pt>
                <c:pt idx="605">
                  <c:v>-18.552480381064743</c:v>
                </c:pt>
                <c:pt idx="606">
                  <c:v>-19.513892697580896</c:v>
                </c:pt>
                <c:pt idx="607">
                  <c:v>-20.384410141542869</c:v>
                </c:pt>
                <c:pt idx="608">
                  <c:v>-21.178943141819918</c:v>
                </c:pt>
                <c:pt idx="609">
                  <c:v>-21.909198938384087</c:v>
                </c:pt>
                <c:pt idx="610">
                  <c:v>-22.584479806788895</c:v>
                </c:pt>
                <c:pt idx="611">
                  <c:v>-23.212269280901392</c:v>
                </c:pt>
                <c:pt idx="612">
                  <c:v>-23.798660469967011</c:v>
                </c:pt>
                <c:pt idx="613">
                  <c:v>-24.348670635009206</c:v>
                </c:pt>
                <c:pt idx="614">
                  <c:v>-24.866474451914222</c:v>
                </c:pt>
                <c:pt idx="615">
                  <c:v>-25.355578946253839</c:v>
                </c:pt>
                <c:pt idx="616">
                  <c:v>-25.818956239416305</c:v>
                </c:pt>
                <c:pt idx="617">
                  <c:v>-26.259145459481971</c:v>
                </c:pt>
                <c:pt idx="618">
                  <c:v>-26.429228369343228</c:v>
                </c:pt>
                <c:pt idx="619">
                  <c:v>-26.596080147053126</c:v>
                </c:pt>
                <c:pt idx="620">
                  <c:v>-26.759819971065998</c:v>
                </c:pt>
                <c:pt idx="621">
                  <c:v>-26.920560616520138</c:v>
                </c:pt>
                <c:pt idx="622">
                  <c:v>-27.078408900747625</c:v>
                </c:pt>
                <c:pt idx="623">
                  <c:v>-27.233466091164221</c:v>
                </c:pt>
                <c:pt idx="624">
                  <c:v>-27.38582827923716</c:v>
                </c:pt>
                <c:pt idx="625">
                  <c:v>-27.535586723819378</c:v>
                </c:pt>
                <c:pt idx="626">
                  <c:v>-27.682828166778656</c:v>
                </c:pt>
                <c:pt idx="627">
                  <c:v>-27.827635123529134</c:v>
                </c:pt>
                <c:pt idx="628">
                  <c:v>-27.970086150799442</c:v>
                </c:pt>
                <c:pt idx="629">
                  <c:v>-28.110256093720306</c:v>
                </c:pt>
                <c:pt idx="630">
                  <c:v>-28.24821631410282</c:v>
                </c:pt>
                <c:pt idx="631">
                  <c:v>-28.384034901580854</c:v>
                </c:pt>
                <c:pt idx="632">
                  <c:v>-28.51777686912682</c:v>
                </c:pt>
                <c:pt idx="633">
                  <c:v>-28.649504334294296</c:v>
                </c:pt>
                <c:pt idx="634">
                  <c:v>-28.77927668741134</c:v>
                </c:pt>
                <c:pt idx="635">
                  <c:v>-28.907150747825334</c:v>
                </c:pt>
                <c:pt idx="636">
                  <c:v>-29.033180909196467</c:v>
                </c:pt>
                <c:pt idx="637">
                  <c:v>-29.157419274741322</c:v>
                </c:pt>
                <c:pt idx="638">
                  <c:v>-29.279915783243062</c:v>
                </c:pt>
                <c:pt idx="639">
                  <c:v>-29.400718326569869</c:v>
                </c:pt>
                <c:pt idx="640">
                  <c:v>-29.519872859373592</c:v>
                </c:pt>
                <c:pt idx="641">
                  <c:v>-29.637423501581853</c:v>
                </c:pt>
                <c:pt idx="642">
                  <c:v>-29.753412634239712</c:v>
                </c:pt>
                <c:pt idx="643">
                  <c:v>-29.867880989209983</c:v>
                </c:pt>
                <c:pt idx="644">
                  <c:v>-29.98086773319487</c:v>
                </c:pt>
                <c:pt idx="645">
                  <c:v>-30.092410546502695</c:v>
                </c:pt>
                <c:pt idx="646">
                  <c:v>-30.202545696946977</c:v>
                </c:pt>
                <c:pt idx="647">
                  <c:v>-30.31130810923343</c:v>
                </c:pt>
                <c:pt idx="648">
                  <c:v>-30.418731430157962</c:v>
                </c:pt>
                <c:pt idx="649">
                  <c:v>-30.52484808991521</c:v>
                </c:pt>
                <c:pt idx="650">
                  <c:v>-30.629689359791673</c:v>
                </c:pt>
                <c:pt idx="651">
                  <c:v>-30.733285406493881</c:v>
                </c:pt>
                <c:pt idx="652">
                  <c:v>-30.835665343344495</c:v>
                </c:pt>
                <c:pt idx="653">
                  <c:v>-30.936857278558723</c:v>
                </c:pt>
                <c:pt idx="654">
                  <c:v>-31.036888360798255</c:v>
                </c:pt>
                <c:pt idx="655">
                  <c:v>-31.135784822183645</c:v>
                </c:pt>
                <c:pt idx="656">
                  <c:v>-31.233572018933565</c:v>
                </c:pt>
                <c:pt idx="657">
                  <c:v>-31.330274469784165</c:v>
                </c:pt>
                <c:pt idx="658">
                  <c:v>-31.42591589233384</c:v>
                </c:pt>
                <c:pt idx="659">
                  <c:v>-31.520519237443935</c:v>
                </c:pt>
                <c:pt idx="660">
                  <c:v>-31.614106721820185</c:v>
                </c:pt>
                <c:pt idx="661">
                  <c:v>-31.706699858887262</c:v>
                </c:pt>
                <c:pt idx="662">
                  <c:v>-31.798319488062905</c:v>
                </c:pt>
                <c:pt idx="663">
                  <c:v>-31.888985802529803</c:v>
                </c:pt>
                <c:pt idx="664">
                  <c:v>-31.978718375596593</c:v>
                </c:pt>
                <c:pt idx="665">
                  <c:v>-32.067536185732266</c:v>
                </c:pt>
                <c:pt idx="666">
                  <c:v>-32.155457640353539</c:v>
                </c:pt>
                <c:pt idx="667">
                  <c:v>-32.242500598438646</c:v>
                </c:pt>
              </c:numCache>
            </c:numRef>
          </c:yVal>
          <c:smooth val="1"/>
          <c:extLst>
            <c:ext xmlns:c16="http://schemas.microsoft.com/office/drawing/2014/chart" uri="{C3380CC4-5D6E-409C-BE32-E72D297353CC}">
              <c16:uniqueId val="{00000000-2033-4F1A-8470-CEAF38D8D56A}"/>
            </c:ext>
          </c:extLst>
        </c:ser>
        <c:dLbls>
          <c:showLegendKey val="0"/>
          <c:showVal val="0"/>
          <c:showCatName val="0"/>
          <c:showSerName val="0"/>
          <c:showPercent val="0"/>
          <c:showBubbleSize val="0"/>
        </c:dLbls>
        <c:axId val="199073792"/>
        <c:axId val="199075712"/>
      </c:scatterChart>
      <c:scatterChart>
        <c:scatterStyle val="lineMarker"/>
        <c:varyColors val="0"/>
        <c:ser>
          <c:idx val="1"/>
          <c:order val="1"/>
          <c:tx>
            <c:v>Phase</c:v>
          </c:tx>
          <c:spPr>
            <a:ln w="25400">
              <a:solidFill>
                <a:srgbClr val="FF0000"/>
              </a:solidFill>
              <a:prstDash val="solid"/>
            </a:ln>
          </c:spPr>
          <c:marker>
            <c:symbol val="none"/>
          </c:marker>
          <c:xVal>
            <c:numRef>
              <c:f>'Raw data'!$C$82:$C$749</c:f>
              <c:numCache>
                <c:formatCode>General</c:formatCode>
                <c:ptCount val="668"/>
                <c:pt idx="0">
                  <c:v>1</c:v>
                </c:pt>
                <c:pt idx="1">
                  <c:v>2</c:v>
                </c:pt>
                <c:pt idx="2">
                  <c:v>3</c:v>
                </c:pt>
                <c:pt idx="3">
                  <c:v>4</c:v>
                </c:pt>
                <c:pt idx="4">
                  <c:v>5</c:v>
                </c:pt>
                <c:pt idx="5">
                  <c:v>6</c:v>
                </c:pt>
                <c:pt idx="6">
                  <c:v>7</c:v>
                </c:pt>
                <c:pt idx="7">
                  <c:v>8</c:v>
                </c:pt>
                <c:pt idx="8">
                  <c:v>9</c:v>
                </c:pt>
                <c:pt idx="9">
                  <c:v>10</c:v>
                </c:pt>
                <c:pt idx="10">
                  <c:v>20</c:v>
                </c:pt>
                <c:pt idx="11">
                  <c:v>30</c:v>
                </c:pt>
                <c:pt idx="12">
                  <c:v>40</c:v>
                </c:pt>
                <c:pt idx="13">
                  <c:v>50</c:v>
                </c:pt>
                <c:pt idx="14">
                  <c:v>60</c:v>
                </c:pt>
                <c:pt idx="15">
                  <c:v>70</c:v>
                </c:pt>
                <c:pt idx="16">
                  <c:v>80</c:v>
                </c:pt>
                <c:pt idx="17">
                  <c:v>90</c:v>
                </c:pt>
                <c:pt idx="18">
                  <c:v>100</c:v>
                </c:pt>
                <c:pt idx="19">
                  <c:v>200</c:v>
                </c:pt>
                <c:pt idx="20">
                  <c:v>300</c:v>
                </c:pt>
                <c:pt idx="21">
                  <c:v>400</c:v>
                </c:pt>
                <c:pt idx="22">
                  <c:v>500</c:v>
                </c:pt>
                <c:pt idx="23">
                  <c:v>600</c:v>
                </c:pt>
                <c:pt idx="24">
                  <c:v>700</c:v>
                </c:pt>
                <c:pt idx="25">
                  <c:v>800</c:v>
                </c:pt>
                <c:pt idx="26">
                  <c:v>900</c:v>
                </c:pt>
                <c:pt idx="27">
                  <c:v>1000</c:v>
                </c:pt>
                <c:pt idx="28">
                  <c:v>1500</c:v>
                </c:pt>
                <c:pt idx="29">
                  <c:v>2000</c:v>
                </c:pt>
                <c:pt idx="30">
                  <c:v>2500</c:v>
                </c:pt>
                <c:pt idx="31">
                  <c:v>3000</c:v>
                </c:pt>
                <c:pt idx="32">
                  <c:v>3500</c:v>
                </c:pt>
                <c:pt idx="33">
                  <c:v>4000</c:v>
                </c:pt>
                <c:pt idx="34">
                  <c:v>4500</c:v>
                </c:pt>
                <c:pt idx="35">
                  <c:v>5000</c:v>
                </c:pt>
                <c:pt idx="36">
                  <c:v>5500</c:v>
                </c:pt>
                <c:pt idx="37">
                  <c:v>6000</c:v>
                </c:pt>
                <c:pt idx="38">
                  <c:v>6500</c:v>
                </c:pt>
                <c:pt idx="39">
                  <c:v>7000</c:v>
                </c:pt>
                <c:pt idx="40">
                  <c:v>7500</c:v>
                </c:pt>
                <c:pt idx="41">
                  <c:v>8000</c:v>
                </c:pt>
                <c:pt idx="42">
                  <c:v>8500</c:v>
                </c:pt>
                <c:pt idx="43">
                  <c:v>9000</c:v>
                </c:pt>
                <c:pt idx="44">
                  <c:v>9500</c:v>
                </c:pt>
                <c:pt idx="45">
                  <c:v>10000</c:v>
                </c:pt>
                <c:pt idx="46">
                  <c:v>10500</c:v>
                </c:pt>
                <c:pt idx="47">
                  <c:v>11000</c:v>
                </c:pt>
                <c:pt idx="48">
                  <c:v>11500</c:v>
                </c:pt>
                <c:pt idx="49">
                  <c:v>12000</c:v>
                </c:pt>
                <c:pt idx="50">
                  <c:v>12500</c:v>
                </c:pt>
                <c:pt idx="51">
                  <c:v>13000</c:v>
                </c:pt>
                <c:pt idx="52">
                  <c:v>13500</c:v>
                </c:pt>
                <c:pt idx="53">
                  <c:v>14000</c:v>
                </c:pt>
                <c:pt idx="54">
                  <c:v>14500</c:v>
                </c:pt>
                <c:pt idx="55">
                  <c:v>15000</c:v>
                </c:pt>
                <c:pt idx="56">
                  <c:v>15500</c:v>
                </c:pt>
                <c:pt idx="57">
                  <c:v>16000</c:v>
                </c:pt>
                <c:pt idx="58">
                  <c:v>16500</c:v>
                </c:pt>
                <c:pt idx="59">
                  <c:v>17000</c:v>
                </c:pt>
                <c:pt idx="60">
                  <c:v>17500</c:v>
                </c:pt>
                <c:pt idx="61">
                  <c:v>18000</c:v>
                </c:pt>
                <c:pt idx="62">
                  <c:v>18500</c:v>
                </c:pt>
                <c:pt idx="63">
                  <c:v>19000</c:v>
                </c:pt>
                <c:pt idx="64">
                  <c:v>19500</c:v>
                </c:pt>
                <c:pt idx="65">
                  <c:v>20000</c:v>
                </c:pt>
                <c:pt idx="66">
                  <c:v>20500</c:v>
                </c:pt>
                <c:pt idx="67">
                  <c:v>21000</c:v>
                </c:pt>
                <c:pt idx="68">
                  <c:v>21500</c:v>
                </c:pt>
                <c:pt idx="69">
                  <c:v>22000</c:v>
                </c:pt>
                <c:pt idx="70">
                  <c:v>22500</c:v>
                </c:pt>
                <c:pt idx="71">
                  <c:v>23000</c:v>
                </c:pt>
                <c:pt idx="72">
                  <c:v>23500</c:v>
                </c:pt>
                <c:pt idx="73">
                  <c:v>24000</c:v>
                </c:pt>
                <c:pt idx="74">
                  <c:v>24500</c:v>
                </c:pt>
                <c:pt idx="75">
                  <c:v>25000</c:v>
                </c:pt>
                <c:pt idx="76">
                  <c:v>25500</c:v>
                </c:pt>
                <c:pt idx="77">
                  <c:v>26000</c:v>
                </c:pt>
                <c:pt idx="78">
                  <c:v>26500</c:v>
                </c:pt>
                <c:pt idx="79">
                  <c:v>27000</c:v>
                </c:pt>
                <c:pt idx="80">
                  <c:v>27500</c:v>
                </c:pt>
                <c:pt idx="81">
                  <c:v>28000</c:v>
                </c:pt>
                <c:pt idx="82">
                  <c:v>28500</c:v>
                </c:pt>
                <c:pt idx="83">
                  <c:v>29000</c:v>
                </c:pt>
                <c:pt idx="84">
                  <c:v>29500</c:v>
                </c:pt>
                <c:pt idx="85">
                  <c:v>30000</c:v>
                </c:pt>
                <c:pt idx="86">
                  <c:v>30500</c:v>
                </c:pt>
                <c:pt idx="87">
                  <c:v>31000</c:v>
                </c:pt>
                <c:pt idx="88">
                  <c:v>31500</c:v>
                </c:pt>
                <c:pt idx="89">
                  <c:v>32000</c:v>
                </c:pt>
                <c:pt idx="90">
                  <c:v>32500</c:v>
                </c:pt>
                <c:pt idx="91">
                  <c:v>33000</c:v>
                </c:pt>
                <c:pt idx="92">
                  <c:v>33500</c:v>
                </c:pt>
                <c:pt idx="93">
                  <c:v>34000</c:v>
                </c:pt>
                <c:pt idx="94">
                  <c:v>34500</c:v>
                </c:pt>
                <c:pt idx="95">
                  <c:v>35000</c:v>
                </c:pt>
                <c:pt idx="96">
                  <c:v>35500</c:v>
                </c:pt>
                <c:pt idx="97">
                  <c:v>36000</c:v>
                </c:pt>
                <c:pt idx="98">
                  <c:v>36500</c:v>
                </c:pt>
                <c:pt idx="99">
                  <c:v>37000</c:v>
                </c:pt>
                <c:pt idx="100">
                  <c:v>37500</c:v>
                </c:pt>
                <c:pt idx="101">
                  <c:v>38000</c:v>
                </c:pt>
                <c:pt idx="102">
                  <c:v>38500</c:v>
                </c:pt>
                <c:pt idx="103">
                  <c:v>39000</c:v>
                </c:pt>
                <c:pt idx="104">
                  <c:v>39500</c:v>
                </c:pt>
                <c:pt idx="105">
                  <c:v>40000</c:v>
                </c:pt>
                <c:pt idx="106">
                  <c:v>40500</c:v>
                </c:pt>
                <c:pt idx="107">
                  <c:v>41000</c:v>
                </c:pt>
                <c:pt idx="108">
                  <c:v>41500</c:v>
                </c:pt>
                <c:pt idx="109">
                  <c:v>42000</c:v>
                </c:pt>
                <c:pt idx="110">
                  <c:v>42500</c:v>
                </c:pt>
                <c:pt idx="111">
                  <c:v>43000</c:v>
                </c:pt>
                <c:pt idx="112">
                  <c:v>43500</c:v>
                </c:pt>
                <c:pt idx="113">
                  <c:v>44000</c:v>
                </c:pt>
                <c:pt idx="114">
                  <c:v>44500</c:v>
                </c:pt>
                <c:pt idx="115">
                  <c:v>45000</c:v>
                </c:pt>
                <c:pt idx="116">
                  <c:v>45500</c:v>
                </c:pt>
                <c:pt idx="117">
                  <c:v>46000</c:v>
                </c:pt>
                <c:pt idx="118">
                  <c:v>46500</c:v>
                </c:pt>
                <c:pt idx="119">
                  <c:v>47000</c:v>
                </c:pt>
                <c:pt idx="120">
                  <c:v>47500</c:v>
                </c:pt>
                <c:pt idx="121">
                  <c:v>48000</c:v>
                </c:pt>
                <c:pt idx="122">
                  <c:v>48500</c:v>
                </c:pt>
                <c:pt idx="123">
                  <c:v>49000</c:v>
                </c:pt>
                <c:pt idx="124">
                  <c:v>49500</c:v>
                </c:pt>
                <c:pt idx="125">
                  <c:v>50000</c:v>
                </c:pt>
                <c:pt idx="126">
                  <c:v>50500</c:v>
                </c:pt>
                <c:pt idx="127">
                  <c:v>51000</c:v>
                </c:pt>
                <c:pt idx="128">
                  <c:v>51500</c:v>
                </c:pt>
                <c:pt idx="129">
                  <c:v>52000</c:v>
                </c:pt>
                <c:pt idx="130">
                  <c:v>52500</c:v>
                </c:pt>
                <c:pt idx="131">
                  <c:v>53000</c:v>
                </c:pt>
                <c:pt idx="132">
                  <c:v>53500</c:v>
                </c:pt>
                <c:pt idx="133">
                  <c:v>54000</c:v>
                </c:pt>
                <c:pt idx="134">
                  <c:v>54500</c:v>
                </c:pt>
                <c:pt idx="135">
                  <c:v>55000</c:v>
                </c:pt>
                <c:pt idx="136">
                  <c:v>55500</c:v>
                </c:pt>
                <c:pt idx="137">
                  <c:v>56000</c:v>
                </c:pt>
                <c:pt idx="138">
                  <c:v>56500</c:v>
                </c:pt>
                <c:pt idx="139">
                  <c:v>57000</c:v>
                </c:pt>
                <c:pt idx="140">
                  <c:v>57500</c:v>
                </c:pt>
                <c:pt idx="141">
                  <c:v>58000</c:v>
                </c:pt>
                <c:pt idx="142">
                  <c:v>58500</c:v>
                </c:pt>
                <c:pt idx="143">
                  <c:v>59000</c:v>
                </c:pt>
                <c:pt idx="144">
                  <c:v>59500</c:v>
                </c:pt>
                <c:pt idx="145">
                  <c:v>60000</c:v>
                </c:pt>
                <c:pt idx="146">
                  <c:v>60500</c:v>
                </c:pt>
                <c:pt idx="147">
                  <c:v>61000</c:v>
                </c:pt>
                <c:pt idx="148">
                  <c:v>61500</c:v>
                </c:pt>
                <c:pt idx="149">
                  <c:v>62000</c:v>
                </c:pt>
                <c:pt idx="150">
                  <c:v>62500</c:v>
                </c:pt>
                <c:pt idx="151">
                  <c:v>63000</c:v>
                </c:pt>
                <c:pt idx="152">
                  <c:v>63500</c:v>
                </c:pt>
                <c:pt idx="153">
                  <c:v>64000</c:v>
                </c:pt>
                <c:pt idx="154">
                  <c:v>64500</c:v>
                </c:pt>
                <c:pt idx="155">
                  <c:v>65000</c:v>
                </c:pt>
                <c:pt idx="156">
                  <c:v>65500</c:v>
                </c:pt>
                <c:pt idx="157">
                  <c:v>66000</c:v>
                </c:pt>
                <c:pt idx="158">
                  <c:v>66500</c:v>
                </c:pt>
                <c:pt idx="159">
                  <c:v>67000</c:v>
                </c:pt>
                <c:pt idx="160">
                  <c:v>67500</c:v>
                </c:pt>
                <c:pt idx="161">
                  <c:v>68000</c:v>
                </c:pt>
                <c:pt idx="162">
                  <c:v>68500</c:v>
                </c:pt>
                <c:pt idx="163">
                  <c:v>69000</c:v>
                </c:pt>
                <c:pt idx="164">
                  <c:v>69500</c:v>
                </c:pt>
                <c:pt idx="165">
                  <c:v>70000</c:v>
                </c:pt>
                <c:pt idx="166">
                  <c:v>70500</c:v>
                </c:pt>
                <c:pt idx="167">
                  <c:v>71000</c:v>
                </c:pt>
                <c:pt idx="168">
                  <c:v>71500</c:v>
                </c:pt>
                <c:pt idx="169">
                  <c:v>72000</c:v>
                </c:pt>
                <c:pt idx="170">
                  <c:v>72500</c:v>
                </c:pt>
                <c:pt idx="171">
                  <c:v>73000</c:v>
                </c:pt>
                <c:pt idx="172">
                  <c:v>73500</c:v>
                </c:pt>
                <c:pt idx="173">
                  <c:v>74000</c:v>
                </c:pt>
                <c:pt idx="174">
                  <c:v>74500</c:v>
                </c:pt>
                <c:pt idx="175">
                  <c:v>75000</c:v>
                </c:pt>
                <c:pt idx="176">
                  <c:v>75500</c:v>
                </c:pt>
                <c:pt idx="177">
                  <c:v>76000</c:v>
                </c:pt>
                <c:pt idx="178">
                  <c:v>76500</c:v>
                </c:pt>
                <c:pt idx="179">
                  <c:v>77000</c:v>
                </c:pt>
                <c:pt idx="180">
                  <c:v>77500</c:v>
                </c:pt>
                <c:pt idx="181">
                  <c:v>78000</c:v>
                </c:pt>
                <c:pt idx="182">
                  <c:v>78500</c:v>
                </c:pt>
                <c:pt idx="183">
                  <c:v>79000</c:v>
                </c:pt>
                <c:pt idx="184">
                  <c:v>79500</c:v>
                </c:pt>
                <c:pt idx="185">
                  <c:v>80000</c:v>
                </c:pt>
                <c:pt idx="186">
                  <c:v>80500</c:v>
                </c:pt>
                <c:pt idx="187">
                  <c:v>81000</c:v>
                </c:pt>
                <c:pt idx="188">
                  <c:v>81500</c:v>
                </c:pt>
                <c:pt idx="189">
                  <c:v>82000</c:v>
                </c:pt>
                <c:pt idx="190">
                  <c:v>82500</c:v>
                </c:pt>
                <c:pt idx="191">
                  <c:v>83000</c:v>
                </c:pt>
                <c:pt idx="192">
                  <c:v>83500</c:v>
                </c:pt>
                <c:pt idx="193">
                  <c:v>84000</c:v>
                </c:pt>
                <c:pt idx="194">
                  <c:v>84500</c:v>
                </c:pt>
                <c:pt idx="195">
                  <c:v>85000</c:v>
                </c:pt>
                <c:pt idx="196">
                  <c:v>85500</c:v>
                </c:pt>
                <c:pt idx="197">
                  <c:v>86000</c:v>
                </c:pt>
                <c:pt idx="198">
                  <c:v>86500</c:v>
                </c:pt>
                <c:pt idx="199">
                  <c:v>87000</c:v>
                </c:pt>
                <c:pt idx="200">
                  <c:v>87500</c:v>
                </c:pt>
                <c:pt idx="201">
                  <c:v>88000</c:v>
                </c:pt>
                <c:pt idx="202">
                  <c:v>88500</c:v>
                </c:pt>
                <c:pt idx="203">
                  <c:v>89000</c:v>
                </c:pt>
                <c:pt idx="204">
                  <c:v>89500</c:v>
                </c:pt>
                <c:pt idx="205">
                  <c:v>90000</c:v>
                </c:pt>
                <c:pt idx="206">
                  <c:v>90500</c:v>
                </c:pt>
                <c:pt idx="207">
                  <c:v>91000</c:v>
                </c:pt>
                <c:pt idx="208">
                  <c:v>91500</c:v>
                </c:pt>
                <c:pt idx="209">
                  <c:v>92000</c:v>
                </c:pt>
                <c:pt idx="210">
                  <c:v>92500</c:v>
                </c:pt>
                <c:pt idx="211">
                  <c:v>93000</c:v>
                </c:pt>
                <c:pt idx="212">
                  <c:v>93500</c:v>
                </c:pt>
                <c:pt idx="213">
                  <c:v>94000</c:v>
                </c:pt>
                <c:pt idx="214">
                  <c:v>94500</c:v>
                </c:pt>
                <c:pt idx="215">
                  <c:v>95000</c:v>
                </c:pt>
                <c:pt idx="216">
                  <c:v>95500</c:v>
                </c:pt>
                <c:pt idx="217">
                  <c:v>96000</c:v>
                </c:pt>
                <c:pt idx="218">
                  <c:v>96500</c:v>
                </c:pt>
                <c:pt idx="219">
                  <c:v>97000</c:v>
                </c:pt>
                <c:pt idx="220">
                  <c:v>97500</c:v>
                </c:pt>
                <c:pt idx="221">
                  <c:v>98000</c:v>
                </c:pt>
                <c:pt idx="222">
                  <c:v>98500</c:v>
                </c:pt>
                <c:pt idx="223">
                  <c:v>99000</c:v>
                </c:pt>
                <c:pt idx="224">
                  <c:v>99500</c:v>
                </c:pt>
                <c:pt idx="225">
                  <c:v>100000</c:v>
                </c:pt>
                <c:pt idx="226">
                  <c:v>105000</c:v>
                </c:pt>
                <c:pt idx="227">
                  <c:v>110000</c:v>
                </c:pt>
                <c:pt idx="228">
                  <c:v>115000</c:v>
                </c:pt>
                <c:pt idx="229">
                  <c:v>120000</c:v>
                </c:pt>
                <c:pt idx="230">
                  <c:v>125000</c:v>
                </c:pt>
                <c:pt idx="231">
                  <c:v>130000</c:v>
                </c:pt>
                <c:pt idx="232">
                  <c:v>135000</c:v>
                </c:pt>
                <c:pt idx="233">
                  <c:v>140000</c:v>
                </c:pt>
                <c:pt idx="234">
                  <c:v>145000</c:v>
                </c:pt>
                <c:pt idx="235">
                  <c:v>150000</c:v>
                </c:pt>
                <c:pt idx="236">
                  <c:v>155000</c:v>
                </c:pt>
                <c:pt idx="237">
                  <c:v>160000</c:v>
                </c:pt>
                <c:pt idx="238">
                  <c:v>165000</c:v>
                </c:pt>
                <c:pt idx="239">
                  <c:v>170000</c:v>
                </c:pt>
                <c:pt idx="240">
                  <c:v>175000</c:v>
                </c:pt>
                <c:pt idx="241">
                  <c:v>180000</c:v>
                </c:pt>
                <c:pt idx="242">
                  <c:v>185000</c:v>
                </c:pt>
                <c:pt idx="243">
                  <c:v>190000</c:v>
                </c:pt>
                <c:pt idx="244">
                  <c:v>195000</c:v>
                </c:pt>
                <c:pt idx="245">
                  <c:v>200000</c:v>
                </c:pt>
                <c:pt idx="246">
                  <c:v>205000</c:v>
                </c:pt>
                <c:pt idx="247">
                  <c:v>210000</c:v>
                </c:pt>
                <c:pt idx="248">
                  <c:v>215000</c:v>
                </c:pt>
                <c:pt idx="249">
                  <c:v>220000</c:v>
                </c:pt>
                <c:pt idx="250">
                  <c:v>225000</c:v>
                </c:pt>
                <c:pt idx="251">
                  <c:v>230000</c:v>
                </c:pt>
                <c:pt idx="252">
                  <c:v>235000</c:v>
                </c:pt>
                <c:pt idx="253">
                  <c:v>240000</c:v>
                </c:pt>
                <c:pt idx="254">
                  <c:v>245000</c:v>
                </c:pt>
                <c:pt idx="255">
                  <c:v>250000</c:v>
                </c:pt>
                <c:pt idx="256">
                  <c:v>255000</c:v>
                </c:pt>
                <c:pt idx="257">
                  <c:v>260000</c:v>
                </c:pt>
                <c:pt idx="258">
                  <c:v>265000</c:v>
                </c:pt>
                <c:pt idx="259">
                  <c:v>270000</c:v>
                </c:pt>
                <c:pt idx="260">
                  <c:v>275000</c:v>
                </c:pt>
                <c:pt idx="261">
                  <c:v>280000</c:v>
                </c:pt>
                <c:pt idx="262">
                  <c:v>285000</c:v>
                </c:pt>
                <c:pt idx="263">
                  <c:v>290000</c:v>
                </c:pt>
                <c:pt idx="264">
                  <c:v>295000</c:v>
                </c:pt>
                <c:pt idx="265">
                  <c:v>300000</c:v>
                </c:pt>
                <c:pt idx="266">
                  <c:v>305000</c:v>
                </c:pt>
                <c:pt idx="267">
                  <c:v>310000</c:v>
                </c:pt>
                <c:pt idx="268">
                  <c:v>315000</c:v>
                </c:pt>
                <c:pt idx="269">
                  <c:v>320000</c:v>
                </c:pt>
                <c:pt idx="270">
                  <c:v>325000</c:v>
                </c:pt>
                <c:pt idx="271">
                  <c:v>330000</c:v>
                </c:pt>
                <c:pt idx="272">
                  <c:v>335000</c:v>
                </c:pt>
                <c:pt idx="273">
                  <c:v>340000</c:v>
                </c:pt>
                <c:pt idx="274">
                  <c:v>345000</c:v>
                </c:pt>
                <c:pt idx="275">
                  <c:v>350000</c:v>
                </c:pt>
                <c:pt idx="276">
                  <c:v>355000</c:v>
                </c:pt>
                <c:pt idx="277">
                  <c:v>360000</c:v>
                </c:pt>
                <c:pt idx="278">
                  <c:v>365000</c:v>
                </c:pt>
                <c:pt idx="279">
                  <c:v>370000</c:v>
                </c:pt>
                <c:pt idx="280">
                  <c:v>375000</c:v>
                </c:pt>
                <c:pt idx="281">
                  <c:v>380000</c:v>
                </c:pt>
                <c:pt idx="282">
                  <c:v>385000</c:v>
                </c:pt>
                <c:pt idx="283">
                  <c:v>390000</c:v>
                </c:pt>
                <c:pt idx="284">
                  <c:v>395000</c:v>
                </c:pt>
                <c:pt idx="285">
                  <c:v>400000</c:v>
                </c:pt>
                <c:pt idx="286">
                  <c:v>405000</c:v>
                </c:pt>
                <c:pt idx="287">
                  <c:v>410000</c:v>
                </c:pt>
                <c:pt idx="288">
                  <c:v>415000</c:v>
                </c:pt>
                <c:pt idx="289">
                  <c:v>420000</c:v>
                </c:pt>
                <c:pt idx="290">
                  <c:v>425000</c:v>
                </c:pt>
                <c:pt idx="291">
                  <c:v>430000</c:v>
                </c:pt>
                <c:pt idx="292">
                  <c:v>435000</c:v>
                </c:pt>
                <c:pt idx="293">
                  <c:v>440000</c:v>
                </c:pt>
                <c:pt idx="294">
                  <c:v>445000</c:v>
                </c:pt>
                <c:pt idx="295">
                  <c:v>450000</c:v>
                </c:pt>
                <c:pt idx="296">
                  <c:v>455000</c:v>
                </c:pt>
                <c:pt idx="297">
                  <c:v>460000</c:v>
                </c:pt>
                <c:pt idx="298">
                  <c:v>465000</c:v>
                </c:pt>
                <c:pt idx="299">
                  <c:v>470000</c:v>
                </c:pt>
                <c:pt idx="300">
                  <c:v>475000</c:v>
                </c:pt>
                <c:pt idx="301">
                  <c:v>480000</c:v>
                </c:pt>
                <c:pt idx="302">
                  <c:v>485000</c:v>
                </c:pt>
                <c:pt idx="303">
                  <c:v>490000</c:v>
                </c:pt>
                <c:pt idx="304">
                  <c:v>495000</c:v>
                </c:pt>
                <c:pt idx="305">
                  <c:v>500000</c:v>
                </c:pt>
                <c:pt idx="306">
                  <c:v>505000</c:v>
                </c:pt>
                <c:pt idx="307">
                  <c:v>510000</c:v>
                </c:pt>
                <c:pt idx="308">
                  <c:v>515000</c:v>
                </c:pt>
                <c:pt idx="309">
                  <c:v>520000</c:v>
                </c:pt>
                <c:pt idx="310">
                  <c:v>525000</c:v>
                </c:pt>
                <c:pt idx="311">
                  <c:v>530000</c:v>
                </c:pt>
                <c:pt idx="312">
                  <c:v>535000</c:v>
                </c:pt>
                <c:pt idx="313">
                  <c:v>540000</c:v>
                </c:pt>
                <c:pt idx="314">
                  <c:v>545000</c:v>
                </c:pt>
                <c:pt idx="315">
                  <c:v>550000</c:v>
                </c:pt>
                <c:pt idx="316">
                  <c:v>555000</c:v>
                </c:pt>
                <c:pt idx="317">
                  <c:v>560000</c:v>
                </c:pt>
                <c:pt idx="318">
                  <c:v>565000</c:v>
                </c:pt>
                <c:pt idx="319">
                  <c:v>570000</c:v>
                </c:pt>
                <c:pt idx="320">
                  <c:v>575000</c:v>
                </c:pt>
                <c:pt idx="321">
                  <c:v>580000</c:v>
                </c:pt>
                <c:pt idx="322">
                  <c:v>585000</c:v>
                </c:pt>
                <c:pt idx="323">
                  <c:v>590000</c:v>
                </c:pt>
                <c:pt idx="324">
                  <c:v>595000</c:v>
                </c:pt>
                <c:pt idx="325">
                  <c:v>600000</c:v>
                </c:pt>
                <c:pt idx="326">
                  <c:v>605000</c:v>
                </c:pt>
                <c:pt idx="327">
                  <c:v>610000</c:v>
                </c:pt>
                <c:pt idx="328">
                  <c:v>615000</c:v>
                </c:pt>
                <c:pt idx="329">
                  <c:v>620000</c:v>
                </c:pt>
                <c:pt idx="330">
                  <c:v>625000</c:v>
                </c:pt>
                <c:pt idx="331">
                  <c:v>630000</c:v>
                </c:pt>
                <c:pt idx="332">
                  <c:v>635000</c:v>
                </c:pt>
                <c:pt idx="333">
                  <c:v>640000</c:v>
                </c:pt>
                <c:pt idx="334">
                  <c:v>645000</c:v>
                </c:pt>
                <c:pt idx="335">
                  <c:v>650000</c:v>
                </c:pt>
                <c:pt idx="336">
                  <c:v>655000</c:v>
                </c:pt>
                <c:pt idx="337">
                  <c:v>660000</c:v>
                </c:pt>
                <c:pt idx="338">
                  <c:v>665000</c:v>
                </c:pt>
                <c:pt idx="339">
                  <c:v>670000</c:v>
                </c:pt>
                <c:pt idx="340">
                  <c:v>675000</c:v>
                </c:pt>
                <c:pt idx="341">
                  <c:v>680000</c:v>
                </c:pt>
                <c:pt idx="342">
                  <c:v>685000</c:v>
                </c:pt>
                <c:pt idx="343">
                  <c:v>690000</c:v>
                </c:pt>
                <c:pt idx="344">
                  <c:v>695000</c:v>
                </c:pt>
                <c:pt idx="345">
                  <c:v>700000</c:v>
                </c:pt>
                <c:pt idx="346">
                  <c:v>705000</c:v>
                </c:pt>
                <c:pt idx="347">
                  <c:v>710000</c:v>
                </c:pt>
                <c:pt idx="348">
                  <c:v>715000</c:v>
                </c:pt>
                <c:pt idx="349">
                  <c:v>720000</c:v>
                </c:pt>
                <c:pt idx="350">
                  <c:v>725000</c:v>
                </c:pt>
                <c:pt idx="351">
                  <c:v>730000</c:v>
                </c:pt>
                <c:pt idx="352">
                  <c:v>735000</c:v>
                </c:pt>
                <c:pt idx="353">
                  <c:v>740000</c:v>
                </c:pt>
                <c:pt idx="354">
                  <c:v>745000</c:v>
                </c:pt>
                <c:pt idx="355">
                  <c:v>750000</c:v>
                </c:pt>
                <c:pt idx="356">
                  <c:v>755000</c:v>
                </c:pt>
                <c:pt idx="357">
                  <c:v>760000</c:v>
                </c:pt>
                <c:pt idx="358">
                  <c:v>765000</c:v>
                </c:pt>
                <c:pt idx="359">
                  <c:v>770000</c:v>
                </c:pt>
                <c:pt idx="360">
                  <c:v>775000</c:v>
                </c:pt>
                <c:pt idx="361">
                  <c:v>780000</c:v>
                </c:pt>
                <c:pt idx="362">
                  <c:v>785000</c:v>
                </c:pt>
                <c:pt idx="363">
                  <c:v>790000</c:v>
                </c:pt>
                <c:pt idx="364">
                  <c:v>795000</c:v>
                </c:pt>
                <c:pt idx="365">
                  <c:v>800000</c:v>
                </c:pt>
                <c:pt idx="366">
                  <c:v>805000</c:v>
                </c:pt>
                <c:pt idx="367">
                  <c:v>810000</c:v>
                </c:pt>
                <c:pt idx="368">
                  <c:v>815000</c:v>
                </c:pt>
                <c:pt idx="369">
                  <c:v>820000</c:v>
                </c:pt>
                <c:pt idx="370">
                  <c:v>825000</c:v>
                </c:pt>
                <c:pt idx="371">
                  <c:v>830000</c:v>
                </c:pt>
                <c:pt idx="372">
                  <c:v>835000</c:v>
                </c:pt>
                <c:pt idx="373">
                  <c:v>840000</c:v>
                </c:pt>
                <c:pt idx="374">
                  <c:v>845000</c:v>
                </c:pt>
                <c:pt idx="375">
                  <c:v>850000</c:v>
                </c:pt>
                <c:pt idx="376">
                  <c:v>855000</c:v>
                </c:pt>
                <c:pt idx="377">
                  <c:v>860000</c:v>
                </c:pt>
                <c:pt idx="378">
                  <c:v>865000</c:v>
                </c:pt>
                <c:pt idx="379">
                  <c:v>870000</c:v>
                </c:pt>
                <c:pt idx="380">
                  <c:v>875000</c:v>
                </c:pt>
                <c:pt idx="381">
                  <c:v>880000</c:v>
                </c:pt>
                <c:pt idx="382">
                  <c:v>885000</c:v>
                </c:pt>
                <c:pt idx="383">
                  <c:v>890000</c:v>
                </c:pt>
                <c:pt idx="384">
                  <c:v>895000</c:v>
                </c:pt>
                <c:pt idx="385">
                  <c:v>900000</c:v>
                </c:pt>
                <c:pt idx="386">
                  <c:v>905000</c:v>
                </c:pt>
                <c:pt idx="387">
                  <c:v>910000</c:v>
                </c:pt>
                <c:pt idx="388">
                  <c:v>915000</c:v>
                </c:pt>
                <c:pt idx="389">
                  <c:v>920000</c:v>
                </c:pt>
                <c:pt idx="390">
                  <c:v>925000</c:v>
                </c:pt>
                <c:pt idx="391">
                  <c:v>930000</c:v>
                </c:pt>
                <c:pt idx="392">
                  <c:v>935000</c:v>
                </c:pt>
                <c:pt idx="393">
                  <c:v>940000</c:v>
                </c:pt>
                <c:pt idx="394">
                  <c:v>945000</c:v>
                </c:pt>
                <c:pt idx="395">
                  <c:v>950000</c:v>
                </c:pt>
                <c:pt idx="396">
                  <c:v>955000</c:v>
                </c:pt>
                <c:pt idx="397">
                  <c:v>960000</c:v>
                </c:pt>
                <c:pt idx="398">
                  <c:v>965000</c:v>
                </c:pt>
                <c:pt idx="399">
                  <c:v>970000</c:v>
                </c:pt>
                <c:pt idx="400">
                  <c:v>975000</c:v>
                </c:pt>
                <c:pt idx="401">
                  <c:v>980000</c:v>
                </c:pt>
                <c:pt idx="402">
                  <c:v>985000</c:v>
                </c:pt>
                <c:pt idx="403">
                  <c:v>990000</c:v>
                </c:pt>
                <c:pt idx="404">
                  <c:v>995000</c:v>
                </c:pt>
                <c:pt idx="405">
                  <c:v>1000000</c:v>
                </c:pt>
                <c:pt idx="406">
                  <c:v>1005000</c:v>
                </c:pt>
                <c:pt idx="407">
                  <c:v>1010000</c:v>
                </c:pt>
                <c:pt idx="408">
                  <c:v>1015000</c:v>
                </c:pt>
                <c:pt idx="409">
                  <c:v>1020000</c:v>
                </c:pt>
                <c:pt idx="410">
                  <c:v>1025000</c:v>
                </c:pt>
                <c:pt idx="411">
                  <c:v>1030000</c:v>
                </c:pt>
                <c:pt idx="412">
                  <c:v>1035000</c:v>
                </c:pt>
                <c:pt idx="413">
                  <c:v>1040000</c:v>
                </c:pt>
                <c:pt idx="414">
                  <c:v>1045000</c:v>
                </c:pt>
                <c:pt idx="415">
                  <c:v>1050000</c:v>
                </c:pt>
                <c:pt idx="416">
                  <c:v>1055000</c:v>
                </c:pt>
                <c:pt idx="417">
                  <c:v>1060000</c:v>
                </c:pt>
                <c:pt idx="418">
                  <c:v>1065000</c:v>
                </c:pt>
                <c:pt idx="419">
                  <c:v>1070000</c:v>
                </c:pt>
                <c:pt idx="420">
                  <c:v>1075000</c:v>
                </c:pt>
                <c:pt idx="421">
                  <c:v>1080000</c:v>
                </c:pt>
                <c:pt idx="422">
                  <c:v>1085000</c:v>
                </c:pt>
                <c:pt idx="423">
                  <c:v>1090000</c:v>
                </c:pt>
                <c:pt idx="424">
                  <c:v>1095000</c:v>
                </c:pt>
                <c:pt idx="425">
                  <c:v>1100000</c:v>
                </c:pt>
                <c:pt idx="426">
                  <c:v>1105000</c:v>
                </c:pt>
                <c:pt idx="427">
                  <c:v>1110000</c:v>
                </c:pt>
                <c:pt idx="428">
                  <c:v>1115000</c:v>
                </c:pt>
                <c:pt idx="429">
                  <c:v>1120000</c:v>
                </c:pt>
                <c:pt idx="430">
                  <c:v>1125000</c:v>
                </c:pt>
                <c:pt idx="431">
                  <c:v>1130000</c:v>
                </c:pt>
                <c:pt idx="432">
                  <c:v>1135000</c:v>
                </c:pt>
                <c:pt idx="433">
                  <c:v>1140000</c:v>
                </c:pt>
                <c:pt idx="434">
                  <c:v>1145000</c:v>
                </c:pt>
                <c:pt idx="435">
                  <c:v>1150000</c:v>
                </c:pt>
                <c:pt idx="436">
                  <c:v>1155000</c:v>
                </c:pt>
                <c:pt idx="437">
                  <c:v>1160000</c:v>
                </c:pt>
                <c:pt idx="438">
                  <c:v>1165000</c:v>
                </c:pt>
                <c:pt idx="439">
                  <c:v>1170000</c:v>
                </c:pt>
                <c:pt idx="440">
                  <c:v>1175000</c:v>
                </c:pt>
                <c:pt idx="441">
                  <c:v>1180000</c:v>
                </c:pt>
                <c:pt idx="442">
                  <c:v>1185000</c:v>
                </c:pt>
                <c:pt idx="443">
                  <c:v>1190000</c:v>
                </c:pt>
                <c:pt idx="444">
                  <c:v>1195000</c:v>
                </c:pt>
                <c:pt idx="445">
                  <c:v>1200000</c:v>
                </c:pt>
                <c:pt idx="446">
                  <c:v>1205000</c:v>
                </c:pt>
                <c:pt idx="447">
                  <c:v>1210000</c:v>
                </c:pt>
                <c:pt idx="448">
                  <c:v>1215000</c:v>
                </c:pt>
                <c:pt idx="449">
                  <c:v>1220000</c:v>
                </c:pt>
                <c:pt idx="450">
                  <c:v>1225000</c:v>
                </c:pt>
                <c:pt idx="451">
                  <c:v>1230000</c:v>
                </c:pt>
                <c:pt idx="452">
                  <c:v>1235000</c:v>
                </c:pt>
                <c:pt idx="453">
                  <c:v>1240000</c:v>
                </c:pt>
                <c:pt idx="454">
                  <c:v>1245000</c:v>
                </c:pt>
                <c:pt idx="455">
                  <c:v>1250000</c:v>
                </c:pt>
                <c:pt idx="456">
                  <c:v>1255000</c:v>
                </c:pt>
                <c:pt idx="457">
                  <c:v>1260000</c:v>
                </c:pt>
                <c:pt idx="458">
                  <c:v>1265000</c:v>
                </c:pt>
                <c:pt idx="459">
                  <c:v>1270000</c:v>
                </c:pt>
                <c:pt idx="460">
                  <c:v>1275000</c:v>
                </c:pt>
                <c:pt idx="461">
                  <c:v>1280000</c:v>
                </c:pt>
                <c:pt idx="462">
                  <c:v>1285000</c:v>
                </c:pt>
                <c:pt idx="463">
                  <c:v>1290000</c:v>
                </c:pt>
                <c:pt idx="464">
                  <c:v>1295000</c:v>
                </c:pt>
                <c:pt idx="465">
                  <c:v>1300000</c:v>
                </c:pt>
                <c:pt idx="466">
                  <c:v>1305000</c:v>
                </c:pt>
                <c:pt idx="467">
                  <c:v>1310000</c:v>
                </c:pt>
                <c:pt idx="468">
                  <c:v>1315000</c:v>
                </c:pt>
                <c:pt idx="469">
                  <c:v>1320000</c:v>
                </c:pt>
                <c:pt idx="470">
                  <c:v>1325000</c:v>
                </c:pt>
                <c:pt idx="471">
                  <c:v>1330000</c:v>
                </c:pt>
                <c:pt idx="472">
                  <c:v>1335000</c:v>
                </c:pt>
                <c:pt idx="473">
                  <c:v>1340000</c:v>
                </c:pt>
                <c:pt idx="474">
                  <c:v>1345000</c:v>
                </c:pt>
                <c:pt idx="475">
                  <c:v>1350000</c:v>
                </c:pt>
                <c:pt idx="476">
                  <c:v>1355000</c:v>
                </c:pt>
                <c:pt idx="477">
                  <c:v>1360000</c:v>
                </c:pt>
                <c:pt idx="478">
                  <c:v>1365000</c:v>
                </c:pt>
                <c:pt idx="479">
                  <c:v>1370000</c:v>
                </c:pt>
                <c:pt idx="480">
                  <c:v>1375000</c:v>
                </c:pt>
                <c:pt idx="481">
                  <c:v>1380000</c:v>
                </c:pt>
                <c:pt idx="482">
                  <c:v>1385000</c:v>
                </c:pt>
                <c:pt idx="483">
                  <c:v>1390000</c:v>
                </c:pt>
                <c:pt idx="484">
                  <c:v>1395000</c:v>
                </c:pt>
                <c:pt idx="485">
                  <c:v>1400000</c:v>
                </c:pt>
                <c:pt idx="486">
                  <c:v>1405000</c:v>
                </c:pt>
                <c:pt idx="487">
                  <c:v>1410000</c:v>
                </c:pt>
                <c:pt idx="488">
                  <c:v>1415000</c:v>
                </c:pt>
                <c:pt idx="489">
                  <c:v>1420000</c:v>
                </c:pt>
                <c:pt idx="490">
                  <c:v>1425000</c:v>
                </c:pt>
                <c:pt idx="491">
                  <c:v>1430000</c:v>
                </c:pt>
                <c:pt idx="492">
                  <c:v>1435000</c:v>
                </c:pt>
                <c:pt idx="493">
                  <c:v>1440000</c:v>
                </c:pt>
                <c:pt idx="494">
                  <c:v>1445000</c:v>
                </c:pt>
                <c:pt idx="495">
                  <c:v>1450000</c:v>
                </c:pt>
                <c:pt idx="496">
                  <c:v>1455000</c:v>
                </c:pt>
                <c:pt idx="497">
                  <c:v>1460000</c:v>
                </c:pt>
                <c:pt idx="498">
                  <c:v>1465000</c:v>
                </c:pt>
                <c:pt idx="499">
                  <c:v>1470000</c:v>
                </c:pt>
                <c:pt idx="500">
                  <c:v>1475000</c:v>
                </c:pt>
                <c:pt idx="501">
                  <c:v>1480000</c:v>
                </c:pt>
                <c:pt idx="502">
                  <c:v>1485000</c:v>
                </c:pt>
                <c:pt idx="503">
                  <c:v>1490000</c:v>
                </c:pt>
                <c:pt idx="504">
                  <c:v>1495000</c:v>
                </c:pt>
                <c:pt idx="505">
                  <c:v>1500000</c:v>
                </c:pt>
                <c:pt idx="506">
                  <c:v>1505000</c:v>
                </c:pt>
                <c:pt idx="507">
                  <c:v>1510000</c:v>
                </c:pt>
                <c:pt idx="508">
                  <c:v>1515000</c:v>
                </c:pt>
                <c:pt idx="509">
                  <c:v>1520000</c:v>
                </c:pt>
                <c:pt idx="510">
                  <c:v>1525000</c:v>
                </c:pt>
                <c:pt idx="511">
                  <c:v>1530000</c:v>
                </c:pt>
                <c:pt idx="512">
                  <c:v>1535000</c:v>
                </c:pt>
                <c:pt idx="513">
                  <c:v>1540000</c:v>
                </c:pt>
                <c:pt idx="514">
                  <c:v>1545000</c:v>
                </c:pt>
                <c:pt idx="515">
                  <c:v>1550000</c:v>
                </c:pt>
                <c:pt idx="516">
                  <c:v>1555000</c:v>
                </c:pt>
                <c:pt idx="517">
                  <c:v>1560000</c:v>
                </c:pt>
                <c:pt idx="518">
                  <c:v>1565000</c:v>
                </c:pt>
                <c:pt idx="519">
                  <c:v>1570000</c:v>
                </c:pt>
                <c:pt idx="520">
                  <c:v>1575000</c:v>
                </c:pt>
                <c:pt idx="521">
                  <c:v>1580000</c:v>
                </c:pt>
                <c:pt idx="522">
                  <c:v>1585000</c:v>
                </c:pt>
                <c:pt idx="523">
                  <c:v>1590000</c:v>
                </c:pt>
                <c:pt idx="524">
                  <c:v>1595000</c:v>
                </c:pt>
                <c:pt idx="525">
                  <c:v>1600000</c:v>
                </c:pt>
                <c:pt idx="526">
                  <c:v>1605000</c:v>
                </c:pt>
                <c:pt idx="527">
                  <c:v>1610000</c:v>
                </c:pt>
                <c:pt idx="528">
                  <c:v>1615000</c:v>
                </c:pt>
                <c:pt idx="529">
                  <c:v>1620000</c:v>
                </c:pt>
                <c:pt idx="530">
                  <c:v>1625000</c:v>
                </c:pt>
                <c:pt idx="531">
                  <c:v>1630000</c:v>
                </c:pt>
                <c:pt idx="532">
                  <c:v>1635000</c:v>
                </c:pt>
                <c:pt idx="533">
                  <c:v>1640000</c:v>
                </c:pt>
                <c:pt idx="534">
                  <c:v>1645000</c:v>
                </c:pt>
                <c:pt idx="535">
                  <c:v>1650000</c:v>
                </c:pt>
                <c:pt idx="536">
                  <c:v>1655000</c:v>
                </c:pt>
                <c:pt idx="537">
                  <c:v>1660000</c:v>
                </c:pt>
                <c:pt idx="538">
                  <c:v>1665000</c:v>
                </c:pt>
                <c:pt idx="539">
                  <c:v>1670000</c:v>
                </c:pt>
                <c:pt idx="540">
                  <c:v>1675000</c:v>
                </c:pt>
                <c:pt idx="541">
                  <c:v>1680000</c:v>
                </c:pt>
                <c:pt idx="542">
                  <c:v>1685000</c:v>
                </c:pt>
                <c:pt idx="543">
                  <c:v>1690000</c:v>
                </c:pt>
                <c:pt idx="544">
                  <c:v>1695000</c:v>
                </c:pt>
                <c:pt idx="545">
                  <c:v>1700000</c:v>
                </c:pt>
                <c:pt idx="546">
                  <c:v>1705000</c:v>
                </c:pt>
                <c:pt idx="547">
                  <c:v>1710000</c:v>
                </c:pt>
                <c:pt idx="548">
                  <c:v>1715000</c:v>
                </c:pt>
                <c:pt idx="549">
                  <c:v>1720000</c:v>
                </c:pt>
                <c:pt idx="550">
                  <c:v>1725000</c:v>
                </c:pt>
                <c:pt idx="551">
                  <c:v>1730000</c:v>
                </c:pt>
                <c:pt idx="552">
                  <c:v>1735000</c:v>
                </c:pt>
                <c:pt idx="553">
                  <c:v>1740000</c:v>
                </c:pt>
                <c:pt idx="554">
                  <c:v>1745000</c:v>
                </c:pt>
                <c:pt idx="555">
                  <c:v>1750000</c:v>
                </c:pt>
                <c:pt idx="556">
                  <c:v>1755000</c:v>
                </c:pt>
                <c:pt idx="557">
                  <c:v>1760000</c:v>
                </c:pt>
                <c:pt idx="558">
                  <c:v>1765000</c:v>
                </c:pt>
                <c:pt idx="559">
                  <c:v>1770000</c:v>
                </c:pt>
                <c:pt idx="560">
                  <c:v>1775000</c:v>
                </c:pt>
                <c:pt idx="561">
                  <c:v>1780000</c:v>
                </c:pt>
                <c:pt idx="562">
                  <c:v>1785000</c:v>
                </c:pt>
                <c:pt idx="563">
                  <c:v>1790000</c:v>
                </c:pt>
                <c:pt idx="564">
                  <c:v>1795000</c:v>
                </c:pt>
                <c:pt idx="565">
                  <c:v>1800000</c:v>
                </c:pt>
                <c:pt idx="566">
                  <c:v>1805000</c:v>
                </c:pt>
                <c:pt idx="567">
                  <c:v>1810000</c:v>
                </c:pt>
                <c:pt idx="568">
                  <c:v>1815000</c:v>
                </c:pt>
                <c:pt idx="569">
                  <c:v>1820000</c:v>
                </c:pt>
                <c:pt idx="570">
                  <c:v>1825000</c:v>
                </c:pt>
                <c:pt idx="571">
                  <c:v>1830000</c:v>
                </c:pt>
                <c:pt idx="572">
                  <c:v>1835000</c:v>
                </c:pt>
                <c:pt idx="573">
                  <c:v>1840000</c:v>
                </c:pt>
                <c:pt idx="574">
                  <c:v>1845000</c:v>
                </c:pt>
                <c:pt idx="575">
                  <c:v>1850000</c:v>
                </c:pt>
                <c:pt idx="576">
                  <c:v>1855000</c:v>
                </c:pt>
                <c:pt idx="577">
                  <c:v>1860000</c:v>
                </c:pt>
                <c:pt idx="578">
                  <c:v>1865000</c:v>
                </c:pt>
                <c:pt idx="579">
                  <c:v>1870000</c:v>
                </c:pt>
                <c:pt idx="580">
                  <c:v>1875000</c:v>
                </c:pt>
                <c:pt idx="581">
                  <c:v>1880000</c:v>
                </c:pt>
                <c:pt idx="582">
                  <c:v>1885000</c:v>
                </c:pt>
                <c:pt idx="583">
                  <c:v>1890000</c:v>
                </c:pt>
                <c:pt idx="584">
                  <c:v>1895000</c:v>
                </c:pt>
                <c:pt idx="585">
                  <c:v>1900000</c:v>
                </c:pt>
                <c:pt idx="586">
                  <c:v>1905000</c:v>
                </c:pt>
                <c:pt idx="587">
                  <c:v>1910000</c:v>
                </c:pt>
                <c:pt idx="588">
                  <c:v>1915000</c:v>
                </c:pt>
                <c:pt idx="589">
                  <c:v>1920000</c:v>
                </c:pt>
                <c:pt idx="590">
                  <c:v>1925000</c:v>
                </c:pt>
                <c:pt idx="591">
                  <c:v>1930000</c:v>
                </c:pt>
                <c:pt idx="592">
                  <c:v>1935000</c:v>
                </c:pt>
                <c:pt idx="593">
                  <c:v>1940000</c:v>
                </c:pt>
                <c:pt idx="594">
                  <c:v>1945000</c:v>
                </c:pt>
                <c:pt idx="595">
                  <c:v>1950000</c:v>
                </c:pt>
                <c:pt idx="596">
                  <c:v>1955000</c:v>
                </c:pt>
                <c:pt idx="597">
                  <c:v>1960000</c:v>
                </c:pt>
                <c:pt idx="598">
                  <c:v>1965000</c:v>
                </c:pt>
                <c:pt idx="599">
                  <c:v>1970000</c:v>
                </c:pt>
                <c:pt idx="600">
                  <c:v>1975000</c:v>
                </c:pt>
                <c:pt idx="601">
                  <c:v>1980000</c:v>
                </c:pt>
                <c:pt idx="602">
                  <c:v>1985000</c:v>
                </c:pt>
                <c:pt idx="603">
                  <c:v>1990000</c:v>
                </c:pt>
                <c:pt idx="604">
                  <c:v>1995000</c:v>
                </c:pt>
                <c:pt idx="605">
                  <c:v>2000000</c:v>
                </c:pt>
                <c:pt idx="606">
                  <c:v>2250000</c:v>
                </c:pt>
                <c:pt idx="607">
                  <c:v>2500000</c:v>
                </c:pt>
                <c:pt idx="608">
                  <c:v>2750000</c:v>
                </c:pt>
                <c:pt idx="609">
                  <c:v>3000000</c:v>
                </c:pt>
                <c:pt idx="610">
                  <c:v>3250000</c:v>
                </c:pt>
                <c:pt idx="611">
                  <c:v>3500000</c:v>
                </c:pt>
                <c:pt idx="612">
                  <c:v>3750000</c:v>
                </c:pt>
                <c:pt idx="613">
                  <c:v>4000000</c:v>
                </c:pt>
                <c:pt idx="614">
                  <c:v>4250000</c:v>
                </c:pt>
                <c:pt idx="615">
                  <c:v>4500000</c:v>
                </c:pt>
                <c:pt idx="616">
                  <c:v>4750000</c:v>
                </c:pt>
                <c:pt idx="617">
                  <c:v>5000000</c:v>
                </c:pt>
                <c:pt idx="618">
                  <c:v>5100000</c:v>
                </c:pt>
                <c:pt idx="619">
                  <c:v>5200000</c:v>
                </c:pt>
                <c:pt idx="620">
                  <c:v>5300000</c:v>
                </c:pt>
                <c:pt idx="621">
                  <c:v>5400000</c:v>
                </c:pt>
                <c:pt idx="622">
                  <c:v>5500000</c:v>
                </c:pt>
                <c:pt idx="623">
                  <c:v>5600000</c:v>
                </c:pt>
                <c:pt idx="624">
                  <c:v>5700000</c:v>
                </c:pt>
                <c:pt idx="625">
                  <c:v>5800000</c:v>
                </c:pt>
                <c:pt idx="626">
                  <c:v>5900000</c:v>
                </c:pt>
                <c:pt idx="627">
                  <c:v>6000000</c:v>
                </c:pt>
                <c:pt idx="628">
                  <c:v>6100000</c:v>
                </c:pt>
                <c:pt idx="629">
                  <c:v>6200000</c:v>
                </c:pt>
                <c:pt idx="630">
                  <c:v>6300000</c:v>
                </c:pt>
                <c:pt idx="631">
                  <c:v>6400000</c:v>
                </c:pt>
                <c:pt idx="632">
                  <c:v>6500000</c:v>
                </c:pt>
                <c:pt idx="633">
                  <c:v>6600000</c:v>
                </c:pt>
                <c:pt idx="634">
                  <c:v>6700000</c:v>
                </c:pt>
                <c:pt idx="635">
                  <c:v>6800000</c:v>
                </c:pt>
                <c:pt idx="636">
                  <c:v>6900000</c:v>
                </c:pt>
                <c:pt idx="637">
                  <c:v>7000000</c:v>
                </c:pt>
                <c:pt idx="638">
                  <c:v>7100000</c:v>
                </c:pt>
                <c:pt idx="639">
                  <c:v>7200000</c:v>
                </c:pt>
                <c:pt idx="640">
                  <c:v>7300000</c:v>
                </c:pt>
                <c:pt idx="641">
                  <c:v>7400000</c:v>
                </c:pt>
                <c:pt idx="642">
                  <c:v>7500000</c:v>
                </c:pt>
                <c:pt idx="643">
                  <c:v>7600000</c:v>
                </c:pt>
                <c:pt idx="644">
                  <c:v>7700000</c:v>
                </c:pt>
                <c:pt idx="645">
                  <c:v>7800000</c:v>
                </c:pt>
                <c:pt idx="646">
                  <c:v>7900000</c:v>
                </c:pt>
                <c:pt idx="647">
                  <c:v>8000000</c:v>
                </c:pt>
                <c:pt idx="648">
                  <c:v>8100000</c:v>
                </c:pt>
                <c:pt idx="649">
                  <c:v>8200000</c:v>
                </c:pt>
                <c:pt idx="650">
                  <c:v>8300000</c:v>
                </c:pt>
                <c:pt idx="651">
                  <c:v>8400000</c:v>
                </c:pt>
                <c:pt idx="652">
                  <c:v>8500000</c:v>
                </c:pt>
                <c:pt idx="653">
                  <c:v>8600000</c:v>
                </c:pt>
                <c:pt idx="654">
                  <c:v>8700000</c:v>
                </c:pt>
                <c:pt idx="655">
                  <c:v>8800000</c:v>
                </c:pt>
                <c:pt idx="656">
                  <c:v>8900000</c:v>
                </c:pt>
                <c:pt idx="657">
                  <c:v>9000000</c:v>
                </c:pt>
                <c:pt idx="658">
                  <c:v>9100000</c:v>
                </c:pt>
                <c:pt idx="659">
                  <c:v>9200000</c:v>
                </c:pt>
                <c:pt idx="660">
                  <c:v>9300000</c:v>
                </c:pt>
                <c:pt idx="661">
                  <c:v>9400000</c:v>
                </c:pt>
                <c:pt idx="662">
                  <c:v>9500000</c:v>
                </c:pt>
                <c:pt idx="663">
                  <c:v>9600000</c:v>
                </c:pt>
                <c:pt idx="664">
                  <c:v>9700000</c:v>
                </c:pt>
                <c:pt idx="665">
                  <c:v>9800000</c:v>
                </c:pt>
                <c:pt idx="666">
                  <c:v>9900000</c:v>
                </c:pt>
                <c:pt idx="667">
                  <c:v>10000000</c:v>
                </c:pt>
              </c:numCache>
            </c:numRef>
          </c:xVal>
          <c:yVal>
            <c:numRef>
              <c:f>'Raw data'!$G$82:$G$749</c:f>
              <c:numCache>
                <c:formatCode>General</c:formatCode>
                <c:ptCount val="668"/>
                <c:pt idx="0">
                  <c:v>-89.984681500975171</c:v>
                </c:pt>
                <c:pt idx="1">
                  <c:v>-89.969344280222344</c:v>
                </c:pt>
                <c:pt idx="2">
                  <c:v>-89.954007063957903</c:v>
                </c:pt>
                <c:pt idx="3">
                  <c:v>-89.938669854426109</c:v>
                </c:pt>
                <c:pt idx="4">
                  <c:v>-89.923332653871128</c:v>
                </c:pt>
                <c:pt idx="5">
                  <c:v>-89.907995464537166</c:v>
                </c:pt>
                <c:pt idx="6">
                  <c:v>-89.892658288668414</c:v>
                </c:pt>
                <c:pt idx="7">
                  <c:v>-89.877321128509024</c:v>
                </c:pt>
                <c:pt idx="8">
                  <c:v>-89.861983986303144</c:v>
                </c:pt>
                <c:pt idx="9">
                  <c:v>-89.846646864294939</c:v>
                </c:pt>
                <c:pt idx="10">
                  <c:v>-89.693277248780234</c:v>
                </c:pt>
                <c:pt idx="11">
                  <c:v>-89.539912121395062</c:v>
                </c:pt>
                <c:pt idx="12">
                  <c:v>-89.386553725715117</c:v>
                </c:pt>
                <c:pt idx="13">
                  <c:v>-89.233204304729256</c:v>
                </c:pt>
                <c:pt idx="14">
                  <c:v>-89.079866100644196</c:v>
                </c:pt>
                <c:pt idx="15">
                  <c:v>-88.92654135468922</c:v>
                </c:pt>
                <c:pt idx="16">
                  <c:v>-88.773232306921187</c:v>
                </c:pt>
                <c:pt idx="17">
                  <c:v>-88.619941196029714</c:v>
                </c:pt>
                <c:pt idx="18">
                  <c:v>-88.466670259142859</c:v>
                </c:pt>
                <c:pt idx="19">
                  <c:v>-86.935561124767304</c:v>
                </c:pt>
                <c:pt idx="20">
                  <c:v>-85.40891122584793</c:v>
                </c:pt>
                <c:pt idx="21">
                  <c:v>-83.888902035838441</c:v>
                </c:pt>
                <c:pt idx="22">
                  <c:v>-82.377658412456555</c:v>
                </c:pt>
                <c:pt idx="23">
                  <c:v>-80.877231605440201</c:v>
                </c:pt>
                <c:pt idx="24">
                  <c:v>-79.389583780078809</c:v>
                </c:pt>
                <c:pt idx="25">
                  <c:v>-77.916574323311636</c:v>
                </c:pt>
                <c:pt idx="26">
                  <c:v>-76.459948134661502</c:v>
                </c:pt>
                <c:pt idx="27">
                  <c:v>-75.021326035914896</c:v>
                </c:pt>
                <c:pt idx="28">
                  <c:v>-68.145567827222791</c:v>
                </c:pt>
                <c:pt idx="29">
                  <c:v>-61.884582979633983</c:v>
                </c:pt>
                <c:pt idx="30">
                  <c:v>-56.292044790234399</c:v>
                </c:pt>
                <c:pt idx="31">
                  <c:v>-51.359747324262486</c:v>
                </c:pt>
                <c:pt idx="32">
                  <c:v>-47.041337011806554</c:v>
                </c:pt>
                <c:pt idx="33">
                  <c:v>-43.272306582660953</c:v>
                </c:pt>
                <c:pt idx="34">
                  <c:v>-39.983466935819251</c:v>
                </c:pt>
                <c:pt idx="35">
                  <c:v>-37.108597148259371</c:v>
                </c:pt>
                <c:pt idx="36">
                  <c:v>-34.588040988330519</c:v>
                </c:pt>
                <c:pt idx="37">
                  <c:v>-32.369875190606891</c:v>
                </c:pt>
                <c:pt idx="38">
                  <c:v>-30.40979153881807</c:v>
                </c:pt>
                <c:pt idx="39">
                  <c:v>-28.670390168171181</c:v>
                </c:pt>
                <c:pt idx="40">
                  <c:v>-27.120270415586194</c:v>
                </c:pt>
                <c:pt idx="41">
                  <c:v>-25.733114683658311</c:v>
                </c:pt>
                <c:pt idx="42">
                  <c:v>-24.486852979134682</c:v>
                </c:pt>
                <c:pt idx="43">
                  <c:v>-23.362938810606476</c:v>
                </c:pt>
                <c:pt idx="44">
                  <c:v>-22.345739097980246</c:v>
                </c:pt>
                <c:pt idx="45">
                  <c:v>-21.422028350355411</c:v>
                </c:pt>
                <c:pt idx="46">
                  <c:v>-20.580573013479789</c:v>
                </c:pt>
                <c:pt idx="47">
                  <c:v>-19.811791421951014</c:v>
                </c:pt>
                <c:pt idx="48">
                  <c:v>-19.107476028067701</c:v>
                </c:pt>
                <c:pt idx="49">
                  <c:v>-18.460566412161572</c:v>
                </c:pt>
                <c:pt idx="50">
                  <c:v>-17.864963478667132</c:v>
                </c:pt>
                <c:pt idx="51">
                  <c:v>-17.315376978088</c:v>
                </c:pt>
                <c:pt idx="52">
                  <c:v>-16.807199987544688</c:v>
                </c:pt>
                <c:pt idx="53">
                  <c:v>-16.336405223285734</c:v>
                </c:pt>
                <c:pt idx="54">
                  <c:v>-15.899459069722406</c:v>
                </c:pt>
                <c:pt idx="55">
                  <c:v>-15.493250024069313</c:v>
                </c:pt>
                <c:pt idx="56">
                  <c:v>-15.115028907387837</c:v>
                </c:pt>
                <c:pt idx="57">
                  <c:v>-14.762358712445526</c:v>
                </c:pt>
                <c:pt idx="58">
                  <c:v>-14.433072372559366</c:v>
                </c:pt>
                <c:pt idx="59">
                  <c:v>-14.12523706509069</c:v>
                </c:pt>
                <c:pt idx="60">
                  <c:v>-13.837123926003537</c:v>
                </c:pt>
                <c:pt idx="61">
                  <c:v>-13.567182261801909</c:v>
                </c:pt>
                <c:pt idx="62">
                  <c:v>-13.314017513274289</c:v>
                </c:pt>
                <c:pt idx="63">
                  <c:v>-13.07637236050026</c:v>
                </c:pt>
                <c:pt idx="64">
                  <c:v>-12.853110467359222</c:v>
                </c:pt>
                <c:pt idx="65">
                  <c:v>-12.64320245170515</c:v>
                </c:pt>
                <c:pt idx="66">
                  <c:v>-12.44571373868385</c:v>
                </c:pt>
                <c:pt idx="67">
                  <c:v>-12.259794012694789</c:v>
                </c:pt>
                <c:pt idx="68">
                  <c:v>-12.084668030884451</c:v>
                </c:pt>
                <c:pt idx="69">
                  <c:v>-11.919627599880638</c:v>
                </c:pt>
                <c:pt idx="70">
                  <c:v>-11.764024549397835</c:v>
                </c:pt>
                <c:pt idx="71">
                  <c:v>-11.61726456267059</c:v>
                </c:pt>
                <c:pt idx="72">
                  <c:v>-11.478801745469726</c:v>
                </c:pt>
                <c:pt idx="73">
                  <c:v>-11.34813383354385</c:v>
                </c:pt>
                <c:pt idx="74">
                  <c:v>-11.224797953407617</c:v>
                </c:pt>
                <c:pt idx="75">
                  <c:v>-11.108366863988524</c:v>
                </c:pt>
                <c:pt idx="76">
                  <c:v>-10.998445617202407</c:v>
                </c:pt>
                <c:pt idx="77">
                  <c:v>-10.894668584400442</c:v>
                </c:pt>
                <c:pt idx="78">
                  <c:v>-10.796696803110759</c:v>
                </c:pt>
                <c:pt idx="79">
                  <c:v>-10.704215604825043</c:v>
                </c:pt>
                <c:pt idx="80">
                  <c:v>-10.616932489939398</c:v>
                </c:pt>
                <c:pt idx="81">
                  <c:v>-10.53457522052005</c:v>
                </c:pt>
                <c:pt idx="82">
                  <c:v>-10.456890105447822</c:v>
                </c:pt>
                <c:pt idx="83">
                  <c:v>-10.383640455814154</c:v>
                </c:pt>
                <c:pt idx="84">
                  <c:v>-10.314605191285963</c:v>
                </c:pt>
                <c:pt idx="85">
                  <c:v>-10.249577580598555</c:v>
                </c:pt>
                <c:pt idx="86">
                  <c:v>-10.188364101434615</c:v>
                </c:pt>
                <c:pt idx="87">
                  <c:v>-10.130783406762749</c:v>
                </c:pt>
                <c:pt idx="88">
                  <c:v>-10.076665386273222</c:v>
                </c:pt>
                <c:pt idx="89">
                  <c:v>-10.025850312909721</c:v>
                </c:pt>
                <c:pt idx="90">
                  <c:v>-9.9781880656705599</c:v>
                </c:pt>
                <c:pt idx="91">
                  <c:v>-9.933537420881704</c:v>
                </c:pt>
                <c:pt idx="92">
                  <c:v>-9.8917654050370203</c:v>
                </c:pt>
                <c:pt idx="93">
                  <c:v>-9.8527467030810172</c:v>
                </c:pt>
                <c:pt idx="94">
                  <c:v>-9.8163631166940721</c:v>
                </c:pt>
                <c:pt idx="95">
                  <c:v>-9.7825030677387304</c:v>
                </c:pt>
                <c:pt idx="96">
                  <c:v>-9.7510611425522171</c:v>
                </c:pt>
                <c:pt idx="97">
                  <c:v>-9.7219376732323717</c:v>
                </c:pt>
                <c:pt idx="98">
                  <c:v>-9.6950383524740662</c:v>
                </c:pt>
                <c:pt idx="99">
                  <c:v>-9.6702738788711251</c:v>
                </c:pt>
                <c:pt idx="100">
                  <c:v>-9.6475596299197868</c:v>
                </c:pt>
                <c:pt idx="101">
                  <c:v>-9.6268153602397781</c:v>
                </c:pt>
                <c:pt idx="102">
                  <c:v>-9.6079649227805461</c:v>
                </c:pt>
                <c:pt idx="103">
                  <c:v>-9.5909360110033166</c:v>
                </c:pt>
                <c:pt idx="104">
                  <c:v>-9.5756599202240533</c:v>
                </c:pt>
                <c:pt idx="105">
                  <c:v>-9.5620713264833821</c:v>
                </c:pt>
                <c:pt idx="106">
                  <c:v>-9.5501080814641952</c:v>
                </c:pt>
                <c:pt idx="107">
                  <c:v>-9.5397110221164674</c:v>
                </c:pt>
                <c:pt idx="108">
                  <c:v>-9.5308237937790707</c:v>
                </c:pt>
                <c:pt idx="109">
                  <c:v>-9.5233926856970079</c:v>
                </c:pt>
                <c:pt idx="110">
                  <c:v>-9.5173664779352496</c:v>
                </c:pt>
                <c:pt idx="111">
                  <c:v>-9.512696298781135</c:v>
                </c:pt>
                <c:pt idx="112">
                  <c:v>-9.5093354918078319</c:v>
                </c:pt>
                <c:pt idx="113">
                  <c:v>-9.507239491846736</c:v>
                </c:pt>
                <c:pt idx="114">
                  <c:v>-9.5063657091806437</c:v>
                </c:pt>
                <c:pt idx="115">
                  <c:v>-9.5066734213310333</c:v>
                </c:pt>
                <c:pt idx="116">
                  <c:v>-9.508123671865274</c:v>
                </c:pt>
                <c:pt idx="117">
                  <c:v>-9.5106791757009912</c:v>
                </c:pt>
                <c:pt idx="118">
                  <c:v>-9.5143042304253118</c:v>
                </c:pt>
                <c:pt idx="119">
                  <c:v>-9.5189646331896274</c:v>
                </c:pt>
                <c:pt idx="120">
                  <c:v>-9.5246276027765582</c:v>
                </c:pt>
                <c:pt idx="121">
                  <c:v>-9.5312617064674203</c:v>
                </c:pt>
                <c:pt idx="122">
                  <c:v>-9.5388367913697749</c:v>
                </c:pt>
                <c:pt idx="123">
                  <c:v>-9.5473239198909745</c:v>
                </c:pt>
                <c:pt idx="124">
                  <c:v>-9.5566953090709372</c:v>
                </c:pt>
                <c:pt idx="125">
                  <c:v>-9.5669242735049131</c:v>
                </c:pt>
                <c:pt idx="126">
                  <c:v>-9.5779851716146034</c:v>
                </c:pt>
                <c:pt idx="127">
                  <c:v>-9.5898533550391587</c:v>
                </c:pt>
                <c:pt idx="128">
                  <c:v>-9.6025051209372574</c:v>
                </c:pt>
                <c:pt idx="129">
                  <c:v>-9.6159176670075137</c:v>
                </c:pt>
                <c:pt idx="130">
                  <c:v>-9.6300690490488758</c:v>
                </c:pt>
                <c:pt idx="131">
                  <c:v>-9.6449381408943307</c:v>
                </c:pt>
                <c:pt idx="132">
                  <c:v>-9.6605045965660192</c:v>
                </c:pt>
                <c:pt idx="133">
                  <c:v>-9.6767488145084712</c:v>
                </c:pt>
                <c:pt idx="134">
                  <c:v>-9.6936519037696414</c:v>
                </c:pt>
                <c:pt idx="135">
                  <c:v>-9.7111956520054949</c:v>
                </c:pt>
                <c:pt idx="136">
                  <c:v>-9.7293624951967281</c:v>
                </c:pt>
                <c:pt idx="137">
                  <c:v>-9.7481354889699485</c:v>
                </c:pt>
                <c:pt idx="138">
                  <c:v>-9.7674982814257216</c:v>
                </c:pt>
                <c:pt idx="139">
                  <c:v>-9.7874350873837681</c:v>
                </c:pt>
                <c:pt idx="140">
                  <c:v>-9.8079306639564354</c:v>
                </c:pt>
                <c:pt idx="141">
                  <c:v>-9.8289702873748404</c:v>
                </c:pt>
                <c:pt idx="142">
                  <c:v>-9.8505397309913754</c:v>
                </c:pt>
                <c:pt idx="143">
                  <c:v>-9.8726252443904272</c:v>
                </c:pt>
                <c:pt idx="144">
                  <c:v>-9.8952135335420692</c:v>
                </c:pt>
                <c:pt idx="145">
                  <c:v>-9.918291741939905</c:v>
                </c:pt>
                <c:pt idx="146">
                  <c:v>-9.9418474326647779</c:v>
                </c:pt>
                <c:pt idx="147">
                  <c:v>-9.965868571323961</c:v>
                </c:pt>
                <c:pt idx="148">
                  <c:v>-9.9903435098142204</c:v>
                </c:pt>
                <c:pt idx="149">
                  <c:v>-10.015260970864992</c:v>
                </c:pt>
                <c:pt idx="150">
                  <c:v>-10.040610033316458</c:v>
                </c:pt>
                <c:pt idx="151">
                  <c:v>-10.066380118092882</c:v>
                </c:pt>
                <c:pt idx="152">
                  <c:v>-10.092560974834095</c:v>
                </c:pt>
                <c:pt idx="153">
                  <c:v>-10.119142669147616</c:v>
                </c:pt>
                <c:pt idx="154">
                  <c:v>-10.146115570449577</c:v>
                </c:pt>
                <c:pt idx="155">
                  <c:v>-10.173470340362599</c:v>
                </c:pt>
                <c:pt idx="156">
                  <c:v>-10.201197921640466</c:v>
                </c:pt>
                <c:pt idx="157">
                  <c:v>-10.229289527593201</c:v>
                </c:pt>
                <c:pt idx="158">
                  <c:v>-10.257736631985253</c:v>
                </c:pt>
                <c:pt idx="159">
                  <c:v>-10.286530959382487</c:v>
                </c:pt>
                <c:pt idx="160">
                  <c:v>-10.315664475925916</c:v>
                </c:pt>
                <c:pt idx="161">
                  <c:v>-10.34512938050878</c:v>
                </c:pt>
                <c:pt idx="162">
                  <c:v>-10.374918096337828</c:v>
                </c:pt>
                <c:pt idx="163">
                  <c:v>-10.405023262859023</c:v>
                </c:pt>
                <c:pt idx="164">
                  <c:v>-10.4354377280292</c:v>
                </c:pt>
                <c:pt idx="165">
                  <c:v>-10.466154540916632</c:v>
                </c:pt>
                <c:pt idx="166">
                  <c:v>-10.497166944615143</c:v>
                </c:pt>
                <c:pt idx="167">
                  <c:v>-10.528468369454805</c:v>
                </c:pt>
                <c:pt idx="168">
                  <c:v>-10.560052426496172</c:v>
                </c:pt>
                <c:pt idx="169">
                  <c:v>-10.591912901294027</c:v>
                </c:pt>
                <c:pt idx="170">
                  <c:v>-10.624043747917222</c:v>
                </c:pt>
                <c:pt idx="171">
                  <c:v>-10.656439083212856</c:v>
                </c:pt>
                <c:pt idx="172">
                  <c:v>-10.689093181303754</c:v>
                </c:pt>
                <c:pt idx="173">
                  <c:v>-10.722000468306602</c:v>
                </c:pt>
                <c:pt idx="174">
                  <c:v>-10.755155517262667</c:v>
                </c:pt>
                <c:pt idx="175">
                  <c:v>-10.788553043269536</c:v>
                </c:pt>
                <c:pt idx="176">
                  <c:v>-10.822187898805359</c:v>
                </c:pt>
                <c:pt idx="177">
                  <c:v>-10.856055069236477</c:v>
                </c:pt>
                <c:pt idx="178">
                  <c:v>-10.890149668500465</c:v>
                </c:pt>
                <c:pt idx="179">
                  <c:v>-10.924466934956476</c:v>
                </c:pt>
                <c:pt idx="180">
                  <c:v>-10.959002227395098</c:v>
                </c:pt>
                <c:pt idx="181">
                  <c:v>-10.993751021201358</c:v>
                </c:pt>
                <c:pt idx="182">
                  <c:v>-11.028708904662844</c:v>
                </c:pt>
                <c:pt idx="183">
                  <c:v>-11.063871575418332</c:v>
                </c:pt>
                <c:pt idx="184">
                  <c:v>-11.099234837038704</c:v>
                </c:pt>
                <c:pt idx="185">
                  <c:v>-11.134794595736299</c:v>
                </c:pt>
                <c:pt idx="186">
                  <c:v>-11.170546857195776</c:v>
                </c:pt>
                <c:pt idx="187">
                  <c:v>-11.206487723521869</c:v>
                </c:pt>
                <c:pt idx="188">
                  <c:v>-11.242613390299349</c:v>
                </c:pt>
                <c:pt idx="189">
                  <c:v>-11.278920143759573</c:v>
                </c:pt>
                <c:pt idx="190">
                  <c:v>-11.315404358049451</c:v>
                </c:pt>
                <c:pt idx="191">
                  <c:v>-11.352062492599728</c:v>
                </c:pt>
                <c:pt idx="192">
                  <c:v>-11.388891089586012</c:v>
                </c:pt>
                <c:pt idx="193">
                  <c:v>-11.425886771481029</c:v>
                </c:pt>
                <c:pt idx="194">
                  <c:v>-11.463046238692996</c:v>
                </c:pt>
                <c:pt idx="195">
                  <c:v>-11.500366267287259</c:v>
                </c:pt>
                <c:pt idx="196">
                  <c:v>-11.537843706787124</c:v>
                </c:pt>
                <c:pt idx="197">
                  <c:v>-11.575475478051645</c:v>
                </c:pt>
                <c:pt idx="198">
                  <c:v>-11.61325857122598</c:v>
                </c:pt>
                <c:pt idx="199">
                  <c:v>-11.651190043762947</c:v>
                </c:pt>
                <c:pt idx="200">
                  <c:v>-11.689267018511595</c:v>
                </c:pt>
                <c:pt idx="201">
                  <c:v>-11.727486681870865</c:v>
                </c:pt>
                <c:pt idx="202">
                  <c:v>-11.76584628200545</c:v>
                </c:pt>
                <c:pt idx="203">
                  <c:v>-11.804343127121912</c:v>
                </c:pt>
                <c:pt idx="204">
                  <c:v>-11.842974583801901</c:v>
                </c:pt>
                <c:pt idx="205">
                  <c:v>-11.881738075391159</c:v>
                </c:pt>
                <c:pt idx="206">
                  <c:v>-11.920631080441435</c:v>
                </c:pt>
                <c:pt idx="207">
                  <c:v>-11.959651131203499</c:v>
                </c:pt>
                <c:pt idx="208">
                  <c:v>-11.998795812169853</c:v>
                </c:pt>
                <c:pt idx="209">
                  <c:v>-12.038062758664465</c:v>
                </c:pt>
                <c:pt idx="210">
                  <c:v>-12.077449655478098</c:v>
                </c:pt>
                <c:pt idx="211">
                  <c:v>-12.116954235547398</c:v>
                </c:pt>
                <c:pt idx="212">
                  <c:v>-12.156574278676505</c:v>
                </c:pt>
                <c:pt idx="213">
                  <c:v>-12.196307610299138</c:v>
                </c:pt>
                <c:pt idx="214">
                  <c:v>-12.236152100279961</c:v>
                </c:pt>
                <c:pt idx="215">
                  <c:v>-12.276105661753489</c:v>
                </c:pt>
                <c:pt idx="216">
                  <c:v>-12.316166249999604</c:v>
                </c:pt>
                <c:pt idx="217">
                  <c:v>-12.356331861353979</c:v>
                </c:pt>
                <c:pt idx="218">
                  <c:v>-12.396600532152171</c:v>
                </c:pt>
                <c:pt idx="219">
                  <c:v>-12.43697033770647</c:v>
                </c:pt>
                <c:pt idx="220">
                  <c:v>-12.477439391313787</c:v>
                </c:pt>
                <c:pt idx="221">
                  <c:v>-12.518005843294635</c:v>
                </c:pt>
                <c:pt idx="222">
                  <c:v>-12.558667880059984</c:v>
                </c:pt>
                <c:pt idx="223">
                  <c:v>-12.599423723207753</c:v>
                </c:pt>
                <c:pt idx="224">
                  <c:v>-12.640271628645127</c:v>
                </c:pt>
                <c:pt idx="225">
                  <c:v>-12.681209885738395</c:v>
                </c:pt>
                <c:pt idx="226">
                  <c:v>-13.095207799418398</c:v>
                </c:pt>
                <c:pt idx="227">
                  <c:v>-13.516578714343332</c:v>
                </c:pt>
                <c:pt idx="228">
                  <c:v>-13.944054714288459</c:v>
                </c:pt>
                <c:pt idx="229">
                  <c:v>-14.376568504361328</c:v>
                </c:pt>
                <c:pt idx="230">
                  <c:v>-14.813213754643877</c:v>
                </c:pt>
                <c:pt idx="231">
                  <c:v>-15.253214581967901</c:v>
                </c:pt>
                <c:pt idx="232">
                  <c:v>-15.695901805230372</c:v>
                </c:pt>
                <c:pt idx="233">
                  <c:v>-16.140694283589053</c:v>
                </c:pt>
                <c:pt idx="234">
                  <c:v>-16.587084112194191</c:v>
                </c:pt>
                <c:pt idx="235">
                  <c:v>-17.034624776195628</c:v>
                </c:pt>
                <c:pt idx="236">
                  <c:v>-17.482921595381722</c:v>
                </c:pt>
                <c:pt idx="237">
                  <c:v>-17.931623958431736</c:v>
                </c:pt>
                <c:pt idx="238">
                  <c:v>-18.380418967027605</c:v>
                </c:pt>
                <c:pt idx="239">
                  <c:v>-18.829026199308299</c:v>
                </c:pt>
                <c:pt idx="240">
                  <c:v>-19.277193368473544</c:v>
                </c:pt>
                <c:pt idx="241">
                  <c:v>-19.724692702119519</c:v>
                </c:pt>
                <c:pt idx="242">
                  <c:v>-20.171317905575066</c:v>
                </c:pt>
                <c:pt idx="243">
                  <c:v>-20.616881601284256</c:v>
                </c:pt>
                <c:pt idx="244">
                  <c:v>-21.061213158423818</c:v>
                </c:pt>
                <c:pt idx="245">
                  <c:v>-21.504156844115453</c:v>
                </c:pt>
                <c:pt idx="246">
                  <c:v>-21.945570240995526</c:v>
                </c:pt>
                <c:pt idx="247">
                  <c:v>-22.38532288644792</c:v>
                </c:pt>
                <c:pt idx="248">
                  <c:v>-22.823295097129538</c:v>
                </c:pt>
                <c:pt idx="249">
                  <c:v>-23.259376949060066</c:v>
                </c:pt>
                <c:pt idx="250">
                  <c:v>-23.693467388846855</c:v>
                </c:pt>
                <c:pt idx="251">
                  <c:v>-24.125473455885608</c:v>
                </c:pt>
                <c:pt idx="252">
                  <c:v>-24.555309598831528</c:v>
                </c:pt>
                <c:pt idx="253">
                  <c:v>-24.982897072438398</c:v>
                </c:pt>
                <c:pt idx="254">
                  <c:v>-25.408163403152404</c:v>
                </c:pt>
                <c:pt idx="255">
                  <c:v>-25.83104191372685</c:v>
                </c:pt>
                <c:pt idx="256">
                  <c:v>-26.25147129866583</c:v>
                </c:pt>
                <c:pt idx="257">
                  <c:v>-26.669395243586681</c:v>
                </c:pt>
                <c:pt idx="258">
                  <c:v>-27.084762082647241</c:v>
                </c:pt>
                <c:pt idx="259">
                  <c:v>-27.497524489069061</c:v>
                </c:pt>
                <c:pt idx="260">
                  <c:v>-27.907639194524783</c:v>
                </c:pt>
                <c:pt idx="261">
                  <c:v>-28.315066733776852</c:v>
                </c:pt>
                <c:pt idx="262">
                  <c:v>-28.719771211471532</c:v>
                </c:pt>
                <c:pt idx="263">
                  <c:v>-29.121720088438035</c:v>
                </c:pt>
                <c:pt idx="264">
                  <c:v>-29.520883985203991</c:v>
                </c:pt>
                <c:pt idx="265">
                  <c:v>-29.917236500761948</c:v>
                </c:pt>
                <c:pt idx="266">
                  <c:v>-30.310754044883435</c:v>
                </c:pt>
                <c:pt idx="267">
                  <c:v>-30.701415682507612</c:v>
                </c:pt>
                <c:pt idx="268">
                  <c:v>-31.089202988924637</c:v>
                </c:pt>
                <c:pt idx="269">
                  <c:v>-31.474099914642913</c:v>
                </c:pt>
                <c:pt idx="270">
                  <c:v>-31.856092658969505</c:v>
                </c:pt>
                <c:pt idx="271">
                  <c:v>-32.235169551458938</c:v>
                </c:pt>
                <c:pt idx="272">
                  <c:v>-32.611320940486678</c:v>
                </c:pt>
                <c:pt idx="273">
                  <c:v>-32.984539088302093</c:v>
                </c:pt>
                <c:pt idx="274">
                  <c:v>-33.354818071986337</c:v>
                </c:pt>
                <c:pt idx="275">
                  <c:v>-33.72215368981449</c:v>
                </c:pt>
                <c:pt idx="276">
                  <c:v>-34.086543372578319</c:v>
                </c:pt>
                <c:pt idx="277">
                  <c:v>-34.447986099476921</c:v>
                </c:pt>
                <c:pt idx="278">
                  <c:v>-34.806482318227779</c:v>
                </c:pt>
                <c:pt idx="279">
                  <c:v>-35.162033869089441</c:v>
                </c:pt>
                <c:pt idx="280">
                  <c:v>-35.514643912519894</c:v>
                </c:pt>
                <c:pt idx="281">
                  <c:v>-35.864316860224058</c:v>
                </c:pt>
                <c:pt idx="282">
                  <c:v>-36.211058309373406</c:v>
                </c:pt>
                <c:pt idx="283">
                  <c:v>-36.55487497979464</c:v>
                </c:pt>
                <c:pt idx="284">
                  <c:v>-36.89577465395336</c:v>
                </c:pt>
                <c:pt idx="285">
                  <c:v>-37.233766119571179</c:v>
                </c:pt>
                <c:pt idx="286">
                  <c:v>-37.568859114726642</c:v>
                </c:pt>
                <c:pt idx="287">
                  <c:v>-37.901064275312798</c:v>
                </c:pt>
                <c:pt idx="288">
                  <c:v>-38.230393084726124</c:v>
                </c:pt>
                <c:pt idx="289">
                  <c:v>-38.556857825676481</c:v>
                </c:pt>
                <c:pt idx="290">
                  <c:v>-38.88047153401947</c:v>
                </c:pt>
                <c:pt idx="291">
                  <c:v>-39.20124795451212</c:v>
                </c:pt>
                <c:pt idx="292">
                  <c:v>-39.519201498409949</c:v>
                </c:pt>
                <c:pt idx="293">
                  <c:v>-39.834347202821306</c:v>
                </c:pt>
                <c:pt idx="294">
                  <c:v>-40.146700691747462</c:v>
                </c:pt>
                <c:pt idx="295">
                  <c:v>-40.456278138734206</c:v>
                </c:pt>
                <c:pt idx="296">
                  <c:v>-40.763096231073128</c:v>
                </c:pt>
                <c:pt idx="297">
                  <c:v>-41.067172135488974</c:v>
                </c:pt>
                <c:pt idx="298">
                  <c:v>-41.368523465254839</c:v>
                </c:pt>
                <c:pt idx="299">
                  <c:v>-41.667168248681755</c:v>
                </c:pt>
                <c:pt idx="300">
                  <c:v>-41.963124898927241</c:v>
                </c:pt>
                <c:pt idx="301">
                  <c:v>-42.256412185078709</c:v>
                </c:pt>
                <c:pt idx="302">
                  <c:v>-42.547049204458375</c:v>
                </c:pt>
                <c:pt idx="303">
                  <c:v>-42.835055356109471</c:v>
                </c:pt>
                <c:pt idx="304">
                  <c:v>-43.120450315418353</c:v>
                </c:pt>
                <c:pt idx="305">
                  <c:v>-43.403254009831258</c:v>
                </c:pt>
                <c:pt idx="306">
                  <c:v>-43.683486595627564</c:v>
                </c:pt>
                <c:pt idx="307">
                  <c:v>-43.961168435710682</c:v>
                </c:pt>
                <c:pt idx="308">
                  <c:v>-44.236320078378832</c:v>
                </c:pt>
                <c:pt idx="309">
                  <c:v>-44.508962237042297</c:v>
                </c:pt>
                <c:pt idx="310">
                  <c:v>-44.779115770853082</c:v>
                </c:pt>
                <c:pt idx="311">
                  <c:v>-45.046801666211941</c:v>
                </c:pt>
                <c:pt idx="312">
                  <c:v>-45.312041019124365</c:v>
                </c:pt>
                <c:pt idx="313">
                  <c:v>-45.57485501837126</c:v>
                </c:pt>
                <c:pt idx="314">
                  <c:v>-45.835264929469083</c:v>
                </c:pt>
                <c:pt idx="315">
                  <c:v>-46.09329207938525</c:v>
                </c:pt>
                <c:pt idx="316">
                  <c:v>-46.348957841987612</c:v>
                </c:pt>
                <c:pt idx="317">
                  <c:v>-46.602283624193745</c:v>
                </c:pt>
                <c:pt idx="318">
                  <c:v>-46.853290852802033</c:v>
                </c:pt>
                <c:pt idx="319">
                  <c:v>-47.10200096197191</c:v>
                </c:pt>
                <c:pt idx="320">
                  <c:v>-47.348435381333346</c:v>
                </c:pt>
                <c:pt idx="321">
                  <c:v>-47.59261552470214</c:v>
                </c:pt>
                <c:pt idx="322">
                  <c:v>-47.834562779375233</c:v>
                </c:pt>
                <c:pt idx="323">
                  <c:v>-48.074298495985211</c:v>
                </c:pt>
                <c:pt idx="324">
                  <c:v>-48.311843978894807</c:v>
                </c:pt>
                <c:pt idx="325">
                  <c:v>-48.547220477105057</c:v>
                </c:pt>
                <c:pt idx="326">
                  <c:v>-48.78044917566482</c:v>
                </c:pt>
                <c:pt idx="327">
                  <c:v>-49.011551187553771</c:v>
                </c:pt>
                <c:pt idx="328">
                  <c:v>-49.24054754602615</c:v>
                </c:pt>
                <c:pt idx="329">
                  <c:v>-49.467459197395172</c:v>
                </c:pt>
                <c:pt idx="330">
                  <c:v>-49.69230699423845</c:v>
                </c:pt>
                <c:pt idx="331">
                  <c:v>-49.915111689010388</c:v>
                </c:pt>
                <c:pt idx="332">
                  <c:v>-50.135893928043203</c:v>
                </c:pt>
                <c:pt idx="333">
                  <c:v>-50.354674245919917</c:v>
                </c:pt>
                <c:pt idx="334">
                  <c:v>-50.571473060207794</c:v>
                </c:pt>
                <c:pt idx="335">
                  <c:v>-50.786310666530788</c:v>
                </c:pt>
                <c:pt idx="336">
                  <c:v>-50.999207233973273</c:v>
                </c:pt>
                <c:pt idx="337">
                  <c:v>-51.210182800795828</c:v>
                </c:pt>
                <c:pt idx="338">
                  <c:v>-51.419257270454082</c:v>
                </c:pt>
                <c:pt idx="339">
                  <c:v>-51.626450407902972</c:v>
                </c:pt>
                <c:pt idx="340">
                  <c:v>-51.831781836178514</c:v>
                </c:pt>
                <c:pt idx="341">
                  <c:v>-52.035271033241415</c:v>
                </c:pt>
                <c:pt idx="342">
                  <c:v>-52.236937329072958</c:v>
                </c:pt>
                <c:pt idx="343">
                  <c:v>-52.43679990301051</c:v>
                </c:pt>
                <c:pt idx="344">
                  <c:v>-52.634877781313968</c:v>
                </c:pt>
                <c:pt idx="345">
                  <c:v>-52.831189834949043</c:v>
                </c:pt>
                <c:pt idx="346">
                  <c:v>-53.025754777581987</c:v>
                </c:pt>
                <c:pt idx="347">
                  <c:v>-53.218591163772189</c:v>
                </c:pt>
                <c:pt idx="348">
                  <c:v>-53.409717387354704</c:v>
                </c:pt>
                <c:pt idx="349">
                  <c:v>-53.599151680004773</c:v>
                </c:pt>
                <c:pt idx="350">
                  <c:v>-53.786912109973642</c:v>
                </c:pt>
                <c:pt idx="351">
                  <c:v>-53.973016580989437</c:v>
                </c:pt>
                <c:pt idx="352">
                  <c:v>-54.157482831313814</c:v>
                </c:pt>
                <c:pt idx="353">
                  <c:v>-54.34032843294559</c:v>
                </c:pt>
                <c:pt idx="354">
                  <c:v>-54.521570790969101</c:v>
                </c:pt>
                <c:pt idx="355">
                  <c:v>-54.701227143032291</c:v>
                </c:pt>
                <c:pt idx="356">
                  <c:v>-54.879314558955556</c:v>
                </c:pt>
                <c:pt idx="357">
                  <c:v>-55.055849940457897</c:v>
                </c:pt>
                <c:pt idx="358">
                  <c:v>-55.230850021000265</c:v>
                </c:pt>
                <c:pt idx="359">
                  <c:v>-55.404331365735445</c:v>
                </c:pt>
                <c:pt idx="360">
                  <c:v>-55.576310371561839</c:v>
                </c:pt>
                <c:pt idx="361">
                  <c:v>-55.746803267273521</c:v>
                </c:pt>
                <c:pt idx="362">
                  <c:v>-55.915826113800875</c:v>
                </c:pt>
                <c:pt idx="363">
                  <c:v>-56.083394804540227</c:v>
                </c:pt>
                <c:pt idx="364">
                  <c:v>-56.249525065764793</c:v>
                </c:pt>
                <c:pt idx="365">
                  <c:v>-56.414232457109819</c:v>
                </c:pt>
                <c:pt idx="366">
                  <c:v>-56.57753237213398</c:v>
                </c:pt>
                <c:pt idx="367">
                  <c:v>-56.739440038947421</c:v>
                </c:pt>
                <c:pt idx="368">
                  <c:v>-56.899970520904212</c:v>
                </c:pt>
                <c:pt idx="369">
                  <c:v>-57.059138717354145</c:v>
                </c:pt>
                <c:pt idx="370">
                  <c:v>-57.216959364452762</c:v>
                </c:pt>
                <c:pt idx="371">
                  <c:v>-57.373447036024203</c:v>
                </c:pt>
                <c:pt idx="372">
                  <c:v>-57.528616144471798</c:v>
                </c:pt>
                <c:pt idx="373">
                  <c:v>-57.682480941735982</c:v>
                </c:pt>
                <c:pt idx="374">
                  <c:v>-57.8350555202965</c:v>
                </c:pt>
                <c:pt idx="375">
                  <c:v>-57.986353814212514</c:v>
                </c:pt>
                <c:pt idx="376">
                  <c:v>-58.136389600201483</c:v>
                </c:pt>
                <c:pt idx="377">
                  <c:v>-58.2851764987523</c:v>
                </c:pt>
                <c:pt idx="378">
                  <c:v>-58.432727975270325</c:v>
                </c:pt>
                <c:pt idx="379">
                  <c:v>-58.579057341251364</c:v>
                </c:pt>
                <c:pt idx="380">
                  <c:v>-58.724177755482735</c:v>
                </c:pt>
                <c:pt idx="381">
                  <c:v>-58.868102225271898</c:v>
                </c:pt>
                <c:pt idx="382">
                  <c:v>-59.010843607692856</c:v>
                </c:pt>
                <c:pt idx="383">
                  <c:v>-59.152414610856738</c:v>
                </c:pt>
                <c:pt idx="384">
                  <c:v>-59.292827795201653</c:v>
                </c:pt>
                <c:pt idx="385">
                  <c:v>-59.432095574795689</c:v>
                </c:pt>
                <c:pt idx="386">
                  <c:v>-59.570230218659468</c:v>
                </c:pt>
                <c:pt idx="387">
                  <c:v>-59.707243852097804</c:v>
                </c:pt>
                <c:pt idx="388">
                  <c:v>-59.84314845804851</c:v>
                </c:pt>
                <c:pt idx="389">
                  <c:v>-59.977955878435019</c:v>
                </c:pt>
                <c:pt idx="390">
                  <c:v>-60.111677815533454</c:v>
                </c:pt>
                <c:pt idx="391">
                  <c:v>-60.244325833345108</c:v>
                </c:pt>
                <c:pt idx="392">
                  <c:v>-60.375911358973852</c:v>
                </c:pt>
                <c:pt idx="393">
                  <c:v>-60.506445684011183</c:v>
                </c:pt>
                <c:pt idx="394">
                  <c:v>-60.635939965923662</c:v>
                </c:pt>
                <c:pt idx="395">
                  <c:v>-60.764405229442488</c:v>
                </c:pt>
                <c:pt idx="396">
                  <c:v>-60.891852367956652</c:v>
                </c:pt>
                <c:pt idx="397">
                  <c:v>-61.018292144905423</c:v>
                </c:pt>
                <c:pt idx="398">
                  <c:v>-61.143735195171665</c:v>
                </c:pt>
                <c:pt idx="399">
                  <c:v>-61.2681920264722</c:v>
                </c:pt>
                <c:pt idx="400">
                  <c:v>-61.391673020749224</c:v>
                </c:pt>
                <c:pt idx="401">
                  <c:v>-61.514188435556683</c:v>
                </c:pt>
                <c:pt idx="402">
                  <c:v>-61.635748405444041</c:v>
                </c:pt>
                <c:pt idx="403">
                  <c:v>-61.756362943336555</c:v>
                </c:pt>
                <c:pt idx="404">
                  <c:v>-61.87604194190957</c:v>
                </c:pt>
                <c:pt idx="405">
                  <c:v>-61.994795174959684</c:v>
                </c:pt>
                <c:pt idx="406">
                  <c:v>-62.112632298766592</c:v>
                </c:pt>
                <c:pt idx="407">
                  <c:v>-62.229562853451839</c:v>
                </c:pt>
                <c:pt idx="408">
                  <c:v>-62.345596264329032</c:v>
                </c:pt>
                <c:pt idx="409">
                  <c:v>-62.460741843246964</c:v>
                </c:pt>
                <c:pt idx="410">
                  <c:v>-62.575008789924233</c:v>
                </c:pt>
                <c:pt idx="411">
                  <c:v>-62.688406193277579</c:v>
                </c:pt>
                <c:pt idx="412">
                  <c:v>-62.800943032737919</c:v>
                </c:pt>
                <c:pt idx="413">
                  <c:v>-62.912628179563008</c:v>
                </c:pt>
                <c:pt idx="414">
                  <c:v>-63.023470398134123</c:v>
                </c:pt>
                <c:pt idx="415">
                  <c:v>-63.133478347249238</c:v>
                </c:pt>
                <c:pt idx="416">
                  <c:v>-63.242660581402014</c:v>
                </c:pt>
                <c:pt idx="417">
                  <c:v>-63.351025552052775</c:v>
                </c:pt>
                <c:pt idx="418">
                  <c:v>-63.458581608889048</c:v>
                </c:pt>
                <c:pt idx="419">
                  <c:v>-63.56533700107456</c:v>
                </c:pt>
                <c:pt idx="420">
                  <c:v>-63.67129987848751</c:v>
                </c:pt>
                <c:pt idx="421">
                  <c:v>-63.77647829294942</c:v>
                </c:pt>
                <c:pt idx="422">
                  <c:v>-63.880880199441521</c:v>
                </c:pt>
                <c:pt idx="423">
                  <c:v>-63.984513457309625</c:v>
                </c:pt>
                <c:pt idx="424">
                  <c:v>-64.087385831458434</c:v>
                </c:pt>
                <c:pt idx="425">
                  <c:v>-64.189504993533831</c:v>
                </c:pt>
                <c:pt idx="426">
                  <c:v>-64.290878523095088</c:v>
                </c:pt>
                <c:pt idx="427">
                  <c:v>-64.391513908771529</c:v>
                </c:pt>
                <c:pt idx="428">
                  <c:v>-64.491418549412614</c:v>
                </c:pt>
                <c:pt idx="429">
                  <c:v>-64.590599755222158</c:v>
                </c:pt>
                <c:pt idx="430">
                  <c:v>-64.689064748882203</c:v>
                </c:pt>
                <c:pt idx="431">
                  <c:v>-64.786820666665292</c:v>
                </c:pt>
                <c:pt idx="432">
                  <c:v>-64.883874559534377</c:v>
                </c:pt>
                <c:pt idx="433">
                  <c:v>-64.980233394230197</c:v>
                </c:pt>
                <c:pt idx="434">
                  <c:v>-65.075904054348428</c:v>
                </c:pt>
                <c:pt idx="435">
                  <c:v>-65.17089334140195</c:v>
                </c:pt>
                <c:pt idx="436">
                  <c:v>-65.265207975875157</c:v>
                </c:pt>
                <c:pt idx="437">
                  <c:v>-65.358854598261843</c:v>
                </c:pt>
                <c:pt idx="438">
                  <c:v>-65.451839770095063</c:v>
                </c:pt>
                <c:pt idx="439">
                  <c:v>-65.54416997496314</c:v>
                </c:pt>
                <c:pt idx="440">
                  <c:v>-65.635851619512891</c:v>
                </c:pt>
                <c:pt idx="441">
                  <c:v>-65.726891034443639</c:v>
                </c:pt>
                <c:pt idx="442">
                  <c:v>-65.817294475487984</c:v>
                </c:pt>
                <c:pt idx="443">
                  <c:v>-65.907068124379236</c:v>
                </c:pt>
                <c:pt idx="444">
                  <c:v>-65.996218089811492</c:v>
                </c:pt>
                <c:pt idx="445">
                  <c:v>-66.084750408383016</c:v>
                </c:pt>
                <c:pt idx="446">
                  <c:v>-66.172671045531573</c:v>
                </c:pt>
                <c:pt idx="447">
                  <c:v>-66.259985896457707</c:v>
                </c:pt>
                <c:pt idx="448">
                  <c:v>-66.346700787034976</c:v>
                </c:pt>
                <c:pt idx="449">
                  <c:v>-66.43282147471065</c:v>
                </c:pt>
                <c:pt idx="450">
                  <c:v>-66.51835364939501</c:v>
                </c:pt>
                <c:pt idx="451">
                  <c:v>-66.603302934337549</c:v>
                </c:pt>
                <c:pt idx="452">
                  <c:v>-66.68767488699487</c:v>
                </c:pt>
                <c:pt idx="453">
                  <c:v>-66.771474999885513</c:v>
                </c:pt>
                <c:pt idx="454">
                  <c:v>-66.854708701434518</c:v>
                </c:pt>
                <c:pt idx="455">
                  <c:v>-66.937381356807819</c:v>
                </c:pt>
                <c:pt idx="456">
                  <c:v>-67.019498268734836</c:v>
                </c:pt>
                <c:pt idx="457">
                  <c:v>-67.101064678321038</c:v>
                </c:pt>
                <c:pt idx="458">
                  <c:v>-67.182085765849749</c:v>
                </c:pt>
                <c:pt idx="459">
                  <c:v>-67.262566651574019</c:v>
                </c:pt>
                <c:pt idx="460">
                  <c:v>-67.342512396497227</c:v>
                </c:pt>
                <c:pt idx="461">
                  <c:v>-67.421928003144558</c:v>
                </c:pt>
                <c:pt idx="462">
                  <c:v>-67.500818416323185</c:v>
                </c:pt>
                <c:pt idx="463">
                  <c:v>-67.579188523873484</c:v>
                </c:pt>
                <c:pt idx="464">
                  <c:v>-67.657043157409603</c:v>
                </c:pt>
                <c:pt idx="465">
                  <c:v>-67.734387093050884</c:v>
                </c:pt>
                <c:pt idx="466">
                  <c:v>-67.811225052142248</c:v>
                </c:pt>
                <c:pt idx="467">
                  <c:v>-67.887561701966959</c:v>
                </c:pt>
                <c:pt idx="468">
                  <c:v>-67.963401656447772</c:v>
                </c:pt>
                <c:pt idx="469">
                  <c:v>-68.038749476840607</c:v>
                </c:pt>
                <c:pt idx="470">
                  <c:v>-68.113609672417368</c:v>
                </c:pt>
                <c:pt idx="471">
                  <c:v>-68.187986701140289</c:v>
                </c:pt>
                <c:pt idx="472">
                  <c:v>-68.261884970327529</c:v>
                </c:pt>
                <c:pt idx="473">
                  <c:v>-68.335308837308574</c:v>
                </c:pt>
                <c:pt idx="474">
                  <c:v>-68.408262610072654</c:v>
                </c:pt>
                <c:pt idx="475">
                  <c:v>-68.480750547906339</c:v>
                </c:pt>
                <c:pt idx="476">
                  <c:v>-68.552776862024032</c:v>
                </c:pt>
                <c:pt idx="477">
                  <c:v>-68.62434571618877</c:v>
                </c:pt>
                <c:pt idx="478">
                  <c:v>-68.695461227325822</c:v>
                </c:pt>
                <c:pt idx="479">
                  <c:v>-68.766127466126278</c:v>
                </c:pt>
                <c:pt idx="480">
                  <c:v>-68.836348457644164</c:v>
                </c:pt>
                <c:pt idx="481">
                  <c:v>-68.90612818188437</c:v>
                </c:pt>
                <c:pt idx="482">
                  <c:v>-68.975470574382541</c:v>
                </c:pt>
                <c:pt idx="483">
                  <c:v>-69.044379526777306</c:v>
                </c:pt>
                <c:pt idx="484">
                  <c:v>-69.11285888737477</c:v>
                </c:pt>
                <c:pt idx="485">
                  <c:v>-69.180912461704537</c:v>
                </c:pt>
                <c:pt idx="486">
                  <c:v>-69.248544013069449</c:v>
                </c:pt>
                <c:pt idx="487">
                  <c:v>-69.315757263086539</c:v>
                </c:pt>
                <c:pt idx="488">
                  <c:v>-69.382555892220594</c:v>
                </c:pt>
                <c:pt idx="489">
                  <c:v>-69.448943540312044</c:v>
                </c:pt>
                <c:pt idx="490">
                  <c:v>-69.514923807094775</c:v>
                </c:pt>
                <c:pt idx="491">
                  <c:v>-69.580500252709072</c:v>
                </c:pt>
                <c:pt idx="492">
                  <c:v>-69.645676398207442</c:v>
                </c:pt>
                <c:pt idx="493">
                  <c:v>-69.710455726051165</c:v>
                </c:pt>
                <c:pt idx="494">
                  <c:v>-69.774841680603387</c:v>
                </c:pt>
                <c:pt idx="495">
                  <c:v>-69.838837668612598</c:v>
                </c:pt>
                <c:pt idx="496">
                  <c:v>-69.902447059690459</c:v>
                </c:pt>
                <c:pt idx="497">
                  <c:v>-69.965673186783761</c:v>
                </c:pt>
                <c:pt idx="498">
                  <c:v>-70.028519346638745</c:v>
                </c:pt>
                <c:pt idx="499">
                  <c:v>-70.090988800259467</c:v>
                </c:pt>
                <c:pt idx="500">
                  <c:v>-70.153084773359808</c:v>
                </c:pt>
                <c:pt idx="501">
                  <c:v>-70.214810456809758</c:v>
                </c:pt>
                <c:pt idx="502">
                  <c:v>-70.276169007074074</c:v>
                </c:pt>
                <c:pt idx="503">
                  <c:v>-70.337163546646664</c:v>
                </c:pt>
                <c:pt idx="504">
                  <c:v>-70.397797164478106</c:v>
                </c:pt>
                <c:pt idx="505">
                  <c:v>-70.458072916396574</c:v>
                </c:pt>
                <c:pt idx="506">
                  <c:v>-70.517993825525053</c:v>
                </c:pt>
                <c:pt idx="507">
                  <c:v>-70.577562882689989</c:v>
                </c:pt>
                <c:pt idx="508">
                  <c:v>-70.636783046826423</c:v>
                </c:pt>
                <c:pt idx="509">
                  <c:v>-70.695657245377603</c:v>
                </c:pt>
                <c:pt idx="510">
                  <c:v>-70.754188374687146</c:v>
                </c:pt>
                <c:pt idx="511">
                  <c:v>-70.812379300387349</c:v>
                </c:pt>
                <c:pt idx="512">
                  <c:v>-70.870232857782113</c:v>
                </c:pt>
                <c:pt idx="513">
                  <c:v>-70.927751852224574</c:v>
                </c:pt>
                <c:pt idx="514">
                  <c:v>-70.984939059488227</c:v>
                </c:pt>
                <c:pt idx="515">
                  <c:v>-71.041797226134946</c:v>
                </c:pt>
                <c:pt idx="516">
                  <c:v>-71.098329069876598</c:v>
                </c:pt>
                <c:pt idx="517">
                  <c:v>-71.154537279931731</c:v>
                </c:pt>
                <c:pt idx="518">
                  <c:v>-71.210424517378499</c:v>
                </c:pt>
                <c:pt idx="519">
                  <c:v>-71.265993415500915</c:v>
                </c:pt>
                <c:pt idx="520">
                  <c:v>-71.321246580132311</c:v>
                </c:pt>
                <c:pt idx="521">
                  <c:v>-71.376186589992386</c:v>
                </c:pt>
                <c:pt idx="522">
                  <c:v>-71.430815997020744</c:v>
                </c:pt>
                <c:pt idx="523">
                  <c:v>-71.485137326705711</c:v>
                </c:pt>
                <c:pt idx="524">
                  <c:v>-71.539153078407878</c:v>
                </c:pt>
                <c:pt idx="525">
                  <c:v>-71.592865725680042</c:v>
                </c:pt>
                <c:pt idx="526">
                  <c:v>-71.646277716582787</c:v>
                </c:pt>
                <c:pt idx="527">
                  <c:v>-71.699391473995163</c:v>
                </c:pt>
                <c:pt idx="528">
                  <c:v>-71.75220939592127</c:v>
                </c:pt>
                <c:pt idx="529">
                  <c:v>-71.804733855793117</c:v>
                </c:pt>
                <c:pt idx="530">
                  <c:v>-71.856967202769482</c:v>
                </c:pt>
                <c:pt idx="531">
                  <c:v>-71.908911762029007</c:v>
                </c:pt>
                <c:pt idx="532">
                  <c:v>-71.960569835061747</c:v>
                </c:pt>
                <c:pt idx="533">
                  <c:v>-72.011943699955339</c:v>
                </c:pt>
                <c:pt idx="534">
                  <c:v>-72.06303561167708</c:v>
                </c:pt>
                <c:pt idx="535">
                  <c:v>-72.11384780235332</c:v>
                </c:pt>
                <c:pt idx="536">
                  <c:v>-72.164382481543328</c:v>
                </c:pt>
                <c:pt idx="537">
                  <c:v>-72.214641836511788</c:v>
                </c:pt>
                <c:pt idx="538">
                  <c:v>-72.264628032494841</c:v>
                </c:pt>
                <c:pt idx="539">
                  <c:v>-72.314343212965824</c:v>
                </c:pt>
                <c:pt idx="540">
                  <c:v>-72.363789499893755</c:v>
                </c:pt>
                <c:pt idx="541">
                  <c:v>-72.41296899400119</c:v>
                </c:pt>
                <c:pt idx="542">
                  <c:v>-72.461883775017455</c:v>
                </c:pt>
                <c:pt idx="543">
                  <c:v>-72.510535901928421</c:v>
                </c:pt>
                <c:pt idx="544">
                  <c:v>-72.558927413222591</c:v>
                </c:pt>
                <c:pt idx="545">
                  <c:v>-72.607060327136054</c:v>
                </c:pt>
                <c:pt idx="546">
                  <c:v>-72.654936641890188</c:v>
                </c:pt>
                <c:pt idx="547">
                  <c:v>-72.702558335930149</c:v>
                </c:pt>
                <c:pt idx="548">
                  <c:v>-72.749927368157572</c:v>
                </c:pt>
                <c:pt idx="549">
                  <c:v>-72.797045678161709</c:v>
                </c:pt>
                <c:pt idx="550">
                  <c:v>-72.843915186446196</c:v>
                </c:pt>
                <c:pt idx="551">
                  <c:v>-72.89053779465354</c:v>
                </c:pt>
                <c:pt idx="552">
                  <c:v>-72.93691538578706</c:v>
                </c:pt>
                <c:pt idx="553">
                  <c:v>-72.983049824428406</c:v>
                </c:pt>
                <c:pt idx="554">
                  <c:v>-73.028942956953586</c:v>
                </c:pt>
                <c:pt idx="555">
                  <c:v>-73.074596611745733</c:v>
                </c:pt>
                <c:pt idx="556">
                  <c:v>-73.120012599404305</c:v>
                </c:pt>
                <c:pt idx="557">
                  <c:v>-73.165192712952702</c:v>
                </c:pt>
                <c:pt idx="558">
                  <c:v>-73.210138728042381</c:v>
                </c:pt>
                <c:pt idx="559">
                  <c:v>-73.254852403154246</c:v>
                </c:pt>
                <c:pt idx="560">
                  <c:v>-73.299335479797847</c:v>
                </c:pt>
                <c:pt idx="561">
                  <c:v>-73.343589682707247</c:v>
                </c:pt>
                <c:pt idx="562">
                  <c:v>-73.387616720035396</c:v>
                </c:pt>
                <c:pt idx="563">
                  <c:v>-73.431418283544318</c:v>
                </c:pt>
                <c:pt idx="564">
                  <c:v>-73.474996048794651</c:v>
                </c:pt>
                <c:pt idx="565">
                  <c:v>-73.518351675331587</c:v>
                </c:pt>
                <c:pt idx="566">
                  <c:v>-73.561486806867805</c:v>
                </c:pt>
                <c:pt idx="567">
                  <c:v>-73.604403071466123</c:v>
                </c:pt>
                <c:pt idx="568">
                  <c:v>-73.647102081717151</c:v>
                </c:pt>
                <c:pt idx="569">
                  <c:v>-73.689585434916637</c:v>
                </c:pt>
                <c:pt idx="570">
                  <c:v>-73.7318547132395</c:v>
                </c:pt>
                <c:pt idx="571">
                  <c:v>-73.773911483911988</c:v>
                </c:pt>
                <c:pt idx="572">
                  <c:v>-73.815757299380905</c:v>
                </c:pt>
                <c:pt idx="573">
                  <c:v>-73.857393697482351</c:v>
                </c:pt>
                <c:pt idx="574">
                  <c:v>-73.898822201605526</c:v>
                </c:pt>
                <c:pt idx="575">
                  <c:v>-73.940044320857126</c:v>
                </c:pt>
                <c:pt idx="576">
                  <c:v>-73.981061550222279</c:v>
                </c:pt>
                <c:pt idx="577">
                  <c:v>-74.021875370723421</c:v>
                </c:pt>
                <c:pt idx="578">
                  <c:v>-74.062487249576833</c:v>
                </c:pt>
                <c:pt idx="579">
                  <c:v>-74.102898640348911</c:v>
                </c:pt>
                <c:pt idx="580">
                  <c:v>-74.143110983107235</c:v>
                </c:pt>
                <c:pt idx="581">
                  <c:v>-74.183125704573371</c:v>
                </c:pt>
                <c:pt idx="582">
                  <c:v>-74.222944218270712</c:v>
                </c:pt>
                <c:pt idx="583">
                  <c:v>-74.262567924672268</c:v>
                </c:pt>
                <c:pt idx="584">
                  <c:v>-74.301998211345932</c:v>
                </c:pt>
                <c:pt idx="585">
                  <c:v>-74.341236453097054</c:v>
                </c:pt>
                <c:pt idx="586">
                  <c:v>-74.380284012110891</c:v>
                </c:pt>
                <c:pt idx="587">
                  <c:v>-74.419142238092348</c:v>
                </c:pt>
                <c:pt idx="588">
                  <c:v>-74.457812468403262</c:v>
                </c:pt>
                <c:pt idx="589">
                  <c:v>-74.496296028199069</c:v>
                </c:pt>
                <c:pt idx="590">
                  <c:v>-74.534594230563329</c:v>
                </c:pt>
                <c:pt idx="591">
                  <c:v>-74.572708376640364</c:v>
                </c:pt>
                <c:pt idx="592">
                  <c:v>-74.610639755766528</c:v>
                </c:pt>
                <c:pt idx="593">
                  <c:v>-74.648389645599451</c:v>
                </c:pt>
                <c:pt idx="594">
                  <c:v>-74.685959312245714</c:v>
                </c:pt>
                <c:pt idx="595">
                  <c:v>-74.723350010387605</c:v>
                </c:pt>
                <c:pt idx="596">
                  <c:v>-74.760562983406857</c:v>
                </c:pt>
                <c:pt idx="597">
                  <c:v>-74.797599463508476</c:v>
                </c:pt>
                <c:pt idx="598">
                  <c:v>-74.83446067184191</c:v>
                </c:pt>
                <c:pt idx="599">
                  <c:v>-74.871147818620827</c:v>
                </c:pt>
                <c:pt idx="600">
                  <c:v>-74.907662103241677</c:v>
                </c:pt>
                <c:pt idx="601">
                  <c:v>-74.944004714401188</c:v>
                </c:pt>
                <c:pt idx="602">
                  <c:v>-74.980176830210794</c:v>
                </c:pt>
                <c:pt idx="603">
                  <c:v>-75.016179618311767</c:v>
                </c:pt>
                <c:pt idx="604">
                  <c:v>-75.052014235987201</c:v>
                </c:pt>
                <c:pt idx="605">
                  <c:v>-75.087681830273524</c:v>
                </c:pt>
                <c:pt idx="606">
                  <c:v>-76.680771047253458</c:v>
                </c:pt>
                <c:pt idx="607">
                  <c:v>-77.970989748659747</c:v>
                </c:pt>
                <c:pt idx="608">
                  <c:v>-79.036180698747785</c:v>
                </c:pt>
                <c:pt idx="609">
                  <c:v>-79.929901525583588</c:v>
                </c:pt>
                <c:pt idx="610">
                  <c:v>-80.690116687563446</c:v>
                </c:pt>
                <c:pt idx="611">
                  <c:v>-81.344440240460244</c:v>
                </c:pt>
                <c:pt idx="612">
                  <c:v>-81.913413026473151</c:v>
                </c:pt>
                <c:pt idx="613">
                  <c:v>-82.412617114386236</c:v>
                </c:pt>
                <c:pt idx="614">
                  <c:v>-82.854078896531249</c:v>
                </c:pt>
                <c:pt idx="615">
                  <c:v>-83.24722369782576</c:v>
                </c:pt>
                <c:pt idx="616">
                  <c:v>-83.599539888555938</c:v>
                </c:pt>
                <c:pt idx="617">
                  <c:v>-83.917050221319187</c:v>
                </c:pt>
                <c:pt idx="618">
                  <c:v>-84.035437453650843</c:v>
                </c:pt>
                <c:pt idx="619">
                  <c:v>-84.149320593477682</c:v>
                </c:pt>
                <c:pt idx="620">
                  <c:v>-84.258951013665168</c:v>
                </c:pt>
                <c:pt idx="621">
                  <c:v>-84.364561784899067</c:v>
                </c:pt>
                <c:pt idx="622">
                  <c:v>-84.466369306233204</c:v>
                </c:pt>
                <c:pt idx="623">
                  <c:v>-84.564574764922853</c:v>
                </c:pt>
                <c:pt idx="624">
                  <c:v>-84.659365445973677</c:v>
                </c:pt>
                <c:pt idx="625">
                  <c:v>-84.750915909096477</c:v>
                </c:pt>
                <c:pt idx="626">
                  <c:v>-84.839389048425062</c:v>
                </c:pt>
                <c:pt idx="627">
                  <c:v>-84.924937048361357</c:v>
                </c:pt>
                <c:pt idx="628">
                  <c:v>-85.007702247201735</c:v>
                </c:pt>
                <c:pt idx="629">
                  <c:v>-85.087817918734686</c:v>
                </c:pt>
                <c:pt idx="630">
                  <c:v>-85.165408980733616</c:v>
                </c:pt>
                <c:pt idx="631">
                  <c:v>-85.240592638180402</c:v>
                </c:pt>
                <c:pt idx="632">
                  <c:v>-85.313478968112491</c:v>
                </c:pt>
                <c:pt idx="633">
                  <c:v>-85.38417145216701</c:v>
                </c:pt>
                <c:pt idx="634">
                  <c:v>-85.452767462188447</c:v>
                </c:pt>
                <c:pt idx="635">
                  <c:v>-85.519358703643846</c:v>
                </c:pt>
                <c:pt idx="636">
                  <c:v>-85.584031621053896</c:v>
                </c:pt>
                <c:pt idx="637">
                  <c:v>-85.646867769174335</c:v>
                </c:pt>
                <c:pt idx="638">
                  <c:v>-85.707944153249571</c:v>
                </c:pt>
                <c:pt idx="639">
                  <c:v>-85.767333541298399</c:v>
                </c:pt>
                <c:pt idx="640">
                  <c:v>-85.825104751072175</c:v>
                </c:pt>
                <c:pt idx="641">
                  <c:v>-85.881322914046038</c:v>
                </c:pt>
                <c:pt idx="642">
                  <c:v>-85.93604971855531</c:v>
                </c:pt>
                <c:pt idx="643">
                  <c:v>-85.989343633971501</c:v>
                </c:pt>
                <c:pt idx="644">
                  <c:v>-86.041260117617256</c:v>
                </c:pt>
                <c:pt idx="645">
                  <c:v>-86.091851805948849</c:v>
                </c:pt>
                <c:pt idx="646">
                  <c:v>-86.141168691382475</c:v>
                </c:pt>
                <c:pt idx="647">
                  <c:v>-86.189258286004033</c:v>
                </c:pt>
                <c:pt idx="648">
                  <c:v>-86.23616577328221</c:v>
                </c:pt>
                <c:pt idx="649">
                  <c:v>-86.281934148796751</c:v>
                </c:pt>
                <c:pt idx="650">
                  <c:v>-86.326604350896858</c:v>
                </c:pt>
                <c:pt idx="651">
                  <c:v>-86.370215382120321</c:v>
                </c:pt>
                <c:pt idx="652">
                  <c:v>-86.412804422124523</c:v>
                </c:pt>
                <c:pt idx="653">
                  <c:v>-86.454406932813555</c:v>
                </c:pt>
                <c:pt idx="654">
                  <c:v>-86.495056756282054</c:v>
                </c:pt>
                <c:pt idx="655">
                  <c:v>-86.534786206141931</c:v>
                </c:pt>
                <c:pt idx="656">
                  <c:v>-86.573626152746201</c:v>
                </c:pt>
                <c:pt idx="657">
                  <c:v>-86.611606102780584</c:v>
                </c:pt>
                <c:pt idx="658">
                  <c:v>-86.648754273651491</c:v>
                </c:pt>
                <c:pt idx="659">
                  <c:v>-86.685097663062933</c:v>
                </c:pt>
                <c:pt idx="660">
                  <c:v>-86.720662114140723</c:v>
                </c:pt>
                <c:pt idx="661">
                  <c:v>-86.755472376432635</c:v>
                </c:pt>
                <c:pt idx="662">
                  <c:v>-86.789552163086157</c:v>
                </c:pt>
                <c:pt idx="663">
                  <c:v>-86.822924204478966</c:v>
                </c:pt>
                <c:pt idx="664">
                  <c:v>-86.855610298557522</c:v>
                </c:pt>
                <c:pt idx="665">
                  <c:v>-86.88763135811547</c:v>
                </c:pt>
                <c:pt idx="666">
                  <c:v>-86.919007455227543</c:v>
                </c:pt>
                <c:pt idx="667">
                  <c:v>-86.949757863035529</c:v>
                </c:pt>
              </c:numCache>
            </c:numRef>
          </c:yVal>
          <c:smooth val="1"/>
          <c:extLst>
            <c:ext xmlns:c16="http://schemas.microsoft.com/office/drawing/2014/chart" uri="{C3380CC4-5D6E-409C-BE32-E72D297353CC}">
              <c16:uniqueId val="{00000001-2033-4F1A-8470-CEAF38D8D56A}"/>
            </c:ext>
          </c:extLst>
        </c:ser>
        <c:dLbls>
          <c:showLegendKey val="0"/>
          <c:showVal val="0"/>
          <c:showCatName val="0"/>
          <c:showSerName val="0"/>
          <c:showPercent val="0"/>
          <c:showBubbleSize val="0"/>
        </c:dLbls>
        <c:axId val="199077888"/>
        <c:axId val="199079424"/>
      </c:scatterChart>
      <c:valAx>
        <c:axId val="199073792"/>
        <c:scaling>
          <c:logBase val="10"/>
          <c:orientation val="minMax"/>
          <c:max val="1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200" b="1" i="0" u="none" strike="noStrike" baseline="0">
                    <a:solidFill>
                      <a:srgbClr val="000000"/>
                    </a:solidFill>
                    <a:latin typeface="+mn-lt"/>
                    <a:ea typeface="Arial"/>
                    <a:cs typeface="Arial"/>
                  </a:defRPr>
                </a:pPr>
                <a:r>
                  <a:rPr lang="en-US" sz="1200">
                    <a:latin typeface="+mn-lt"/>
                  </a:rPr>
                  <a:t>Frequency(Hz)</a:t>
                </a:r>
              </a:p>
            </c:rich>
          </c:tx>
          <c:layout>
            <c:manualLayout>
              <c:xMode val="edge"/>
              <c:yMode val="edge"/>
              <c:x val="0.39287850608077962"/>
              <c:y val="0.89432172952065203"/>
            </c:manualLayout>
          </c:layout>
          <c:overlay val="0"/>
          <c:spPr>
            <a:noFill/>
            <a:ln w="25400">
              <a:noFill/>
            </a:ln>
          </c:spPr>
        </c:title>
        <c:numFmt formatCode="0.00E+0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99075712"/>
        <c:crossesAt val="-60"/>
        <c:crossBetween val="midCat"/>
        <c:majorUnit val="10"/>
        <c:minorUnit val="10"/>
      </c:valAx>
      <c:valAx>
        <c:axId val="199075712"/>
        <c:scaling>
          <c:orientation val="minMax"/>
          <c:max val="60"/>
          <c:min val="-60"/>
        </c:scaling>
        <c:delete val="0"/>
        <c:axPos val="l"/>
        <c:majorGridlines>
          <c:spPr>
            <a:ln w="3175">
              <a:solidFill>
                <a:srgbClr val="000000"/>
              </a:solidFill>
              <a:prstDash val="solid"/>
            </a:ln>
          </c:spPr>
        </c:majorGridlines>
        <c:title>
          <c:tx>
            <c:rich>
              <a:bodyPr/>
              <a:lstStyle/>
              <a:p>
                <a:pPr>
                  <a:defRPr sz="1200" b="1" i="0" u="none" strike="noStrike" baseline="0">
                    <a:solidFill>
                      <a:srgbClr val="0000FF"/>
                    </a:solidFill>
                    <a:latin typeface="+mn-lt"/>
                    <a:ea typeface="Arial"/>
                    <a:cs typeface="Arial"/>
                  </a:defRPr>
                </a:pPr>
                <a:r>
                  <a:rPr lang="en-US" sz="1200">
                    <a:latin typeface="+mn-lt"/>
                  </a:rPr>
                  <a:t>Gain (dB)</a:t>
                </a:r>
              </a:p>
            </c:rich>
          </c:tx>
          <c:layout>
            <c:manualLayout>
              <c:xMode val="edge"/>
              <c:yMode val="edge"/>
              <c:x val="2.4691615534813117E-2"/>
              <c:y val="0.432665423401022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9073792"/>
        <c:crossesAt val="1"/>
        <c:crossBetween val="midCat"/>
        <c:minorUnit val="4"/>
      </c:valAx>
      <c:valAx>
        <c:axId val="199077888"/>
        <c:scaling>
          <c:logBase val="10"/>
          <c:orientation val="minMax"/>
        </c:scaling>
        <c:delete val="1"/>
        <c:axPos val="b"/>
        <c:numFmt formatCode="General" sourceLinked="1"/>
        <c:majorTickMark val="out"/>
        <c:minorTickMark val="none"/>
        <c:tickLblPos val="nextTo"/>
        <c:crossAx val="199079424"/>
        <c:crosses val="autoZero"/>
        <c:crossBetween val="midCat"/>
      </c:valAx>
      <c:valAx>
        <c:axId val="199079424"/>
        <c:scaling>
          <c:orientation val="minMax"/>
          <c:max val="30"/>
          <c:min val="-150"/>
        </c:scaling>
        <c:delete val="0"/>
        <c:axPos val="r"/>
        <c:title>
          <c:tx>
            <c:rich>
              <a:bodyPr/>
              <a:lstStyle/>
              <a:p>
                <a:pPr>
                  <a:defRPr sz="1200" b="1" i="0" u="none" strike="noStrike" baseline="0">
                    <a:solidFill>
                      <a:srgbClr val="FF0000"/>
                    </a:solidFill>
                    <a:latin typeface="+mn-lt"/>
                    <a:ea typeface="Arial"/>
                    <a:cs typeface="Arial"/>
                  </a:defRPr>
                </a:pPr>
                <a:r>
                  <a:rPr lang="en-US" sz="1200">
                    <a:latin typeface="+mn-lt"/>
                  </a:rPr>
                  <a:t>Phase (deg)</a:t>
                </a:r>
              </a:p>
            </c:rich>
          </c:tx>
          <c:layout>
            <c:manualLayout>
              <c:xMode val="edge"/>
              <c:yMode val="edge"/>
              <c:x val="0.93474590510623268"/>
              <c:y val="0.406877331123083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199077888"/>
        <c:crosses val="max"/>
        <c:crossBetween val="midCat"/>
        <c:majorUnit val="30"/>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1" i="0" u="none" strike="noStrike" baseline="0">
                <a:solidFill>
                  <a:srgbClr val="000000"/>
                </a:solidFill>
                <a:latin typeface="+mn-lt"/>
                <a:ea typeface="Arial"/>
                <a:cs typeface="Arial"/>
              </a:defRPr>
            </a:pPr>
            <a:r>
              <a:rPr lang="en-US" sz="1200">
                <a:latin typeface="+mn-lt"/>
              </a:rPr>
              <a:t>Open</a:t>
            </a:r>
            <a:r>
              <a:rPr lang="en-US" sz="1200" baseline="0">
                <a:latin typeface="+mn-lt"/>
              </a:rPr>
              <a:t> L</a:t>
            </a:r>
            <a:r>
              <a:rPr lang="en-US" sz="1200">
                <a:latin typeface="+mn-lt"/>
              </a:rPr>
              <a:t>oop</a:t>
            </a:r>
            <a:r>
              <a:rPr lang="en-US" sz="1200" baseline="0">
                <a:latin typeface="+mn-lt"/>
              </a:rPr>
              <a:t> </a:t>
            </a:r>
            <a:r>
              <a:rPr lang="en-US" sz="1200">
                <a:latin typeface="+mn-lt"/>
              </a:rPr>
              <a:t>Gain/Phase</a:t>
            </a:r>
          </a:p>
        </c:rich>
      </c:tx>
      <c:layout>
        <c:manualLayout>
          <c:xMode val="edge"/>
          <c:yMode val="edge"/>
          <c:x val="0.30214629107115659"/>
          <c:y val="3.4383846709185165E-2"/>
        </c:manualLayout>
      </c:layout>
      <c:overlay val="0"/>
      <c:spPr>
        <a:noFill/>
        <a:ln w="25400">
          <a:noFill/>
        </a:ln>
      </c:spPr>
    </c:title>
    <c:autoTitleDeleted val="0"/>
    <c:plotArea>
      <c:layout>
        <c:manualLayout>
          <c:layoutTarget val="inner"/>
          <c:xMode val="edge"/>
          <c:yMode val="edge"/>
          <c:x val="0.17258933521709177"/>
          <c:y val="0.21156509218359804"/>
          <c:w val="0.59963730569015161"/>
          <c:h val="0.60214680083024041"/>
        </c:manualLayout>
      </c:layout>
      <c:scatterChart>
        <c:scatterStyle val="smoothMarker"/>
        <c:varyColors val="0"/>
        <c:ser>
          <c:idx val="0"/>
          <c:order val="0"/>
          <c:spPr>
            <a:ln w="25400">
              <a:solidFill>
                <a:srgbClr val="0000FF"/>
              </a:solidFill>
              <a:prstDash val="solid"/>
            </a:ln>
          </c:spPr>
          <c:marker>
            <c:symbol val="none"/>
          </c:marker>
          <c:xVal>
            <c:numRef>
              <c:f>'Raw data'!$C$82:$C$749</c:f>
              <c:numCache>
                <c:formatCode>General</c:formatCode>
                <c:ptCount val="668"/>
                <c:pt idx="0">
                  <c:v>1</c:v>
                </c:pt>
                <c:pt idx="1">
                  <c:v>2</c:v>
                </c:pt>
                <c:pt idx="2">
                  <c:v>3</c:v>
                </c:pt>
                <c:pt idx="3">
                  <c:v>4</c:v>
                </c:pt>
                <c:pt idx="4">
                  <c:v>5</c:v>
                </c:pt>
                <c:pt idx="5">
                  <c:v>6</c:v>
                </c:pt>
                <c:pt idx="6">
                  <c:v>7</c:v>
                </c:pt>
                <c:pt idx="7">
                  <c:v>8</c:v>
                </c:pt>
                <c:pt idx="8">
                  <c:v>9</c:v>
                </c:pt>
                <c:pt idx="9">
                  <c:v>10</c:v>
                </c:pt>
                <c:pt idx="10">
                  <c:v>20</c:v>
                </c:pt>
                <c:pt idx="11">
                  <c:v>30</c:v>
                </c:pt>
                <c:pt idx="12">
                  <c:v>40</c:v>
                </c:pt>
                <c:pt idx="13">
                  <c:v>50</c:v>
                </c:pt>
                <c:pt idx="14">
                  <c:v>60</c:v>
                </c:pt>
                <c:pt idx="15">
                  <c:v>70</c:v>
                </c:pt>
                <c:pt idx="16">
                  <c:v>80</c:v>
                </c:pt>
                <c:pt idx="17">
                  <c:v>90</c:v>
                </c:pt>
                <c:pt idx="18">
                  <c:v>100</c:v>
                </c:pt>
                <c:pt idx="19">
                  <c:v>200</c:v>
                </c:pt>
                <c:pt idx="20">
                  <c:v>300</c:v>
                </c:pt>
                <c:pt idx="21">
                  <c:v>400</c:v>
                </c:pt>
                <c:pt idx="22">
                  <c:v>500</c:v>
                </c:pt>
                <c:pt idx="23">
                  <c:v>600</c:v>
                </c:pt>
                <c:pt idx="24">
                  <c:v>700</c:v>
                </c:pt>
                <c:pt idx="25">
                  <c:v>800</c:v>
                </c:pt>
                <c:pt idx="26">
                  <c:v>900</c:v>
                </c:pt>
                <c:pt idx="27">
                  <c:v>1000</c:v>
                </c:pt>
                <c:pt idx="28">
                  <c:v>1500</c:v>
                </c:pt>
                <c:pt idx="29">
                  <c:v>2000</c:v>
                </c:pt>
                <c:pt idx="30">
                  <c:v>2500</c:v>
                </c:pt>
                <c:pt idx="31">
                  <c:v>3000</c:v>
                </c:pt>
                <c:pt idx="32">
                  <c:v>3500</c:v>
                </c:pt>
                <c:pt idx="33">
                  <c:v>4000</c:v>
                </c:pt>
                <c:pt idx="34">
                  <c:v>4500</c:v>
                </c:pt>
                <c:pt idx="35">
                  <c:v>5000</c:v>
                </c:pt>
                <c:pt idx="36">
                  <c:v>5500</c:v>
                </c:pt>
                <c:pt idx="37">
                  <c:v>6000</c:v>
                </c:pt>
                <c:pt idx="38">
                  <c:v>6500</c:v>
                </c:pt>
                <c:pt idx="39">
                  <c:v>7000</c:v>
                </c:pt>
                <c:pt idx="40">
                  <c:v>7500</c:v>
                </c:pt>
                <c:pt idx="41">
                  <c:v>8000</c:v>
                </c:pt>
                <c:pt idx="42">
                  <c:v>8500</c:v>
                </c:pt>
                <c:pt idx="43">
                  <c:v>9000</c:v>
                </c:pt>
                <c:pt idx="44">
                  <c:v>9500</c:v>
                </c:pt>
                <c:pt idx="45">
                  <c:v>10000</c:v>
                </c:pt>
                <c:pt idx="46">
                  <c:v>10500</c:v>
                </c:pt>
                <c:pt idx="47">
                  <c:v>11000</c:v>
                </c:pt>
                <c:pt idx="48">
                  <c:v>11500</c:v>
                </c:pt>
                <c:pt idx="49">
                  <c:v>12000</c:v>
                </c:pt>
                <c:pt idx="50">
                  <c:v>12500</c:v>
                </c:pt>
                <c:pt idx="51">
                  <c:v>13000</c:v>
                </c:pt>
                <c:pt idx="52">
                  <c:v>13500</c:v>
                </c:pt>
                <c:pt idx="53">
                  <c:v>14000</c:v>
                </c:pt>
                <c:pt idx="54">
                  <c:v>14500</c:v>
                </c:pt>
                <c:pt idx="55">
                  <c:v>15000</c:v>
                </c:pt>
                <c:pt idx="56">
                  <c:v>15500</c:v>
                </c:pt>
                <c:pt idx="57">
                  <c:v>16000</c:v>
                </c:pt>
                <c:pt idx="58">
                  <c:v>16500</c:v>
                </c:pt>
                <c:pt idx="59">
                  <c:v>17000</c:v>
                </c:pt>
                <c:pt idx="60">
                  <c:v>17500</c:v>
                </c:pt>
                <c:pt idx="61">
                  <c:v>18000</c:v>
                </c:pt>
                <c:pt idx="62">
                  <c:v>18500</c:v>
                </c:pt>
                <c:pt idx="63">
                  <c:v>19000</c:v>
                </c:pt>
                <c:pt idx="64">
                  <c:v>19500</c:v>
                </c:pt>
                <c:pt idx="65">
                  <c:v>20000</c:v>
                </c:pt>
                <c:pt idx="66">
                  <c:v>20500</c:v>
                </c:pt>
                <c:pt idx="67">
                  <c:v>21000</c:v>
                </c:pt>
                <c:pt idx="68">
                  <c:v>21500</c:v>
                </c:pt>
                <c:pt idx="69">
                  <c:v>22000</c:v>
                </c:pt>
                <c:pt idx="70">
                  <c:v>22500</c:v>
                </c:pt>
                <c:pt idx="71">
                  <c:v>23000</c:v>
                </c:pt>
                <c:pt idx="72">
                  <c:v>23500</c:v>
                </c:pt>
                <c:pt idx="73">
                  <c:v>24000</c:v>
                </c:pt>
                <c:pt idx="74">
                  <c:v>24500</c:v>
                </c:pt>
                <c:pt idx="75">
                  <c:v>25000</c:v>
                </c:pt>
                <c:pt idx="76">
                  <c:v>25500</c:v>
                </c:pt>
                <c:pt idx="77">
                  <c:v>26000</c:v>
                </c:pt>
                <c:pt idx="78">
                  <c:v>26500</c:v>
                </c:pt>
                <c:pt idx="79">
                  <c:v>27000</c:v>
                </c:pt>
                <c:pt idx="80">
                  <c:v>27500</c:v>
                </c:pt>
                <c:pt idx="81">
                  <c:v>28000</c:v>
                </c:pt>
                <c:pt idx="82">
                  <c:v>28500</c:v>
                </c:pt>
                <c:pt idx="83">
                  <c:v>29000</c:v>
                </c:pt>
                <c:pt idx="84">
                  <c:v>29500</c:v>
                </c:pt>
                <c:pt idx="85">
                  <c:v>30000</c:v>
                </c:pt>
                <c:pt idx="86">
                  <c:v>30500</c:v>
                </c:pt>
                <c:pt idx="87">
                  <c:v>31000</c:v>
                </c:pt>
                <c:pt idx="88">
                  <c:v>31500</c:v>
                </c:pt>
                <c:pt idx="89">
                  <c:v>32000</c:v>
                </c:pt>
                <c:pt idx="90">
                  <c:v>32500</c:v>
                </c:pt>
                <c:pt idx="91">
                  <c:v>33000</c:v>
                </c:pt>
                <c:pt idx="92">
                  <c:v>33500</c:v>
                </c:pt>
                <c:pt idx="93">
                  <c:v>34000</c:v>
                </c:pt>
                <c:pt idx="94">
                  <c:v>34500</c:v>
                </c:pt>
                <c:pt idx="95">
                  <c:v>35000</c:v>
                </c:pt>
                <c:pt idx="96">
                  <c:v>35500</c:v>
                </c:pt>
                <c:pt idx="97">
                  <c:v>36000</c:v>
                </c:pt>
                <c:pt idx="98">
                  <c:v>36500</c:v>
                </c:pt>
                <c:pt idx="99">
                  <c:v>37000</c:v>
                </c:pt>
                <c:pt idx="100">
                  <c:v>37500</c:v>
                </c:pt>
                <c:pt idx="101">
                  <c:v>38000</c:v>
                </c:pt>
                <c:pt idx="102">
                  <c:v>38500</c:v>
                </c:pt>
                <c:pt idx="103">
                  <c:v>39000</c:v>
                </c:pt>
                <c:pt idx="104">
                  <c:v>39500</c:v>
                </c:pt>
                <c:pt idx="105">
                  <c:v>40000</c:v>
                </c:pt>
                <c:pt idx="106">
                  <c:v>40500</c:v>
                </c:pt>
                <c:pt idx="107">
                  <c:v>41000</c:v>
                </c:pt>
                <c:pt idx="108">
                  <c:v>41500</c:v>
                </c:pt>
                <c:pt idx="109">
                  <c:v>42000</c:v>
                </c:pt>
                <c:pt idx="110">
                  <c:v>42500</c:v>
                </c:pt>
                <c:pt idx="111">
                  <c:v>43000</c:v>
                </c:pt>
                <c:pt idx="112">
                  <c:v>43500</c:v>
                </c:pt>
                <c:pt idx="113">
                  <c:v>44000</c:v>
                </c:pt>
                <c:pt idx="114">
                  <c:v>44500</c:v>
                </c:pt>
                <c:pt idx="115">
                  <c:v>45000</c:v>
                </c:pt>
                <c:pt idx="116">
                  <c:v>45500</c:v>
                </c:pt>
                <c:pt idx="117">
                  <c:v>46000</c:v>
                </c:pt>
                <c:pt idx="118">
                  <c:v>46500</c:v>
                </c:pt>
                <c:pt idx="119">
                  <c:v>47000</c:v>
                </c:pt>
                <c:pt idx="120">
                  <c:v>47500</c:v>
                </c:pt>
                <c:pt idx="121">
                  <c:v>48000</c:v>
                </c:pt>
                <c:pt idx="122">
                  <c:v>48500</c:v>
                </c:pt>
                <c:pt idx="123">
                  <c:v>49000</c:v>
                </c:pt>
                <c:pt idx="124">
                  <c:v>49500</c:v>
                </c:pt>
                <c:pt idx="125">
                  <c:v>50000</c:v>
                </c:pt>
                <c:pt idx="126">
                  <c:v>50500</c:v>
                </c:pt>
                <c:pt idx="127">
                  <c:v>51000</c:v>
                </c:pt>
                <c:pt idx="128">
                  <c:v>51500</c:v>
                </c:pt>
                <c:pt idx="129">
                  <c:v>52000</c:v>
                </c:pt>
                <c:pt idx="130">
                  <c:v>52500</c:v>
                </c:pt>
                <c:pt idx="131">
                  <c:v>53000</c:v>
                </c:pt>
                <c:pt idx="132">
                  <c:v>53500</c:v>
                </c:pt>
                <c:pt idx="133">
                  <c:v>54000</c:v>
                </c:pt>
                <c:pt idx="134">
                  <c:v>54500</c:v>
                </c:pt>
                <c:pt idx="135">
                  <c:v>55000</c:v>
                </c:pt>
                <c:pt idx="136">
                  <c:v>55500</c:v>
                </c:pt>
                <c:pt idx="137">
                  <c:v>56000</c:v>
                </c:pt>
                <c:pt idx="138">
                  <c:v>56500</c:v>
                </c:pt>
                <c:pt idx="139">
                  <c:v>57000</c:v>
                </c:pt>
                <c:pt idx="140">
                  <c:v>57500</c:v>
                </c:pt>
                <c:pt idx="141">
                  <c:v>58000</c:v>
                </c:pt>
                <c:pt idx="142">
                  <c:v>58500</c:v>
                </c:pt>
                <c:pt idx="143">
                  <c:v>59000</c:v>
                </c:pt>
                <c:pt idx="144">
                  <c:v>59500</c:v>
                </c:pt>
                <c:pt idx="145">
                  <c:v>60000</c:v>
                </c:pt>
                <c:pt idx="146">
                  <c:v>60500</c:v>
                </c:pt>
                <c:pt idx="147">
                  <c:v>61000</c:v>
                </c:pt>
                <c:pt idx="148">
                  <c:v>61500</c:v>
                </c:pt>
                <c:pt idx="149">
                  <c:v>62000</c:v>
                </c:pt>
                <c:pt idx="150">
                  <c:v>62500</c:v>
                </c:pt>
                <c:pt idx="151">
                  <c:v>63000</c:v>
                </c:pt>
                <c:pt idx="152">
                  <c:v>63500</c:v>
                </c:pt>
                <c:pt idx="153">
                  <c:v>64000</c:v>
                </c:pt>
                <c:pt idx="154">
                  <c:v>64500</c:v>
                </c:pt>
                <c:pt idx="155">
                  <c:v>65000</c:v>
                </c:pt>
                <c:pt idx="156">
                  <c:v>65500</c:v>
                </c:pt>
                <c:pt idx="157">
                  <c:v>66000</c:v>
                </c:pt>
                <c:pt idx="158">
                  <c:v>66500</c:v>
                </c:pt>
                <c:pt idx="159">
                  <c:v>67000</c:v>
                </c:pt>
                <c:pt idx="160">
                  <c:v>67500</c:v>
                </c:pt>
                <c:pt idx="161">
                  <c:v>68000</c:v>
                </c:pt>
                <c:pt idx="162">
                  <c:v>68500</c:v>
                </c:pt>
                <c:pt idx="163">
                  <c:v>69000</c:v>
                </c:pt>
                <c:pt idx="164">
                  <c:v>69500</c:v>
                </c:pt>
                <c:pt idx="165">
                  <c:v>70000</c:v>
                </c:pt>
                <c:pt idx="166">
                  <c:v>70500</c:v>
                </c:pt>
                <c:pt idx="167">
                  <c:v>71000</c:v>
                </c:pt>
                <c:pt idx="168">
                  <c:v>71500</c:v>
                </c:pt>
                <c:pt idx="169">
                  <c:v>72000</c:v>
                </c:pt>
                <c:pt idx="170">
                  <c:v>72500</c:v>
                </c:pt>
                <c:pt idx="171">
                  <c:v>73000</c:v>
                </c:pt>
                <c:pt idx="172">
                  <c:v>73500</c:v>
                </c:pt>
                <c:pt idx="173">
                  <c:v>74000</c:v>
                </c:pt>
                <c:pt idx="174">
                  <c:v>74500</c:v>
                </c:pt>
                <c:pt idx="175">
                  <c:v>75000</c:v>
                </c:pt>
                <c:pt idx="176">
                  <c:v>75500</c:v>
                </c:pt>
                <c:pt idx="177">
                  <c:v>76000</c:v>
                </c:pt>
                <c:pt idx="178">
                  <c:v>76500</c:v>
                </c:pt>
                <c:pt idx="179">
                  <c:v>77000</c:v>
                </c:pt>
                <c:pt idx="180">
                  <c:v>77500</c:v>
                </c:pt>
                <c:pt idx="181">
                  <c:v>78000</c:v>
                </c:pt>
                <c:pt idx="182">
                  <c:v>78500</c:v>
                </c:pt>
                <c:pt idx="183">
                  <c:v>79000</c:v>
                </c:pt>
                <c:pt idx="184">
                  <c:v>79500</c:v>
                </c:pt>
                <c:pt idx="185">
                  <c:v>80000</c:v>
                </c:pt>
                <c:pt idx="186">
                  <c:v>80500</c:v>
                </c:pt>
                <c:pt idx="187">
                  <c:v>81000</c:v>
                </c:pt>
                <c:pt idx="188">
                  <c:v>81500</c:v>
                </c:pt>
                <c:pt idx="189">
                  <c:v>82000</c:v>
                </c:pt>
                <c:pt idx="190">
                  <c:v>82500</c:v>
                </c:pt>
                <c:pt idx="191">
                  <c:v>83000</c:v>
                </c:pt>
                <c:pt idx="192">
                  <c:v>83500</c:v>
                </c:pt>
                <c:pt idx="193">
                  <c:v>84000</c:v>
                </c:pt>
                <c:pt idx="194">
                  <c:v>84500</c:v>
                </c:pt>
                <c:pt idx="195">
                  <c:v>85000</c:v>
                </c:pt>
                <c:pt idx="196">
                  <c:v>85500</c:v>
                </c:pt>
                <c:pt idx="197">
                  <c:v>86000</c:v>
                </c:pt>
                <c:pt idx="198">
                  <c:v>86500</c:v>
                </c:pt>
                <c:pt idx="199">
                  <c:v>87000</c:v>
                </c:pt>
                <c:pt idx="200">
                  <c:v>87500</c:v>
                </c:pt>
                <c:pt idx="201">
                  <c:v>88000</c:v>
                </c:pt>
                <c:pt idx="202">
                  <c:v>88500</c:v>
                </c:pt>
                <c:pt idx="203">
                  <c:v>89000</c:v>
                </c:pt>
                <c:pt idx="204">
                  <c:v>89500</c:v>
                </c:pt>
                <c:pt idx="205">
                  <c:v>90000</c:v>
                </c:pt>
                <c:pt idx="206">
                  <c:v>90500</c:v>
                </c:pt>
                <c:pt idx="207">
                  <c:v>91000</c:v>
                </c:pt>
                <c:pt idx="208">
                  <c:v>91500</c:v>
                </c:pt>
                <c:pt idx="209">
                  <c:v>92000</c:v>
                </c:pt>
                <c:pt idx="210">
                  <c:v>92500</c:v>
                </c:pt>
                <c:pt idx="211">
                  <c:v>93000</c:v>
                </c:pt>
                <c:pt idx="212">
                  <c:v>93500</c:v>
                </c:pt>
                <c:pt idx="213">
                  <c:v>94000</c:v>
                </c:pt>
                <c:pt idx="214">
                  <c:v>94500</c:v>
                </c:pt>
                <c:pt idx="215">
                  <c:v>95000</c:v>
                </c:pt>
                <c:pt idx="216">
                  <c:v>95500</c:v>
                </c:pt>
                <c:pt idx="217">
                  <c:v>96000</c:v>
                </c:pt>
                <c:pt idx="218">
                  <c:v>96500</c:v>
                </c:pt>
                <c:pt idx="219">
                  <c:v>97000</c:v>
                </c:pt>
                <c:pt idx="220">
                  <c:v>97500</c:v>
                </c:pt>
                <c:pt idx="221">
                  <c:v>98000</c:v>
                </c:pt>
                <c:pt idx="222">
                  <c:v>98500</c:v>
                </c:pt>
                <c:pt idx="223">
                  <c:v>99000</c:v>
                </c:pt>
                <c:pt idx="224">
                  <c:v>99500</c:v>
                </c:pt>
                <c:pt idx="225">
                  <c:v>100000</c:v>
                </c:pt>
                <c:pt idx="226">
                  <c:v>105000</c:v>
                </c:pt>
                <c:pt idx="227">
                  <c:v>110000</c:v>
                </c:pt>
                <c:pt idx="228">
                  <c:v>115000</c:v>
                </c:pt>
                <c:pt idx="229">
                  <c:v>120000</c:v>
                </c:pt>
                <c:pt idx="230">
                  <c:v>125000</c:v>
                </c:pt>
                <c:pt idx="231">
                  <c:v>130000</c:v>
                </c:pt>
                <c:pt idx="232">
                  <c:v>135000</c:v>
                </c:pt>
                <c:pt idx="233">
                  <c:v>140000</c:v>
                </c:pt>
                <c:pt idx="234">
                  <c:v>145000</c:v>
                </c:pt>
                <c:pt idx="235">
                  <c:v>150000</c:v>
                </c:pt>
                <c:pt idx="236">
                  <c:v>155000</c:v>
                </c:pt>
                <c:pt idx="237">
                  <c:v>160000</c:v>
                </c:pt>
                <c:pt idx="238">
                  <c:v>165000</c:v>
                </c:pt>
                <c:pt idx="239">
                  <c:v>170000</c:v>
                </c:pt>
                <c:pt idx="240">
                  <c:v>175000</c:v>
                </c:pt>
                <c:pt idx="241">
                  <c:v>180000</c:v>
                </c:pt>
                <c:pt idx="242">
                  <c:v>185000</c:v>
                </c:pt>
                <c:pt idx="243">
                  <c:v>190000</c:v>
                </c:pt>
                <c:pt idx="244">
                  <c:v>195000</c:v>
                </c:pt>
                <c:pt idx="245">
                  <c:v>200000</c:v>
                </c:pt>
                <c:pt idx="246">
                  <c:v>205000</c:v>
                </c:pt>
                <c:pt idx="247">
                  <c:v>210000</c:v>
                </c:pt>
                <c:pt idx="248">
                  <c:v>215000</c:v>
                </c:pt>
                <c:pt idx="249">
                  <c:v>220000</c:v>
                </c:pt>
                <c:pt idx="250">
                  <c:v>225000</c:v>
                </c:pt>
                <c:pt idx="251">
                  <c:v>230000</c:v>
                </c:pt>
                <c:pt idx="252">
                  <c:v>235000</c:v>
                </c:pt>
                <c:pt idx="253">
                  <c:v>240000</c:v>
                </c:pt>
                <c:pt idx="254">
                  <c:v>245000</c:v>
                </c:pt>
                <c:pt idx="255">
                  <c:v>250000</c:v>
                </c:pt>
                <c:pt idx="256">
                  <c:v>255000</c:v>
                </c:pt>
                <c:pt idx="257">
                  <c:v>260000</c:v>
                </c:pt>
                <c:pt idx="258">
                  <c:v>265000</c:v>
                </c:pt>
                <c:pt idx="259">
                  <c:v>270000</c:v>
                </c:pt>
                <c:pt idx="260">
                  <c:v>275000</c:v>
                </c:pt>
                <c:pt idx="261">
                  <c:v>280000</c:v>
                </c:pt>
                <c:pt idx="262">
                  <c:v>285000</c:v>
                </c:pt>
                <c:pt idx="263">
                  <c:v>290000</c:v>
                </c:pt>
                <c:pt idx="264">
                  <c:v>295000</c:v>
                </c:pt>
                <c:pt idx="265">
                  <c:v>300000</c:v>
                </c:pt>
                <c:pt idx="266">
                  <c:v>305000</c:v>
                </c:pt>
                <c:pt idx="267">
                  <c:v>310000</c:v>
                </c:pt>
                <c:pt idx="268">
                  <c:v>315000</c:v>
                </c:pt>
                <c:pt idx="269">
                  <c:v>320000</c:v>
                </c:pt>
                <c:pt idx="270">
                  <c:v>325000</c:v>
                </c:pt>
                <c:pt idx="271">
                  <c:v>330000</c:v>
                </c:pt>
                <c:pt idx="272">
                  <c:v>335000</c:v>
                </c:pt>
                <c:pt idx="273">
                  <c:v>340000</c:v>
                </c:pt>
                <c:pt idx="274">
                  <c:v>345000</c:v>
                </c:pt>
                <c:pt idx="275">
                  <c:v>350000</c:v>
                </c:pt>
                <c:pt idx="276">
                  <c:v>355000</c:v>
                </c:pt>
                <c:pt idx="277">
                  <c:v>360000</c:v>
                </c:pt>
                <c:pt idx="278">
                  <c:v>365000</c:v>
                </c:pt>
                <c:pt idx="279">
                  <c:v>370000</c:v>
                </c:pt>
                <c:pt idx="280">
                  <c:v>375000</c:v>
                </c:pt>
                <c:pt idx="281">
                  <c:v>380000</c:v>
                </c:pt>
                <c:pt idx="282">
                  <c:v>385000</c:v>
                </c:pt>
                <c:pt idx="283">
                  <c:v>390000</c:v>
                </c:pt>
                <c:pt idx="284">
                  <c:v>395000</c:v>
                </c:pt>
                <c:pt idx="285">
                  <c:v>400000</c:v>
                </c:pt>
                <c:pt idx="286">
                  <c:v>405000</c:v>
                </c:pt>
                <c:pt idx="287">
                  <c:v>410000</c:v>
                </c:pt>
                <c:pt idx="288">
                  <c:v>415000</c:v>
                </c:pt>
                <c:pt idx="289">
                  <c:v>420000</c:v>
                </c:pt>
                <c:pt idx="290">
                  <c:v>425000</c:v>
                </c:pt>
                <c:pt idx="291">
                  <c:v>430000</c:v>
                </c:pt>
                <c:pt idx="292">
                  <c:v>435000</c:v>
                </c:pt>
                <c:pt idx="293">
                  <c:v>440000</c:v>
                </c:pt>
                <c:pt idx="294">
                  <c:v>445000</c:v>
                </c:pt>
                <c:pt idx="295">
                  <c:v>450000</c:v>
                </c:pt>
                <c:pt idx="296">
                  <c:v>455000</c:v>
                </c:pt>
                <c:pt idx="297">
                  <c:v>460000</c:v>
                </c:pt>
                <c:pt idx="298">
                  <c:v>465000</c:v>
                </c:pt>
                <c:pt idx="299">
                  <c:v>470000</c:v>
                </c:pt>
                <c:pt idx="300">
                  <c:v>475000</c:v>
                </c:pt>
                <c:pt idx="301">
                  <c:v>480000</c:v>
                </c:pt>
                <c:pt idx="302">
                  <c:v>485000</c:v>
                </c:pt>
                <c:pt idx="303">
                  <c:v>490000</c:v>
                </c:pt>
                <c:pt idx="304">
                  <c:v>495000</c:v>
                </c:pt>
                <c:pt idx="305">
                  <c:v>500000</c:v>
                </c:pt>
                <c:pt idx="306">
                  <c:v>505000</c:v>
                </c:pt>
                <c:pt idx="307">
                  <c:v>510000</c:v>
                </c:pt>
                <c:pt idx="308">
                  <c:v>515000</c:v>
                </c:pt>
                <c:pt idx="309">
                  <c:v>520000</c:v>
                </c:pt>
                <c:pt idx="310">
                  <c:v>525000</c:v>
                </c:pt>
                <c:pt idx="311">
                  <c:v>530000</c:v>
                </c:pt>
                <c:pt idx="312">
                  <c:v>535000</c:v>
                </c:pt>
                <c:pt idx="313">
                  <c:v>540000</c:v>
                </c:pt>
                <c:pt idx="314">
                  <c:v>545000</c:v>
                </c:pt>
                <c:pt idx="315">
                  <c:v>550000</c:v>
                </c:pt>
                <c:pt idx="316">
                  <c:v>555000</c:v>
                </c:pt>
                <c:pt idx="317">
                  <c:v>560000</c:v>
                </c:pt>
                <c:pt idx="318">
                  <c:v>565000</c:v>
                </c:pt>
                <c:pt idx="319">
                  <c:v>570000</c:v>
                </c:pt>
                <c:pt idx="320">
                  <c:v>575000</c:v>
                </c:pt>
                <c:pt idx="321">
                  <c:v>580000</c:v>
                </c:pt>
                <c:pt idx="322">
                  <c:v>585000</c:v>
                </c:pt>
                <c:pt idx="323">
                  <c:v>590000</c:v>
                </c:pt>
                <c:pt idx="324">
                  <c:v>595000</c:v>
                </c:pt>
                <c:pt idx="325">
                  <c:v>600000</c:v>
                </c:pt>
                <c:pt idx="326">
                  <c:v>605000</c:v>
                </c:pt>
                <c:pt idx="327">
                  <c:v>610000</c:v>
                </c:pt>
                <c:pt idx="328">
                  <c:v>615000</c:v>
                </c:pt>
                <c:pt idx="329">
                  <c:v>620000</c:v>
                </c:pt>
                <c:pt idx="330">
                  <c:v>625000</c:v>
                </c:pt>
                <c:pt idx="331">
                  <c:v>630000</c:v>
                </c:pt>
                <c:pt idx="332">
                  <c:v>635000</c:v>
                </c:pt>
                <c:pt idx="333">
                  <c:v>640000</c:v>
                </c:pt>
                <c:pt idx="334">
                  <c:v>645000</c:v>
                </c:pt>
                <c:pt idx="335">
                  <c:v>650000</c:v>
                </c:pt>
                <c:pt idx="336">
                  <c:v>655000</c:v>
                </c:pt>
                <c:pt idx="337">
                  <c:v>660000</c:v>
                </c:pt>
                <c:pt idx="338">
                  <c:v>665000</c:v>
                </c:pt>
                <c:pt idx="339">
                  <c:v>670000</c:v>
                </c:pt>
                <c:pt idx="340">
                  <c:v>675000</c:v>
                </c:pt>
                <c:pt idx="341">
                  <c:v>680000</c:v>
                </c:pt>
                <c:pt idx="342">
                  <c:v>685000</c:v>
                </c:pt>
                <c:pt idx="343">
                  <c:v>690000</c:v>
                </c:pt>
                <c:pt idx="344">
                  <c:v>695000</c:v>
                </c:pt>
                <c:pt idx="345">
                  <c:v>700000</c:v>
                </c:pt>
                <c:pt idx="346">
                  <c:v>705000</c:v>
                </c:pt>
                <c:pt idx="347">
                  <c:v>710000</c:v>
                </c:pt>
                <c:pt idx="348">
                  <c:v>715000</c:v>
                </c:pt>
                <c:pt idx="349">
                  <c:v>720000</c:v>
                </c:pt>
                <c:pt idx="350">
                  <c:v>725000</c:v>
                </c:pt>
                <c:pt idx="351">
                  <c:v>730000</c:v>
                </c:pt>
                <c:pt idx="352">
                  <c:v>735000</c:v>
                </c:pt>
                <c:pt idx="353">
                  <c:v>740000</c:v>
                </c:pt>
                <c:pt idx="354">
                  <c:v>745000</c:v>
                </c:pt>
                <c:pt idx="355">
                  <c:v>750000</c:v>
                </c:pt>
                <c:pt idx="356">
                  <c:v>755000</c:v>
                </c:pt>
                <c:pt idx="357">
                  <c:v>760000</c:v>
                </c:pt>
                <c:pt idx="358">
                  <c:v>765000</c:v>
                </c:pt>
                <c:pt idx="359">
                  <c:v>770000</c:v>
                </c:pt>
                <c:pt idx="360">
                  <c:v>775000</c:v>
                </c:pt>
                <c:pt idx="361">
                  <c:v>780000</c:v>
                </c:pt>
                <c:pt idx="362">
                  <c:v>785000</c:v>
                </c:pt>
                <c:pt idx="363">
                  <c:v>790000</c:v>
                </c:pt>
                <c:pt idx="364">
                  <c:v>795000</c:v>
                </c:pt>
                <c:pt idx="365">
                  <c:v>800000</c:v>
                </c:pt>
                <c:pt idx="366">
                  <c:v>805000</c:v>
                </c:pt>
                <c:pt idx="367">
                  <c:v>810000</c:v>
                </c:pt>
                <c:pt idx="368">
                  <c:v>815000</c:v>
                </c:pt>
                <c:pt idx="369">
                  <c:v>820000</c:v>
                </c:pt>
                <c:pt idx="370">
                  <c:v>825000</c:v>
                </c:pt>
                <c:pt idx="371">
                  <c:v>830000</c:v>
                </c:pt>
                <c:pt idx="372">
                  <c:v>835000</c:v>
                </c:pt>
                <c:pt idx="373">
                  <c:v>840000</c:v>
                </c:pt>
                <c:pt idx="374">
                  <c:v>845000</c:v>
                </c:pt>
                <c:pt idx="375">
                  <c:v>850000</c:v>
                </c:pt>
                <c:pt idx="376">
                  <c:v>855000</c:v>
                </c:pt>
                <c:pt idx="377">
                  <c:v>860000</c:v>
                </c:pt>
                <c:pt idx="378">
                  <c:v>865000</c:v>
                </c:pt>
                <c:pt idx="379">
                  <c:v>870000</c:v>
                </c:pt>
                <c:pt idx="380">
                  <c:v>875000</c:v>
                </c:pt>
                <c:pt idx="381">
                  <c:v>880000</c:v>
                </c:pt>
                <c:pt idx="382">
                  <c:v>885000</c:v>
                </c:pt>
                <c:pt idx="383">
                  <c:v>890000</c:v>
                </c:pt>
                <c:pt idx="384">
                  <c:v>895000</c:v>
                </c:pt>
                <c:pt idx="385">
                  <c:v>900000</c:v>
                </c:pt>
                <c:pt idx="386">
                  <c:v>905000</c:v>
                </c:pt>
                <c:pt idx="387">
                  <c:v>910000</c:v>
                </c:pt>
                <c:pt idx="388">
                  <c:v>915000</c:v>
                </c:pt>
                <c:pt idx="389">
                  <c:v>920000</c:v>
                </c:pt>
                <c:pt idx="390">
                  <c:v>925000</c:v>
                </c:pt>
                <c:pt idx="391">
                  <c:v>930000</c:v>
                </c:pt>
                <c:pt idx="392">
                  <c:v>935000</c:v>
                </c:pt>
                <c:pt idx="393">
                  <c:v>940000</c:v>
                </c:pt>
                <c:pt idx="394">
                  <c:v>945000</c:v>
                </c:pt>
                <c:pt idx="395">
                  <c:v>950000</c:v>
                </c:pt>
                <c:pt idx="396">
                  <c:v>955000</c:v>
                </c:pt>
                <c:pt idx="397">
                  <c:v>960000</c:v>
                </c:pt>
                <c:pt idx="398">
                  <c:v>965000</c:v>
                </c:pt>
                <c:pt idx="399">
                  <c:v>970000</c:v>
                </c:pt>
                <c:pt idx="400">
                  <c:v>975000</c:v>
                </c:pt>
                <c:pt idx="401">
                  <c:v>980000</c:v>
                </c:pt>
                <c:pt idx="402">
                  <c:v>985000</c:v>
                </c:pt>
                <c:pt idx="403">
                  <c:v>990000</c:v>
                </c:pt>
                <c:pt idx="404">
                  <c:v>995000</c:v>
                </c:pt>
                <c:pt idx="405">
                  <c:v>1000000</c:v>
                </c:pt>
                <c:pt idx="406">
                  <c:v>1005000</c:v>
                </c:pt>
                <c:pt idx="407">
                  <c:v>1010000</c:v>
                </c:pt>
                <c:pt idx="408">
                  <c:v>1015000</c:v>
                </c:pt>
                <c:pt idx="409">
                  <c:v>1020000</c:v>
                </c:pt>
                <c:pt idx="410">
                  <c:v>1025000</c:v>
                </c:pt>
                <c:pt idx="411">
                  <c:v>1030000</c:v>
                </c:pt>
                <c:pt idx="412">
                  <c:v>1035000</c:v>
                </c:pt>
                <c:pt idx="413">
                  <c:v>1040000</c:v>
                </c:pt>
                <c:pt idx="414">
                  <c:v>1045000</c:v>
                </c:pt>
                <c:pt idx="415">
                  <c:v>1050000</c:v>
                </c:pt>
                <c:pt idx="416">
                  <c:v>1055000</c:v>
                </c:pt>
                <c:pt idx="417">
                  <c:v>1060000</c:v>
                </c:pt>
                <c:pt idx="418">
                  <c:v>1065000</c:v>
                </c:pt>
                <c:pt idx="419">
                  <c:v>1070000</c:v>
                </c:pt>
                <c:pt idx="420">
                  <c:v>1075000</c:v>
                </c:pt>
                <c:pt idx="421">
                  <c:v>1080000</c:v>
                </c:pt>
                <c:pt idx="422">
                  <c:v>1085000</c:v>
                </c:pt>
                <c:pt idx="423">
                  <c:v>1090000</c:v>
                </c:pt>
                <c:pt idx="424">
                  <c:v>1095000</c:v>
                </c:pt>
                <c:pt idx="425">
                  <c:v>1100000</c:v>
                </c:pt>
                <c:pt idx="426">
                  <c:v>1105000</c:v>
                </c:pt>
                <c:pt idx="427">
                  <c:v>1110000</c:v>
                </c:pt>
                <c:pt idx="428">
                  <c:v>1115000</c:v>
                </c:pt>
                <c:pt idx="429">
                  <c:v>1120000</c:v>
                </c:pt>
                <c:pt idx="430">
                  <c:v>1125000</c:v>
                </c:pt>
                <c:pt idx="431">
                  <c:v>1130000</c:v>
                </c:pt>
                <c:pt idx="432">
                  <c:v>1135000</c:v>
                </c:pt>
                <c:pt idx="433">
                  <c:v>1140000</c:v>
                </c:pt>
                <c:pt idx="434">
                  <c:v>1145000</c:v>
                </c:pt>
                <c:pt idx="435">
                  <c:v>1150000</c:v>
                </c:pt>
                <c:pt idx="436">
                  <c:v>1155000</c:v>
                </c:pt>
                <c:pt idx="437">
                  <c:v>1160000</c:v>
                </c:pt>
                <c:pt idx="438">
                  <c:v>1165000</c:v>
                </c:pt>
                <c:pt idx="439">
                  <c:v>1170000</c:v>
                </c:pt>
                <c:pt idx="440">
                  <c:v>1175000</c:v>
                </c:pt>
                <c:pt idx="441">
                  <c:v>1180000</c:v>
                </c:pt>
                <c:pt idx="442">
                  <c:v>1185000</c:v>
                </c:pt>
                <c:pt idx="443">
                  <c:v>1190000</c:v>
                </c:pt>
                <c:pt idx="444">
                  <c:v>1195000</c:v>
                </c:pt>
                <c:pt idx="445">
                  <c:v>1200000</c:v>
                </c:pt>
                <c:pt idx="446">
                  <c:v>1205000</c:v>
                </c:pt>
                <c:pt idx="447">
                  <c:v>1210000</c:v>
                </c:pt>
                <c:pt idx="448">
                  <c:v>1215000</c:v>
                </c:pt>
                <c:pt idx="449">
                  <c:v>1220000</c:v>
                </c:pt>
                <c:pt idx="450">
                  <c:v>1225000</c:v>
                </c:pt>
                <c:pt idx="451">
                  <c:v>1230000</c:v>
                </c:pt>
                <c:pt idx="452">
                  <c:v>1235000</c:v>
                </c:pt>
                <c:pt idx="453">
                  <c:v>1240000</c:v>
                </c:pt>
                <c:pt idx="454">
                  <c:v>1245000</c:v>
                </c:pt>
                <c:pt idx="455">
                  <c:v>1250000</c:v>
                </c:pt>
                <c:pt idx="456">
                  <c:v>1255000</c:v>
                </c:pt>
                <c:pt idx="457">
                  <c:v>1260000</c:v>
                </c:pt>
                <c:pt idx="458">
                  <c:v>1265000</c:v>
                </c:pt>
                <c:pt idx="459">
                  <c:v>1270000</c:v>
                </c:pt>
                <c:pt idx="460">
                  <c:v>1275000</c:v>
                </c:pt>
                <c:pt idx="461">
                  <c:v>1280000</c:v>
                </c:pt>
                <c:pt idx="462">
                  <c:v>1285000</c:v>
                </c:pt>
                <c:pt idx="463">
                  <c:v>1290000</c:v>
                </c:pt>
                <c:pt idx="464">
                  <c:v>1295000</c:v>
                </c:pt>
                <c:pt idx="465">
                  <c:v>1300000</c:v>
                </c:pt>
                <c:pt idx="466">
                  <c:v>1305000</c:v>
                </c:pt>
                <c:pt idx="467">
                  <c:v>1310000</c:v>
                </c:pt>
                <c:pt idx="468">
                  <c:v>1315000</c:v>
                </c:pt>
                <c:pt idx="469">
                  <c:v>1320000</c:v>
                </c:pt>
                <c:pt idx="470">
                  <c:v>1325000</c:v>
                </c:pt>
                <c:pt idx="471">
                  <c:v>1330000</c:v>
                </c:pt>
                <c:pt idx="472">
                  <c:v>1335000</c:v>
                </c:pt>
                <c:pt idx="473">
                  <c:v>1340000</c:v>
                </c:pt>
                <c:pt idx="474">
                  <c:v>1345000</c:v>
                </c:pt>
                <c:pt idx="475">
                  <c:v>1350000</c:v>
                </c:pt>
                <c:pt idx="476">
                  <c:v>1355000</c:v>
                </c:pt>
                <c:pt idx="477">
                  <c:v>1360000</c:v>
                </c:pt>
                <c:pt idx="478">
                  <c:v>1365000</c:v>
                </c:pt>
                <c:pt idx="479">
                  <c:v>1370000</c:v>
                </c:pt>
                <c:pt idx="480">
                  <c:v>1375000</c:v>
                </c:pt>
                <c:pt idx="481">
                  <c:v>1380000</c:v>
                </c:pt>
                <c:pt idx="482">
                  <c:v>1385000</c:v>
                </c:pt>
                <c:pt idx="483">
                  <c:v>1390000</c:v>
                </c:pt>
                <c:pt idx="484">
                  <c:v>1395000</c:v>
                </c:pt>
                <c:pt idx="485">
                  <c:v>1400000</c:v>
                </c:pt>
                <c:pt idx="486">
                  <c:v>1405000</c:v>
                </c:pt>
                <c:pt idx="487">
                  <c:v>1410000</c:v>
                </c:pt>
                <c:pt idx="488">
                  <c:v>1415000</c:v>
                </c:pt>
                <c:pt idx="489">
                  <c:v>1420000</c:v>
                </c:pt>
                <c:pt idx="490">
                  <c:v>1425000</c:v>
                </c:pt>
                <c:pt idx="491">
                  <c:v>1430000</c:v>
                </c:pt>
                <c:pt idx="492">
                  <c:v>1435000</c:v>
                </c:pt>
                <c:pt idx="493">
                  <c:v>1440000</c:v>
                </c:pt>
                <c:pt idx="494">
                  <c:v>1445000</c:v>
                </c:pt>
                <c:pt idx="495">
                  <c:v>1450000</c:v>
                </c:pt>
                <c:pt idx="496">
                  <c:v>1455000</c:v>
                </c:pt>
                <c:pt idx="497">
                  <c:v>1460000</c:v>
                </c:pt>
                <c:pt idx="498">
                  <c:v>1465000</c:v>
                </c:pt>
                <c:pt idx="499">
                  <c:v>1470000</c:v>
                </c:pt>
                <c:pt idx="500">
                  <c:v>1475000</c:v>
                </c:pt>
                <c:pt idx="501">
                  <c:v>1480000</c:v>
                </c:pt>
                <c:pt idx="502">
                  <c:v>1485000</c:v>
                </c:pt>
                <c:pt idx="503">
                  <c:v>1490000</c:v>
                </c:pt>
                <c:pt idx="504">
                  <c:v>1495000</c:v>
                </c:pt>
                <c:pt idx="505">
                  <c:v>1500000</c:v>
                </c:pt>
                <c:pt idx="506">
                  <c:v>1505000</c:v>
                </c:pt>
                <c:pt idx="507">
                  <c:v>1510000</c:v>
                </c:pt>
                <c:pt idx="508">
                  <c:v>1515000</c:v>
                </c:pt>
                <c:pt idx="509">
                  <c:v>1520000</c:v>
                </c:pt>
                <c:pt idx="510">
                  <c:v>1525000</c:v>
                </c:pt>
                <c:pt idx="511">
                  <c:v>1530000</c:v>
                </c:pt>
                <c:pt idx="512">
                  <c:v>1535000</c:v>
                </c:pt>
                <c:pt idx="513">
                  <c:v>1540000</c:v>
                </c:pt>
                <c:pt idx="514">
                  <c:v>1545000</c:v>
                </c:pt>
                <c:pt idx="515">
                  <c:v>1550000</c:v>
                </c:pt>
                <c:pt idx="516">
                  <c:v>1555000</c:v>
                </c:pt>
                <c:pt idx="517">
                  <c:v>1560000</c:v>
                </c:pt>
                <c:pt idx="518">
                  <c:v>1565000</c:v>
                </c:pt>
                <c:pt idx="519">
                  <c:v>1570000</c:v>
                </c:pt>
                <c:pt idx="520">
                  <c:v>1575000</c:v>
                </c:pt>
                <c:pt idx="521">
                  <c:v>1580000</c:v>
                </c:pt>
                <c:pt idx="522">
                  <c:v>1585000</c:v>
                </c:pt>
                <c:pt idx="523">
                  <c:v>1590000</c:v>
                </c:pt>
                <c:pt idx="524">
                  <c:v>1595000</c:v>
                </c:pt>
                <c:pt idx="525">
                  <c:v>1600000</c:v>
                </c:pt>
                <c:pt idx="526">
                  <c:v>1605000</c:v>
                </c:pt>
                <c:pt idx="527">
                  <c:v>1610000</c:v>
                </c:pt>
                <c:pt idx="528">
                  <c:v>1615000</c:v>
                </c:pt>
                <c:pt idx="529">
                  <c:v>1620000</c:v>
                </c:pt>
                <c:pt idx="530">
                  <c:v>1625000</c:v>
                </c:pt>
                <c:pt idx="531">
                  <c:v>1630000</c:v>
                </c:pt>
                <c:pt idx="532">
                  <c:v>1635000</c:v>
                </c:pt>
                <c:pt idx="533">
                  <c:v>1640000</c:v>
                </c:pt>
                <c:pt idx="534">
                  <c:v>1645000</c:v>
                </c:pt>
                <c:pt idx="535">
                  <c:v>1650000</c:v>
                </c:pt>
                <c:pt idx="536">
                  <c:v>1655000</c:v>
                </c:pt>
                <c:pt idx="537">
                  <c:v>1660000</c:v>
                </c:pt>
                <c:pt idx="538">
                  <c:v>1665000</c:v>
                </c:pt>
                <c:pt idx="539">
                  <c:v>1670000</c:v>
                </c:pt>
                <c:pt idx="540">
                  <c:v>1675000</c:v>
                </c:pt>
                <c:pt idx="541">
                  <c:v>1680000</c:v>
                </c:pt>
                <c:pt idx="542">
                  <c:v>1685000</c:v>
                </c:pt>
                <c:pt idx="543">
                  <c:v>1690000</c:v>
                </c:pt>
                <c:pt idx="544">
                  <c:v>1695000</c:v>
                </c:pt>
                <c:pt idx="545">
                  <c:v>1700000</c:v>
                </c:pt>
                <c:pt idx="546">
                  <c:v>1705000</c:v>
                </c:pt>
                <c:pt idx="547">
                  <c:v>1710000</c:v>
                </c:pt>
                <c:pt idx="548">
                  <c:v>1715000</c:v>
                </c:pt>
                <c:pt idx="549">
                  <c:v>1720000</c:v>
                </c:pt>
                <c:pt idx="550">
                  <c:v>1725000</c:v>
                </c:pt>
                <c:pt idx="551">
                  <c:v>1730000</c:v>
                </c:pt>
                <c:pt idx="552">
                  <c:v>1735000</c:v>
                </c:pt>
                <c:pt idx="553">
                  <c:v>1740000</c:v>
                </c:pt>
                <c:pt idx="554">
                  <c:v>1745000</c:v>
                </c:pt>
                <c:pt idx="555">
                  <c:v>1750000</c:v>
                </c:pt>
                <c:pt idx="556">
                  <c:v>1755000</c:v>
                </c:pt>
                <c:pt idx="557">
                  <c:v>1760000</c:v>
                </c:pt>
                <c:pt idx="558">
                  <c:v>1765000</c:v>
                </c:pt>
                <c:pt idx="559">
                  <c:v>1770000</c:v>
                </c:pt>
                <c:pt idx="560">
                  <c:v>1775000</c:v>
                </c:pt>
                <c:pt idx="561">
                  <c:v>1780000</c:v>
                </c:pt>
                <c:pt idx="562">
                  <c:v>1785000</c:v>
                </c:pt>
                <c:pt idx="563">
                  <c:v>1790000</c:v>
                </c:pt>
                <c:pt idx="564">
                  <c:v>1795000</c:v>
                </c:pt>
                <c:pt idx="565">
                  <c:v>1800000</c:v>
                </c:pt>
                <c:pt idx="566">
                  <c:v>1805000</c:v>
                </c:pt>
                <c:pt idx="567">
                  <c:v>1810000</c:v>
                </c:pt>
                <c:pt idx="568">
                  <c:v>1815000</c:v>
                </c:pt>
                <c:pt idx="569">
                  <c:v>1820000</c:v>
                </c:pt>
                <c:pt idx="570">
                  <c:v>1825000</c:v>
                </c:pt>
                <c:pt idx="571">
                  <c:v>1830000</c:v>
                </c:pt>
                <c:pt idx="572">
                  <c:v>1835000</c:v>
                </c:pt>
                <c:pt idx="573">
                  <c:v>1840000</c:v>
                </c:pt>
                <c:pt idx="574">
                  <c:v>1845000</c:v>
                </c:pt>
                <c:pt idx="575">
                  <c:v>1850000</c:v>
                </c:pt>
                <c:pt idx="576">
                  <c:v>1855000</c:v>
                </c:pt>
                <c:pt idx="577">
                  <c:v>1860000</c:v>
                </c:pt>
                <c:pt idx="578">
                  <c:v>1865000</c:v>
                </c:pt>
                <c:pt idx="579">
                  <c:v>1870000</c:v>
                </c:pt>
                <c:pt idx="580">
                  <c:v>1875000</c:v>
                </c:pt>
                <c:pt idx="581">
                  <c:v>1880000</c:v>
                </c:pt>
                <c:pt idx="582">
                  <c:v>1885000</c:v>
                </c:pt>
                <c:pt idx="583">
                  <c:v>1890000</c:v>
                </c:pt>
                <c:pt idx="584">
                  <c:v>1895000</c:v>
                </c:pt>
                <c:pt idx="585">
                  <c:v>1900000</c:v>
                </c:pt>
                <c:pt idx="586">
                  <c:v>1905000</c:v>
                </c:pt>
                <c:pt idx="587">
                  <c:v>1910000</c:v>
                </c:pt>
                <c:pt idx="588">
                  <c:v>1915000</c:v>
                </c:pt>
                <c:pt idx="589">
                  <c:v>1920000</c:v>
                </c:pt>
                <c:pt idx="590">
                  <c:v>1925000</c:v>
                </c:pt>
                <c:pt idx="591">
                  <c:v>1930000</c:v>
                </c:pt>
                <c:pt idx="592">
                  <c:v>1935000</c:v>
                </c:pt>
                <c:pt idx="593">
                  <c:v>1940000</c:v>
                </c:pt>
                <c:pt idx="594">
                  <c:v>1945000</c:v>
                </c:pt>
                <c:pt idx="595">
                  <c:v>1950000</c:v>
                </c:pt>
                <c:pt idx="596">
                  <c:v>1955000</c:v>
                </c:pt>
                <c:pt idx="597">
                  <c:v>1960000</c:v>
                </c:pt>
                <c:pt idx="598">
                  <c:v>1965000</c:v>
                </c:pt>
                <c:pt idx="599">
                  <c:v>1970000</c:v>
                </c:pt>
                <c:pt idx="600">
                  <c:v>1975000</c:v>
                </c:pt>
                <c:pt idx="601">
                  <c:v>1980000</c:v>
                </c:pt>
                <c:pt idx="602">
                  <c:v>1985000</c:v>
                </c:pt>
                <c:pt idx="603">
                  <c:v>1990000</c:v>
                </c:pt>
                <c:pt idx="604">
                  <c:v>1995000</c:v>
                </c:pt>
                <c:pt idx="605">
                  <c:v>2000000</c:v>
                </c:pt>
                <c:pt idx="606">
                  <c:v>2250000</c:v>
                </c:pt>
                <c:pt idx="607">
                  <c:v>2500000</c:v>
                </c:pt>
                <c:pt idx="608">
                  <c:v>2750000</c:v>
                </c:pt>
                <c:pt idx="609">
                  <c:v>3000000</c:v>
                </c:pt>
                <c:pt idx="610">
                  <c:v>3250000</c:v>
                </c:pt>
                <c:pt idx="611">
                  <c:v>3500000</c:v>
                </c:pt>
                <c:pt idx="612">
                  <c:v>3750000</c:v>
                </c:pt>
                <c:pt idx="613">
                  <c:v>4000000</c:v>
                </c:pt>
                <c:pt idx="614">
                  <c:v>4250000</c:v>
                </c:pt>
                <c:pt idx="615">
                  <c:v>4500000</c:v>
                </c:pt>
                <c:pt idx="616">
                  <c:v>4750000</c:v>
                </c:pt>
                <c:pt idx="617">
                  <c:v>5000000</c:v>
                </c:pt>
                <c:pt idx="618">
                  <c:v>5100000</c:v>
                </c:pt>
                <c:pt idx="619">
                  <c:v>5200000</c:v>
                </c:pt>
                <c:pt idx="620">
                  <c:v>5300000</c:v>
                </c:pt>
                <c:pt idx="621">
                  <c:v>5400000</c:v>
                </c:pt>
                <c:pt idx="622">
                  <c:v>5500000</c:v>
                </c:pt>
                <c:pt idx="623">
                  <c:v>5600000</c:v>
                </c:pt>
                <c:pt idx="624">
                  <c:v>5700000</c:v>
                </c:pt>
                <c:pt idx="625">
                  <c:v>5800000</c:v>
                </c:pt>
                <c:pt idx="626">
                  <c:v>5900000</c:v>
                </c:pt>
                <c:pt idx="627">
                  <c:v>6000000</c:v>
                </c:pt>
                <c:pt idx="628">
                  <c:v>6100000</c:v>
                </c:pt>
                <c:pt idx="629">
                  <c:v>6200000</c:v>
                </c:pt>
                <c:pt idx="630">
                  <c:v>6300000</c:v>
                </c:pt>
                <c:pt idx="631">
                  <c:v>6400000</c:v>
                </c:pt>
                <c:pt idx="632">
                  <c:v>6500000</c:v>
                </c:pt>
                <c:pt idx="633">
                  <c:v>6600000</c:v>
                </c:pt>
                <c:pt idx="634">
                  <c:v>6700000</c:v>
                </c:pt>
                <c:pt idx="635">
                  <c:v>6800000</c:v>
                </c:pt>
                <c:pt idx="636">
                  <c:v>6900000</c:v>
                </c:pt>
                <c:pt idx="637">
                  <c:v>7000000</c:v>
                </c:pt>
                <c:pt idx="638">
                  <c:v>7100000</c:v>
                </c:pt>
                <c:pt idx="639">
                  <c:v>7200000</c:v>
                </c:pt>
                <c:pt idx="640">
                  <c:v>7300000</c:v>
                </c:pt>
                <c:pt idx="641">
                  <c:v>7400000</c:v>
                </c:pt>
                <c:pt idx="642">
                  <c:v>7500000</c:v>
                </c:pt>
                <c:pt idx="643">
                  <c:v>7600000</c:v>
                </c:pt>
                <c:pt idx="644">
                  <c:v>7700000</c:v>
                </c:pt>
                <c:pt idx="645">
                  <c:v>7800000</c:v>
                </c:pt>
                <c:pt idx="646">
                  <c:v>7900000</c:v>
                </c:pt>
                <c:pt idx="647">
                  <c:v>8000000</c:v>
                </c:pt>
                <c:pt idx="648">
                  <c:v>8100000</c:v>
                </c:pt>
                <c:pt idx="649">
                  <c:v>8200000</c:v>
                </c:pt>
                <c:pt idx="650">
                  <c:v>8300000</c:v>
                </c:pt>
                <c:pt idx="651">
                  <c:v>8400000</c:v>
                </c:pt>
                <c:pt idx="652">
                  <c:v>8500000</c:v>
                </c:pt>
                <c:pt idx="653">
                  <c:v>8600000</c:v>
                </c:pt>
                <c:pt idx="654">
                  <c:v>8700000</c:v>
                </c:pt>
                <c:pt idx="655">
                  <c:v>8800000</c:v>
                </c:pt>
                <c:pt idx="656">
                  <c:v>8900000</c:v>
                </c:pt>
                <c:pt idx="657">
                  <c:v>9000000</c:v>
                </c:pt>
                <c:pt idx="658">
                  <c:v>9100000</c:v>
                </c:pt>
                <c:pt idx="659">
                  <c:v>9200000</c:v>
                </c:pt>
                <c:pt idx="660">
                  <c:v>9300000</c:v>
                </c:pt>
                <c:pt idx="661">
                  <c:v>9400000</c:v>
                </c:pt>
                <c:pt idx="662">
                  <c:v>9500000</c:v>
                </c:pt>
                <c:pt idx="663">
                  <c:v>9600000</c:v>
                </c:pt>
                <c:pt idx="664">
                  <c:v>9700000</c:v>
                </c:pt>
                <c:pt idx="665">
                  <c:v>9800000</c:v>
                </c:pt>
                <c:pt idx="666">
                  <c:v>9900000</c:v>
                </c:pt>
                <c:pt idx="667">
                  <c:v>10000000</c:v>
                </c:pt>
              </c:numCache>
            </c:numRef>
          </c:xVal>
          <c:yVal>
            <c:numRef>
              <c:f>'Raw data'!$H$82:$H$749</c:f>
              <c:numCache>
                <c:formatCode>General</c:formatCode>
                <c:ptCount val="6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numCache>
            </c:numRef>
          </c:yVal>
          <c:smooth val="1"/>
          <c:extLst>
            <c:ext xmlns:c16="http://schemas.microsoft.com/office/drawing/2014/chart" uri="{C3380CC4-5D6E-409C-BE32-E72D297353CC}">
              <c16:uniqueId val="{00000000-9FBB-4294-B24B-677623E2F1DF}"/>
            </c:ext>
          </c:extLst>
        </c:ser>
        <c:dLbls>
          <c:showLegendKey val="0"/>
          <c:showVal val="0"/>
          <c:showCatName val="0"/>
          <c:showSerName val="0"/>
          <c:showPercent val="0"/>
          <c:showBubbleSize val="0"/>
        </c:dLbls>
        <c:axId val="202091904"/>
        <c:axId val="202094080"/>
      </c:scatterChart>
      <c:scatterChart>
        <c:scatterStyle val="lineMarker"/>
        <c:varyColors val="0"/>
        <c:ser>
          <c:idx val="1"/>
          <c:order val="1"/>
          <c:spPr>
            <a:ln w="25400">
              <a:solidFill>
                <a:srgbClr val="FF0000"/>
              </a:solidFill>
              <a:prstDash val="solid"/>
            </a:ln>
          </c:spPr>
          <c:marker>
            <c:symbol val="none"/>
          </c:marker>
          <c:xVal>
            <c:numRef>
              <c:f>'Raw data'!$C$82:$C$749</c:f>
              <c:numCache>
                <c:formatCode>General</c:formatCode>
                <c:ptCount val="668"/>
                <c:pt idx="0">
                  <c:v>1</c:v>
                </c:pt>
                <c:pt idx="1">
                  <c:v>2</c:v>
                </c:pt>
                <c:pt idx="2">
                  <c:v>3</c:v>
                </c:pt>
                <c:pt idx="3">
                  <c:v>4</c:v>
                </c:pt>
                <c:pt idx="4">
                  <c:v>5</c:v>
                </c:pt>
                <c:pt idx="5">
                  <c:v>6</c:v>
                </c:pt>
                <c:pt idx="6">
                  <c:v>7</c:v>
                </c:pt>
                <c:pt idx="7">
                  <c:v>8</c:v>
                </c:pt>
                <c:pt idx="8">
                  <c:v>9</c:v>
                </c:pt>
                <c:pt idx="9">
                  <c:v>10</c:v>
                </c:pt>
                <c:pt idx="10">
                  <c:v>20</c:v>
                </c:pt>
                <c:pt idx="11">
                  <c:v>30</c:v>
                </c:pt>
                <c:pt idx="12">
                  <c:v>40</c:v>
                </c:pt>
                <c:pt idx="13">
                  <c:v>50</c:v>
                </c:pt>
                <c:pt idx="14">
                  <c:v>60</c:v>
                </c:pt>
                <c:pt idx="15">
                  <c:v>70</c:v>
                </c:pt>
                <c:pt idx="16">
                  <c:v>80</c:v>
                </c:pt>
                <c:pt idx="17">
                  <c:v>90</c:v>
                </c:pt>
                <c:pt idx="18">
                  <c:v>100</c:v>
                </c:pt>
                <c:pt idx="19">
                  <c:v>200</c:v>
                </c:pt>
                <c:pt idx="20">
                  <c:v>300</c:v>
                </c:pt>
                <c:pt idx="21">
                  <c:v>400</c:v>
                </c:pt>
                <c:pt idx="22">
                  <c:v>500</c:v>
                </c:pt>
                <c:pt idx="23">
                  <c:v>600</c:v>
                </c:pt>
                <c:pt idx="24">
                  <c:v>700</c:v>
                </c:pt>
                <c:pt idx="25">
                  <c:v>800</c:v>
                </c:pt>
                <c:pt idx="26">
                  <c:v>900</c:v>
                </c:pt>
                <c:pt idx="27">
                  <c:v>1000</c:v>
                </c:pt>
                <c:pt idx="28">
                  <c:v>1500</c:v>
                </c:pt>
                <c:pt idx="29">
                  <c:v>2000</c:v>
                </c:pt>
                <c:pt idx="30">
                  <c:v>2500</c:v>
                </c:pt>
                <c:pt idx="31">
                  <c:v>3000</c:v>
                </c:pt>
                <c:pt idx="32">
                  <c:v>3500</c:v>
                </c:pt>
                <c:pt idx="33">
                  <c:v>4000</c:v>
                </c:pt>
                <c:pt idx="34">
                  <c:v>4500</c:v>
                </c:pt>
                <c:pt idx="35">
                  <c:v>5000</c:v>
                </c:pt>
                <c:pt idx="36">
                  <c:v>5500</c:v>
                </c:pt>
                <c:pt idx="37">
                  <c:v>6000</c:v>
                </c:pt>
                <c:pt idx="38">
                  <c:v>6500</c:v>
                </c:pt>
                <c:pt idx="39">
                  <c:v>7000</c:v>
                </c:pt>
                <c:pt idx="40">
                  <c:v>7500</c:v>
                </c:pt>
                <c:pt idx="41">
                  <c:v>8000</c:v>
                </c:pt>
                <c:pt idx="42">
                  <c:v>8500</c:v>
                </c:pt>
                <c:pt idx="43">
                  <c:v>9000</c:v>
                </c:pt>
                <c:pt idx="44">
                  <c:v>9500</c:v>
                </c:pt>
                <c:pt idx="45">
                  <c:v>10000</c:v>
                </c:pt>
                <c:pt idx="46">
                  <c:v>10500</c:v>
                </c:pt>
                <c:pt idx="47">
                  <c:v>11000</c:v>
                </c:pt>
                <c:pt idx="48">
                  <c:v>11500</c:v>
                </c:pt>
                <c:pt idx="49">
                  <c:v>12000</c:v>
                </c:pt>
                <c:pt idx="50">
                  <c:v>12500</c:v>
                </c:pt>
                <c:pt idx="51">
                  <c:v>13000</c:v>
                </c:pt>
                <c:pt idx="52">
                  <c:v>13500</c:v>
                </c:pt>
                <c:pt idx="53">
                  <c:v>14000</c:v>
                </c:pt>
                <c:pt idx="54">
                  <c:v>14500</c:v>
                </c:pt>
                <c:pt idx="55">
                  <c:v>15000</c:v>
                </c:pt>
                <c:pt idx="56">
                  <c:v>15500</c:v>
                </c:pt>
                <c:pt idx="57">
                  <c:v>16000</c:v>
                </c:pt>
                <c:pt idx="58">
                  <c:v>16500</c:v>
                </c:pt>
                <c:pt idx="59">
                  <c:v>17000</c:v>
                </c:pt>
                <c:pt idx="60">
                  <c:v>17500</c:v>
                </c:pt>
                <c:pt idx="61">
                  <c:v>18000</c:v>
                </c:pt>
                <c:pt idx="62">
                  <c:v>18500</c:v>
                </c:pt>
                <c:pt idx="63">
                  <c:v>19000</c:v>
                </c:pt>
                <c:pt idx="64">
                  <c:v>19500</c:v>
                </c:pt>
                <c:pt idx="65">
                  <c:v>20000</c:v>
                </c:pt>
                <c:pt idx="66">
                  <c:v>20500</c:v>
                </c:pt>
                <c:pt idx="67">
                  <c:v>21000</c:v>
                </c:pt>
                <c:pt idx="68">
                  <c:v>21500</c:v>
                </c:pt>
                <c:pt idx="69">
                  <c:v>22000</c:v>
                </c:pt>
                <c:pt idx="70">
                  <c:v>22500</c:v>
                </c:pt>
                <c:pt idx="71">
                  <c:v>23000</c:v>
                </c:pt>
                <c:pt idx="72">
                  <c:v>23500</c:v>
                </c:pt>
                <c:pt idx="73">
                  <c:v>24000</c:v>
                </c:pt>
                <c:pt idx="74">
                  <c:v>24500</c:v>
                </c:pt>
                <c:pt idx="75">
                  <c:v>25000</c:v>
                </c:pt>
                <c:pt idx="76">
                  <c:v>25500</c:v>
                </c:pt>
                <c:pt idx="77">
                  <c:v>26000</c:v>
                </c:pt>
                <c:pt idx="78">
                  <c:v>26500</c:v>
                </c:pt>
                <c:pt idx="79">
                  <c:v>27000</c:v>
                </c:pt>
                <c:pt idx="80">
                  <c:v>27500</c:v>
                </c:pt>
                <c:pt idx="81">
                  <c:v>28000</c:v>
                </c:pt>
                <c:pt idx="82">
                  <c:v>28500</c:v>
                </c:pt>
                <c:pt idx="83">
                  <c:v>29000</c:v>
                </c:pt>
                <c:pt idx="84">
                  <c:v>29500</c:v>
                </c:pt>
                <c:pt idx="85">
                  <c:v>30000</c:v>
                </c:pt>
                <c:pt idx="86">
                  <c:v>30500</c:v>
                </c:pt>
                <c:pt idx="87">
                  <c:v>31000</c:v>
                </c:pt>
                <c:pt idx="88">
                  <c:v>31500</c:v>
                </c:pt>
                <c:pt idx="89">
                  <c:v>32000</c:v>
                </c:pt>
                <c:pt idx="90">
                  <c:v>32500</c:v>
                </c:pt>
                <c:pt idx="91">
                  <c:v>33000</c:v>
                </c:pt>
                <c:pt idx="92">
                  <c:v>33500</c:v>
                </c:pt>
                <c:pt idx="93">
                  <c:v>34000</c:v>
                </c:pt>
                <c:pt idx="94">
                  <c:v>34500</c:v>
                </c:pt>
                <c:pt idx="95">
                  <c:v>35000</c:v>
                </c:pt>
                <c:pt idx="96">
                  <c:v>35500</c:v>
                </c:pt>
                <c:pt idx="97">
                  <c:v>36000</c:v>
                </c:pt>
                <c:pt idx="98">
                  <c:v>36500</c:v>
                </c:pt>
                <c:pt idx="99">
                  <c:v>37000</c:v>
                </c:pt>
                <c:pt idx="100">
                  <c:v>37500</c:v>
                </c:pt>
                <c:pt idx="101">
                  <c:v>38000</c:v>
                </c:pt>
                <c:pt idx="102">
                  <c:v>38500</c:v>
                </c:pt>
                <c:pt idx="103">
                  <c:v>39000</c:v>
                </c:pt>
                <c:pt idx="104">
                  <c:v>39500</c:v>
                </c:pt>
                <c:pt idx="105">
                  <c:v>40000</c:v>
                </c:pt>
                <c:pt idx="106">
                  <c:v>40500</c:v>
                </c:pt>
                <c:pt idx="107">
                  <c:v>41000</c:v>
                </c:pt>
                <c:pt idx="108">
                  <c:v>41500</c:v>
                </c:pt>
                <c:pt idx="109">
                  <c:v>42000</c:v>
                </c:pt>
                <c:pt idx="110">
                  <c:v>42500</c:v>
                </c:pt>
                <c:pt idx="111">
                  <c:v>43000</c:v>
                </c:pt>
                <c:pt idx="112">
                  <c:v>43500</c:v>
                </c:pt>
                <c:pt idx="113">
                  <c:v>44000</c:v>
                </c:pt>
                <c:pt idx="114">
                  <c:v>44500</c:v>
                </c:pt>
                <c:pt idx="115">
                  <c:v>45000</c:v>
                </c:pt>
                <c:pt idx="116">
                  <c:v>45500</c:v>
                </c:pt>
                <c:pt idx="117">
                  <c:v>46000</c:v>
                </c:pt>
                <c:pt idx="118">
                  <c:v>46500</c:v>
                </c:pt>
                <c:pt idx="119">
                  <c:v>47000</c:v>
                </c:pt>
                <c:pt idx="120">
                  <c:v>47500</c:v>
                </c:pt>
                <c:pt idx="121">
                  <c:v>48000</c:v>
                </c:pt>
                <c:pt idx="122">
                  <c:v>48500</c:v>
                </c:pt>
                <c:pt idx="123">
                  <c:v>49000</c:v>
                </c:pt>
                <c:pt idx="124">
                  <c:v>49500</c:v>
                </c:pt>
                <c:pt idx="125">
                  <c:v>50000</c:v>
                </c:pt>
                <c:pt idx="126">
                  <c:v>50500</c:v>
                </c:pt>
                <c:pt idx="127">
                  <c:v>51000</c:v>
                </c:pt>
                <c:pt idx="128">
                  <c:v>51500</c:v>
                </c:pt>
                <c:pt idx="129">
                  <c:v>52000</c:v>
                </c:pt>
                <c:pt idx="130">
                  <c:v>52500</c:v>
                </c:pt>
                <c:pt idx="131">
                  <c:v>53000</c:v>
                </c:pt>
                <c:pt idx="132">
                  <c:v>53500</c:v>
                </c:pt>
                <c:pt idx="133">
                  <c:v>54000</c:v>
                </c:pt>
                <c:pt idx="134">
                  <c:v>54500</c:v>
                </c:pt>
                <c:pt idx="135">
                  <c:v>55000</c:v>
                </c:pt>
                <c:pt idx="136">
                  <c:v>55500</c:v>
                </c:pt>
                <c:pt idx="137">
                  <c:v>56000</c:v>
                </c:pt>
                <c:pt idx="138">
                  <c:v>56500</c:v>
                </c:pt>
                <c:pt idx="139">
                  <c:v>57000</c:v>
                </c:pt>
                <c:pt idx="140">
                  <c:v>57500</c:v>
                </c:pt>
                <c:pt idx="141">
                  <c:v>58000</c:v>
                </c:pt>
                <c:pt idx="142">
                  <c:v>58500</c:v>
                </c:pt>
                <c:pt idx="143">
                  <c:v>59000</c:v>
                </c:pt>
                <c:pt idx="144">
                  <c:v>59500</c:v>
                </c:pt>
                <c:pt idx="145">
                  <c:v>60000</c:v>
                </c:pt>
                <c:pt idx="146">
                  <c:v>60500</c:v>
                </c:pt>
                <c:pt idx="147">
                  <c:v>61000</c:v>
                </c:pt>
                <c:pt idx="148">
                  <c:v>61500</c:v>
                </c:pt>
                <c:pt idx="149">
                  <c:v>62000</c:v>
                </c:pt>
                <c:pt idx="150">
                  <c:v>62500</c:v>
                </c:pt>
                <c:pt idx="151">
                  <c:v>63000</c:v>
                </c:pt>
                <c:pt idx="152">
                  <c:v>63500</c:v>
                </c:pt>
                <c:pt idx="153">
                  <c:v>64000</c:v>
                </c:pt>
                <c:pt idx="154">
                  <c:v>64500</c:v>
                </c:pt>
                <c:pt idx="155">
                  <c:v>65000</c:v>
                </c:pt>
                <c:pt idx="156">
                  <c:v>65500</c:v>
                </c:pt>
                <c:pt idx="157">
                  <c:v>66000</c:v>
                </c:pt>
                <c:pt idx="158">
                  <c:v>66500</c:v>
                </c:pt>
                <c:pt idx="159">
                  <c:v>67000</c:v>
                </c:pt>
                <c:pt idx="160">
                  <c:v>67500</c:v>
                </c:pt>
                <c:pt idx="161">
                  <c:v>68000</c:v>
                </c:pt>
                <c:pt idx="162">
                  <c:v>68500</c:v>
                </c:pt>
                <c:pt idx="163">
                  <c:v>69000</c:v>
                </c:pt>
                <c:pt idx="164">
                  <c:v>69500</c:v>
                </c:pt>
                <c:pt idx="165">
                  <c:v>70000</c:v>
                </c:pt>
                <c:pt idx="166">
                  <c:v>70500</c:v>
                </c:pt>
                <c:pt idx="167">
                  <c:v>71000</c:v>
                </c:pt>
                <c:pt idx="168">
                  <c:v>71500</c:v>
                </c:pt>
                <c:pt idx="169">
                  <c:v>72000</c:v>
                </c:pt>
                <c:pt idx="170">
                  <c:v>72500</c:v>
                </c:pt>
                <c:pt idx="171">
                  <c:v>73000</c:v>
                </c:pt>
                <c:pt idx="172">
                  <c:v>73500</c:v>
                </c:pt>
                <c:pt idx="173">
                  <c:v>74000</c:v>
                </c:pt>
                <c:pt idx="174">
                  <c:v>74500</c:v>
                </c:pt>
                <c:pt idx="175">
                  <c:v>75000</c:v>
                </c:pt>
                <c:pt idx="176">
                  <c:v>75500</c:v>
                </c:pt>
                <c:pt idx="177">
                  <c:v>76000</c:v>
                </c:pt>
                <c:pt idx="178">
                  <c:v>76500</c:v>
                </c:pt>
                <c:pt idx="179">
                  <c:v>77000</c:v>
                </c:pt>
                <c:pt idx="180">
                  <c:v>77500</c:v>
                </c:pt>
                <c:pt idx="181">
                  <c:v>78000</c:v>
                </c:pt>
                <c:pt idx="182">
                  <c:v>78500</c:v>
                </c:pt>
                <c:pt idx="183">
                  <c:v>79000</c:v>
                </c:pt>
                <c:pt idx="184">
                  <c:v>79500</c:v>
                </c:pt>
                <c:pt idx="185">
                  <c:v>80000</c:v>
                </c:pt>
                <c:pt idx="186">
                  <c:v>80500</c:v>
                </c:pt>
                <c:pt idx="187">
                  <c:v>81000</c:v>
                </c:pt>
                <c:pt idx="188">
                  <c:v>81500</c:v>
                </c:pt>
                <c:pt idx="189">
                  <c:v>82000</c:v>
                </c:pt>
                <c:pt idx="190">
                  <c:v>82500</c:v>
                </c:pt>
                <c:pt idx="191">
                  <c:v>83000</c:v>
                </c:pt>
                <c:pt idx="192">
                  <c:v>83500</c:v>
                </c:pt>
                <c:pt idx="193">
                  <c:v>84000</c:v>
                </c:pt>
                <c:pt idx="194">
                  <c:v>84500</c:v>
                </c:pt>
                <c:pt idx="195">
                  <c:v>85000</c:v>
                </c:pt>
                <c:pt idx="196">
                  <c:v>85500</c:v>
                </c:pt>
                <c:pt idx="197">
                  <c:v>86000</c:v>
                </c:pt>
                <c:pt idx="198">
                  <c:v>86500</c:v>
                </c:pt>
                <c:pt idx="199">
                  <c:v>87000</c:v>
                </c:pt>
                <c:pt idx="200">
                  <c:v>87500</c:v>
                </c:pt>
                <c:pt idx="201">
                  <c:v>88000</c:v>
                </c:pt>
                <c:pt idx="202">
                  <c:v>88500</c:v>
                </c:pt>
                <c:pt idx="203">
                  <c:v>89000</c:v>
                </c:pt>
                <c:pt idx="204">
                  <c:v>89500</c:v>
                </c:pt>
                <c:pt idx="205">
                  <c:v>90000</c:v>
                </c:pt>
                <c:pt idx="206">
                  <c:v>90500</c:v>
                </c:pt>
                <c:pt idx="207">
                  <c:v>91000</c:v>
                </c:pt>
                <c:pt idx="208">
                  <c:v>91500</c:v>
                </c:pt>
                <c:pt idx="209">
                  <c:v>92000</c:v>
                </c:pt>
                <c:pt idx="210">
                  <c:v>92500</c:v>
                </c:pt>
                <c:pt idx="211">
                  <c:v>93000</c:v>
                </c:pt>
                <c:pt idx="212">
                  <c:v>93500</c:v>
                </c:pt>
                <c:pt idx="213">
                  <c:v>94000</c:v>
                </c:pt>
                <c:pt idx="214">
                  <c:v>94500</c:v>
                </c:pt>
                <c:pt idx="215">
                  <c:v>95000</c:v>
                </c:pt>
                <c:pt idx="216">
                  <c:v>95500</c:v>
                </c:pt>
                <c:pt idx="217">
                  <c:v>96000</c:v>
                </c:pt>
                <c:pt idx="218">
                  <c:v>96500</c:v>
                </c:pt>
                <c:pt idx="219">
                  <c:v>97000</c:v>
                </c:pt>
                <c:pt idx="220">
                  <c:v>97500</c:v>
                </c:pt>
                <c:pt idx="221">
                  <c:v>98000</c:v>
                </c:pt>
                <c:pt idx="222">
                  <c:v>98500</c:v>
                </c:pt>
                <c:pt idx="223">
                  <c:v>99000</c:v>
                </c:pt>
                <c:pt idx="224">
                  <c:v>99500</c:v>
                </c:pt>
                <c:pt idx="225">
                  <c:v>100000</c:v>
                </c:pt>
                <c:pt idx="226">
                  <c:v>105000</c:v>
                </c:pt>
                <c:pt idx="227">
                  <c:v>110000</c:v>
                </c:pt>
                <c:pt idx="228">
                  <c:v>115000</c:v>
                </c:pt>
                <c:pt idx="229">
                  <c:v>120000</c:v>
                </c:pt>
                <c:pt idx="230">
                  <c:v>125000</c:v>
                </c:pt>
                <c:pt idx="231">
                  <c:v>130000</c:v>
                </c:pt>
                <c:pt idx="232">
                  <c:v>135000</c:v>
                </c:pt>
                <c:pt idx="233">
                  <c:v>140000</c:v>
                </c:pt>
                <c:pt idx="234">
                  <c:v>145000</c:v>
                </c:pt>
                <c:pt idx="235">
                  <c:v>150000</c:v>
                </c:pt>
                <c:pt idx="236">
                  <c:v>155000</c:v>
                </c:pt>
                <c:pt idx="237">
                  <c:v>160000</c:v>
                </c:pt>
                <c:pt idx="238">
                  <c:v>165000</c:v>
                </c:pt>
                <c:pt idx="239">
                  <c:v>170000</c:v>
                </c:pt>
                <c:pt idx="240">
                  <c:v>175000</c:v>
                </c:pt>
                <c:pt idx="241">
                  <c:v>180000</c:v>
                </c:pt>
                <c:pt idx="242">
                  <c:v>185000</c:v>
                </c:pt>
                <c:pt idx="243">
                  <c:v>190000</c:v>
                </c:pt>
                <c:pt idx="244">
                  <c:v>195000</c:v>
                </c:pt>
                <c:pt idx="245">
                  <c:v>200000</c:v>
                </c:pt>
                <c:pt idx="246">
                  <c:v>205000</c:v>
                </c:pt>
                <c:pt idx="247">
                  <c:v>210000</c:v>
                </c:pt>
                <c:pt idx="248">
                  <c:v>215000</c:v>
                </c:pt>
                <c:pt idx="249">
                  <c:v>220000</c:v>
                </c:pt>
                <c:pt idx="250">
                  <c:v>225000</c:v>
                </c:pt>
                <c:pt idx="251">
                  <c:v>230000</c:v>
                </c:pt>
                <c:pt idx="252">
                  <c:v>235000</c:v>
                </c:pt>
                <c:pt idx="253">
                  <c:v>240000</c:v>
                </c:pt>
                <c:pt idx="254">
                  <c:v>245000</c:v>
                </c:pt>
                <c:pt idx="255">
                  <c:v>250000</c:v>
                </c:pt>
                <c:pt idx="256">
                  <c:v>255000</c:v>
                </c:pt>
                <c:pt idx="257">
                  <c:v>260000</c:v>
                </c:pt>
                <c:pt idx="258">
                  <c:v>265000</c:v>
                </c:pt>
                <c:pt idx="259">
                  <c:v>270000</c:v>
                </c:pt>
                <c:pt idx="260">
                  <c:v>275000</c:v>
                </c:pt>
                <c:pt idx="261">
                  <c:v>280000</c:v>
                </c:pt>
                <c:pt idx="262">
                  <c:v>285000</c:v>
                </c:pt>
                <c:pt idx="263">
                  <c:v>290000</c:v>
                </c:pt>
                <c:pt idx="264">
                  <c:v>295000</c:v>
                </c:pt>
                <c:pt idx="265">
                  <c:v>300000</c:v>
                </c:pt>
                <c:pt idx="266">
                  <c:v>305000</c:v>
                </c:pt>
                <c:pt idx="267">
                  <c:v>310000</c:v>
                </c:pt>
                <c:pt idx="268">
                  <c:v>315000</c:v>
                </c:pt>
                <c:pt idx="269">
                  <c:v>320000</c:v>
                </c:pt>
                <c:pt idx="270">
                  <c:v>325000</c:v>
                </c:pt>
                <c:pt idx="271">
                  <c:v>330000</c:v>
                </c:pt>
                <c:pt idx="272">
                  <c:v>335000</c:v>
                </c:pt>
                <c:pt idx="273">
                  <c:v>340000</c:v>
                </c:pt>
                <c:pt idx="274">
                  <c:v>345000</c:v>
                </c:pt>
                <c:pt idx="275">
                  <c:v>350000</c:v>
                </c:pt>
                <c:pt idx="276">
                  <c:v>355000</c:v>
                </c:pt>
                <c:pt idx="277">
                  <c:v>360000</c:v>
                </c:pt>
                <c:pt idx="278">
                  <c:v>365000</c:v>
                </c:pt>
                <c:pt idx="279">
                  <c:v>370000</c:v>
                </c:pt>
                <c:pt idx="280">
                  <c:v>375000</c:v>
                </c:pt>
                <c:pt idx="281">
                  <c:v>380000</c:v>
                </c:pt>
                <c:pt idx="282">
                  <c:v>385000</c:v>
                </c:pt>
                <c:pt idx="283">
                  <c:v>390000</c:v>
                </c:pt>
                <c:pt idx="284">
                  <c:v>395000</c:v>
                </c:pt>
                <c:pt idx="285">
                  <c:v>400000</c:v>
                </c:pt>
                <c:pt idx="286">
                  <c:v>405000</c:v>
                </c:pt>
                <c:pt idx="287">
                  <c:v>410000</c:v>
                </c:pt>
                <c:pt idx="288">
                  <c:v>415000</c:v>
                </c:pt>
                <c:pt idx="289">
                  <c:v>420000</c:v>
                </c:pt>
                <c:pt idx="290">
                  <c:v>425000</c:v>
                </c:pt>
                <c:pt idx="291">
                  <c:v>430000</c:v>
                </c:pt>
                <c:pt idx="292">
                  <c:v>435000</c:v>
                </c:pt>
                <c:pt idx="293">
                  <c:v>440000</c:v>
                </c:pt>
                <c:pt idx="294">
                  <c:v>445000</c:v>
                </c:pt>
                <c:pt idx="295">
                  <c:v>450000</c:v>
                </c:pt>
                <c:pt idx="296">
                  <c:v>455000</c:v>
                </c:pt>
                <c:pt idx="297">
                  <c:v>460000</c:v>
                </c:pt>
                <c:pt idx="298">
                  <c:v>465000</c:v>
                </c:pt>
                <c:pt idx="299">
                  <c:v>470000</c:v>
                </c:pt>
                <c:pt idx="300">
                  <c:v>475000</c:v>
                </c:pt>
                <c:pt idx="301">
                  <c:v>480000</c:v>
                </c:pt>
                <c:pt idx="302">
                  <c:v>485000</c:v>
                </c:pt>
                <c:pt idx="303">
                  <c:v>490000</c:v>
                </c:pt>
                <c:pt idx="304">
                  <c:v>495000</c:v>
                </c:pt>
                <c:pt idx="305">
                  <c:v>500000</c:v>
                </c:pt>
                <c:pt idx="306">
                  <c:v>505000</c:v>
                </c:pt>
                <c:pt idx="307">
                  <c:v>510000</c:v>
                </c:pt>
                <c:pt idx="308">
                  <c:v>515000</c:v>
                </c:pt>
                <c:pt idx="309">
                  <c:v>520000</c:v>
                </c:pt>
                <c:pt idx="310">
                  <c:v>525000</c:v>
                </c:pt>
                <c:pt idx="311">
                  <c:v>530000</c:v>
                </c:pt>
                <c:pt idx="312">
                  <c:v>535000</c:v>
                </c:pt>
                <c:pt idx="313">
                  <c:v>540000</c:v>
                </c:pt>
                <c:pt idx="314">
                  <c:v>545000</c:v>
                </c:pt>
                <c:pt idx="315">
                  <c:v>550000</c:v>
                </c:pt>
                <c:pt idx="316">
                  <c:v>555000</c:v>
                </c:pt>
                <c:pt idx="317">
                  <c:v>560000</c:v>
                </c:pt>
                <c:pt idx="318">
                  <c:v>565000</c:v>
                </c:pt>
                <c:pt idx="319">
                  <c:v>570000</c:v>
                </c:pt>
                <c:pt idx="320">
                  <c:v>575000</c:v>
                </c:pt>
                <c:pt idx="321">
                  <c:v>580000</c:v>
                </c:pt>
                <c:pt idx="322">
                  <c:v>585000</c:v>
                </c:pt>
                <c:pt idx="323">
                  <c:v>590000</c:v>
                </c:pt>
                <c:pt idx="324">
                  <c:v>595000</c:v>
                </c:pt>
                <c:pt idx="325">
                  <c:v>600000</c:v>
                </c:pt>
                <c:pt idx="326">
                  <c:v>605000</c:v>
                </c:pt>
                <c:pt idx="327">
                  <c:v>610000</c:v>
                </c:pt>
                <c:pt idx="328">
                  <c:v>615000</c:v>
                </c:pt>
                <c:pt idx="329">
                  <c:v>620000</c:v>
                </c:pt>
                <c:pt idx="330">
                  <c:v>625000</c:v>
                </c:pt>
                <c:pt idx="331">
                  <c:v>630000</c:v>
                </c:pt>
                <c:pt idx="332">
                  <c:v>635000</c:v>
                </c:pt>
                <c:pt idx="333">
                  <c:v>640000</c:v>
                </c:pt>
                <c:pt idx="334">
                  <c:v>645000</c:v>
                </c:pt>
                <c:pt idx="335">
                  <c:v>650000</c:v>
                </c:pt>
                <c:pt idx="336">
                  <c:v>655000</c:v>
                </c:pt>
                <c:pt idx="337">
                  <c:v>660000</c:v>
                </c:pt>
                <c:pt idx="338">
                  <c:v>665000</c:v>
                </c:pt>
                <c:pt idx="339">
                  <c:v>670000</c:v>
                </c:pt>
                <c:pt idx="340">
                  <c:v>675000</c:v>
                </c:pt>
                <c:pt idx="341">
                  <c:v>680000</c:v>
                </c:pt>
                <c:pt idx="342">
                  <c:v>685000</c:v>
                </c:pt>
                <c:pt idx="343">
                  <c:v>690000</c:v>
                </c:pt>
                <c:pt idx="344">
                  <c:v>695000</c:v>
                </c:pt>
                <c:pt idx="345">
                  <c:v>700000</c:v>
                </c:pt>
                <c:pt idx="346">
                  <c:v>705000</c:v>
                </c:pt>
                <c:pt idx="347">
                  <c:v>710000</c:v>
                </c:pt>
                <c:pt idx="348">
                  <c:v>715000</c:v>
                </c:pt>
                <c:pt idx="349">
                  <c:v>720000</c:v>
                </c:pt>
                <c:pt idx="350">
                  <c:v>725000</c:v>
                </c:pt>
                <c:pt idx="351">
                  <c:v>730000</c:v>
                </c:pt>
                <c:pt idx="352">
                  <c:v>735000</c:v>
                </c:pt>
                <c:pt idx="353">
                  <c:v>740000</c:v>
                </c:pt>
                <c:pt idx="354">
                  <c:v>745000</c:v>
                </c:pt>
                <c:pt idx="355">
                  <c:v>750000</c:v>
                </c:pt>
                <c:pt idx="356">
                  <c:v>755000</c:v>
                </c:pt>
                <c:pt idx="357">
                  <c:v>760000</c:v>
                </c:pt>
                <c:pt idx="358">
                  <c:v>765000</c:v>
                </c:pt>
                <c:pt idx="359">
                  <c:v>770000</c:v>
                </c:pt>
                <c:pt idx="360">
                  <c:v>775000</c:v>
                </c:pt>
                <c:pt idx="361">
                  <c:v>780000</c:v>
                </c:pt>
                <c:pt idx="362">
                  <c:v>785000</c:v>
                </c:pt>
                <c:pt idx="363">
                  <c:v>790000</c:v>
                </c:pt>
                <c:pt idx="364">
                  <c:v>795000</c:v>
                </c:pt>
                <c:pt idx="365">
                  <c:v>800000</c:v>
                </c:pt>
                <c:pt idx="366">
                  <c:v>805000</c:v>
                </c:pt>
                <c:pt idx="367">
                  <c:v>810000</c:v>
                </c:pt>
                <c:pt idx="368">
                  <c:v>815000</c:v>
                </c:pt>
                <c:pt idx="369">
                  <c:v>820000</c:v>
                </c:pt>
                <c:pt idx="370">
                  <c:v>825000</c:v>
                </c:pt>
                <c:pt idx="371">
                  <c:v>830000</c:v>
                </c:pt>
                <c:pt idx="372">
                  <c:v>835000</c:v>
                </c:pt>
                <c:pt idx="373">
                  <c:v>840000</c:v>
                </c:pt>
                <c:pt idx="374">
                  <c:v>845000</c:v>
                </c:pt>
                <c:pt idx="375">
                  <c:v>850000</c:v>
                </c:pt>
                <c:pt idx="376">
                  <c:v>855000</c:v>
                </c:pt>
                <c:pt idx="377">
                  <c:v>860000</c:v>
                </c:pt>
                <c:pt idx="378">
                  <c:v>865000</c:v>
                </c:pt>
                <c:pt idx="379">
                  <c:v>870000</c:v>
                </c:pt>
                <c:pt idx="380">
                  <c:v>875000</c:v>
                </c:pt>
                <c:pt idx="381">
                  <c:v>880000</c:v>
                </c:pt>
                <c:pt idx="382">
                  <c:v>885000</c:v>
                </c:pt>
                <c:pt idx="383">
                  <c:v>890000</c:v>
                </c:pt>
                <c:pt idx="384">
                  <c:v>895000</c:v>
                </c:pt>
                <c:pt idx="385">
                  <c:v>900000</c:v>
                </c:pt>
                <c:pt idx="386">
                  <c:v>905000</c:v>
                </c:pt>
                <c:pt idx="387">
                  <c:v>910000</c:v>
                </c:pt>
                <c:pt idx="388">
                  <c:v>915000</c:v>
                </c:pt>
                <c:pt idx="389">
                  <c:v>920000</c:v>
                </c:pt>
                <c:pt idx="390">
                  <c:v>925000</c:v>
                </c:pt>
                <c:pt idx="391">
                  <c:v>930000</c:v>
                </c:pt>
                <c:pt idx="392">
                  <c:v>935000</c:v>
                </c:pt>
                <c:pt idx="393">
                  <c:v>940000</c:v>
                </c:pt>
                <c:pt idx="394">
                  <c:v>945000</c:v>
                </c:pt>
                <c:pt idx="395">
                  <c:v>950000</c:v>
                </c:pt>
                <c:pt idx="396">
                  <c:v>955000</c:v>
                </c:pt>
                <c:pt idx="397">
                  <c:v>960000</c:v>
                </c:pt>
                <c:pt idx="398">
                  <c:v>965000</c:v>
                </c:pt>
                <c:pt idx="399">
                  <c:v>970000</c:v>
                </c:pt>
                <c:pt idx="400">
                  <c:v>975000</c:v>
                </c:pt>
                <c:pt idx="401">
                  <c:v>980000</c:v>
                </c:pt>
                <c:pt idx="402">
                  <c:v>985000</c:v>
                </c:pt>
                <c:pt idx="403">
                  <c:v>990000</c:v>
                </c:pt>
                <c:pt idx="404">
                  <c:v>995000</c:v>
                </c:pt>
                <c:pt idx="405">
                  <c:v>1000000</c:v>
                </c:pt>
                <c:pt idx="406">
                  <c:v>1005000</c:v>
                </c:pt>
                <c:pt idx="407">
                  <c:v>1010000</c:v>
                </c:pt>
                <c:pt idx="408">
                  <c:v>1015000</c:v>
                </c:pt>
                <c:pt idx="409">
                  <c:v>1020000</c:v>
                </c:pt>
                <c:pt idx="410">
                  <c:v>1025000</c:v>
                </c:pt>
                <c:pt idx="411">
                  <c:v>1030000</c:v>
                </c:pt>
                <c:pt idx="412">
                  <c:v>1035000</c:v>
                </c:pt>
                <c:pt idx="413">
                  <c:v>1040000</c:v>
                </c:pt>
                <c:pt idx="414">
                  <c:v>1045000</c:v>
                </c:pt>
                <c:pt idx="415">
                  <c:v>1050000</c:v>
                </c:pt>
                <c:pt idx="416">
                  <c:v>1055000</c:v>
                </c:pt>
                <c:pt idx="417">
                  <c:v>1060000</c:v>
                </c:pt>
                <c:pt idx="418">
                  <c:v>1065000</c:v>
                </c:pt>
                <c:pt idx="419">
                  <c:v>1070000</c:v>
                </c:pt>
                <c:pt idx="420">
                  <c:v>1075000</c:v>
                </c:pt>
                <c:pt idx="421">
                  <c:v>1080000</c:v>
                </c:pt>
                <c:pt idx="422">
                  <c:v>1085000</c:v>
                </c:pt>
                <c:pt idx="423">
                  <c:v>1090000</c:v>
                </c:pt>
                <c:pt idx="424">
                  <c:v>1095000</c:v>
                </c:pt>
                <c:pt idx="425">
                  <c:v>1100000</c:v>
                </c:pt>
                <c:pt idx="426">
                  <c:v>1105000</c:v>
                </c:pt>
                <c:pt idx="427">
                  <c:v>1110000</c:v>
                </c:pt>
                <c:pt idx="428">
                  <c:v>1115000</c:v>
                </c:pt>
                <c:pt idx="429">
                  <c:v>1120000</c:v>
                </c:pt>
                <c:pt idx="430">
                  <c:v>1125000</c:v>
                </c:pt>
                <c:pt idx="431">
                  <c:v>1130000</c:v>
                </c:pt>
                <c:pt idx="432">
                  <c:v>1135000</c:v>
                </c:pt>
                <c:pt idx="433">
                  <c:v>1140000</c:v>
                </c:pt>
                <c:pt idx="434">
                  <c:v>1145000</c:v>
                </c:pt>
                <c:pt idx="435">
                  <c:v>1150000</c:v>
                </c:pt>
                <c:pt idx="436">
                  <c:v>1155000</c:v>
                </c:pt>
                <c:pt idx="437">
                  <c:v>1160000</c:v>
                </c:pt>
                <c:pt idx="438">
                  <c:v>1165000</c:v>
                </c:pt>
                <c:pt idx="439">
                  <c:v>1170000</c:v>
                </c:pt>
                <c:pt idx="440">
                  <c:v>1175000</c:v>
                </c:pt>
                <c:pt idx="441">
                  <c:v>1180000</c:v>
                </c:pt>
                <c:pt idx="442">
                  <c:v>1185000</c:v>
                </c:pt>
                <c:pt idx="443">
                  <c:v>1190000</c:v>
                </c:pt>
                <c:pt idx="444">
                  <c:v>1195000</c:v>
                </c:pt>
                <c:pt idx="445">
                  <c:v>1200000</c:v>
                </c:pt>
                <c:pt idx="446">
                  <c:v>1205000</c:v>
                </c:pt>
                <c:pt idx="447">
                  <c:v>1210000</c:v>
                </c:pt>
                <c:pt idx="448">
                  <c:v>1215000</c:v>
                </c:pt>
                <c:pt idx="449">
                  <c:v>1220000</c:v>
                </c:pt>
                <c:pt idx="450">
                  <c:v>1225000</c:v>
                </c:pt>
                <c:pt idx="451">
                  <c:v>1230000</c:v>
                </c:pt>
                <c:pt idx="452">
                  <c:v>1235000</c:v>
                </c:pt>
                <c:pt idx="453">
                  <c:v>1240000</c:v>
                </c:pt>
                <c:pt idx="454">
                  <c:v>1245000</c:v>
                </c:pt>
                <c:pt idx="455">
                  <c:v>1250000</c:v>
                </c:pt>
                <c:pt idx="456">
                  <c:v>1255000</c:v>
                </c:pt>
                <c:pt idx="457">
                  <c:v>1260000</c:v>
                </c:pt>
                <c:pt idx="458">
                  <c:v>1265000</c:v>
                </c:pt>
                <c:pt idx="459">
                  <c:v>1270000</c:v>
                </c:pt>
                <c:pt idx="460">
                  <c:v>1275000</c:v>
                </c:pt>
                <c:pt idx="461">
                  <c:v>1280000</c:v>
                </c:pt>
                <c:pt idx="462">
                  <c:v>1285000</c:v>
                </c:pt>
                <c:pt idx="463">
                  <c:v>1290000</c:v>
                </c:pt>
                <c:pt idx="464">
                  <c:v>1295000</c:v>
                </c:pt>
                <c:pt idx="465">
                  <c:v>1300000</c:v>
                </c:pt>
                <c:pt idx="466">
                  <c:v>1305000</c:v>
                </c:pt>
                <c:pt idx="467">
                  <c:v>1310000</c:v>
                </c:pt>
                <c:pt idx="468">
                  <c:v>1315000</c:v>
                </c:pt>
                <c:pt idx="469">
                  <c:v>1320000</c:v>
                </c:pt>
                <c:pt idx="470">
                  <c:v>1325000</c:v>
                </c:pt>
                <c:pt idx="471">
                  <c:v>1330000</c:v>
                </c:pt>
                <c:pt idx="472">
                  <c:v>1335000</c:v>
                </c:pt>
                <c:pt idx="473">
                  <c:v>1340000</c:v>
                </c:pt>
                <c:pt idx="474">
                  <c:v>1345000</c:v>
                </c:pt>
                <c:pt idx="475">
                  <c:v>1350000</c:v>
                </c:pt>
                <c:pt idx="476">
                  <c:v>1355000</c:v>
                </c:pt>
                <c:pt idx="477">
                  <c:v>1360000</c:v>
                </c:pt>
                <c:pt idx="478">
                  <c:v>1365000</c:v>
                </c:pt>
                <c:pt idx="479">
                  <c:v>1370000</c:v>
                </c:pt>
                <c:pt idx="480">
                  <c:v>1375000</c:v>
                </c:pt>
                <c:pt idx="481">
                  <c:v>1380000</c:v>
                </c:pt>
                <c:pt idx="482">
                  <c:v>1385000</c:v>
                </c:pt>
                <c:pt idx="483">
                  <c:v>1390000</c:v>
                </c:pt>
                <c:pt idx="484">
                  <c:v>1395000</c:v>
                </c:pt>
                <c:pt idx="485">
                  <c:v>1400000</c:v>
                </c:pt>
                <c:pt idx="486">
                  <c:v>1405000</c:v>
                </c:pt>
                <c:pt idx="487">
                  <c:v>1410000</c:v>
                </c:pt>
                <c:pt idx="488">
                  <c:v>1415000</c:v>
                </c:pt>
                <c:pt idx="489">
                  <c:v>1420000</c:v>
                </c:pt>
                <c:pt idx="490">
                  <c:v>1425000</c:v>
                </c:pt>
                <c:pt idx="491">
                  <c:v>1430000</c:v>
                </c:pt>
                <c:pt idx="492">
                  <c:v>1435000</c:v>
                </c:pt>
                <c:pt idx="493">
                  <c:v>1440000</c:v>
                </c:pt>
                <c:pt idx="494">
                  <c:v>1445000</c:v>
                </c:pt>
                <c:pt idx="495">
                  <c:v>1450000</c:v>
                </c:pt>
                <c:pt idx="496">
                  <c:v>1455000</c:v>
                </c:pt>
                <c:pt idx="497">
                  <c:v>1460000</c:v>
                </c:pt>
                <c:pt idx="498">
                  <c:v>1465000</c:v>
                </c:pt>
                <c:pt idx="499">
                  <c:v>1470000</c:v>
                </c:pt>
                <c:pt idx="500">
                  <c:v>1475000</c:v>
                </c:pt>
                <c:pt idx="501">
                  <c:v>1480000</c:v>
                </c:pt>
                <c:pt idx="502">
                  <c:v>1485000</c:v>
                </c:pt>
                <c:pt idx="503">
                  <c:v>1490000</c:v>
                </c:pt>
                <c:pt idx="504">
                  <c:v>1495000</c:v>
                </c:pt>
                <c:pt idx="505">
                  <c:v>1500000</c:v>
                </c:pt>
                <c:pt idx="506">
                  <c:v>1505000</c:v>
                </c:pt>
                <c:pt idx="507">
                  <c:v>1510000</c:v>
                </c:pt>
                <c:pt idx="508">
                  <c:v>1515000</c:v>
                </c:pt>
                <c:pt idx="509">
                  <c:v>1520000</c:v>
                </c:pt>
                <c:pt idx="510">
                  <c:v>1525000</c:v>
                </c:pt>
                <c:pt idx="511">
                  <c:v>1530000</c:v>
                </c:pt>
                <c:pt idx="512">
                  <c:v>1535000</c:v>
                </c:pt>
                <c:pt idx="513">
                  <c:v>1540000</c:v>
                </c:pt>
                <c:pt idx="514">
                  <c:v>1545000</c:v>
                </c:pt>
                <c:pt idx="515">
                  <c:v>1550000</c:v>
                </c:pt>
                <c:pt idx="516">
                  <c:v>1555000</c:v>
                </c:pt>
                <c:pt idx="517">
                  <c:v>1560000</c:v>
                </c:pt>
                <c:pt idx="518">
                  <c:v>1565000</c:v>
                </c:pt>
                <c:pt idx="519">
                  <c:v>1570000</c:v>
                </c:pt>
                <c:pt idx="520">
                  <c:v>1575000</c:v>
                </c:pt>
                <c:pt idx="521">
                  <c:v>1580000</c:v>
                </c:pt>
                <c:pt idx="522">
                  <c:v>1585000</c:v>
                </c:pt>
                <c:pt idx="523">
                  <c:v>1590000</c:v>
                </c:pt>
                <c:pt idx="524">
                  <c:v>1595000</c:v>
                </c:pt>
                <c:pt idx="525">
                  <c:v>1600000</c:v>
                </c:pt>
                <c:pt idx="526">
                  <c:v>1605000</c:v>
                </c:pt>
                <c:pt idx="527">
                  <c:v>1610000</c:v>
                </c:pt>
                <c:pt idx="528">
                  <c:v>1615000</c:v>
                </c:pt>
                <c:pt idx="529">
                  <c:v>1620000</c:v>
                </c:pt>
                <c:pt idx="530">
                  <c:v>1625000</c:v>
                </c:pt>
                <c:pt idx="531">
                  <c:v>1630000</c:v>
                </c:pt>
                <c:pt idx="532">
                  <c:v>1635000</c:v>
                </c:pt>
                <c:pt idx="533">
                  <c:v>1640000</c:v>
                </c:pt>
                <c:pt idx="534">
                  <c:v>1645000</c:v>
                </c:pt>
                <c:pt idx="535">
                  <c:v>1650000</c:v>
                </c:pt>
                <c:pt idx="536">
                  <c:v>1655000</c:v>
                </c:pt>
                <c:pt idx="537">
                  <c:v>1660000</c:v>
                </c:pt>
                <c:pt idx="538">
                  <c:v>1665000</c:v>
                </c:pt>
                <c:pt idx="539">
                  <c:v>1670000</c:v>
                </c:pt>
                <c:pt idx="540">
                  <c:v>1675000</c:v>
                </c:pt>
                <c:pt idx="541">
                  <c:v>1680000</c:v>
                </c:pt>
                <c:pt idx="542">
                  <c:v>1685000</c:v>
                </c:pt>
                <c:pt idx="543">
                  <c:v>1690000</c:v>
                </c:pt>
                <c:pt idx="544">
                  <c:v>1695000</c:v>
                </c:pt>
                <c:pt idx="545">
                  <c:v>1700000</c:v>
                </c:pt>
                <c:pt idx="546">
                  <c:v>1705000</c:v>
                </c:pt>
                <c:pt idx="547">
                  <c:v>1710000</c:v>
                </c:pt>
                <c:pt idx="548">
                  <c:v>1715000</c:v>
                </c:pt>
                <c:pt idx="549">
                  <c:v>1720000</c:v>
                </c:pt>
                <c:pt idx="550">
                  <c:v>1725000</c:v>
                </c:pt>
                <c:pt idx="551">
                  <c:v>1730000</c:v>
                </c:pt>
                <c:pt idx="552">
                  <c:v>1735000</c:v>
                </c:pt>
                <c:pt idx="553">
                  <c:v>1740000</c:v>
                </c:pt>
                <c:pt idx="554">
                  <c:v>1745000</c:v>
                </c:pt>
                <c:pt idx="555">
                  <c:v>1750000</c:v>
                </c:pt>
                <c:pt idx="556">
                  <c:v>1755000</c:v>
                </c:pt>
                <c:pt idx="557">
                  <c:v>1760000</c:v>
                </c:pt>
                <c:pt idx="558">
                  <c:v>1765000</c:v>
                </c:pt>
                <c:pt idx="559">
                  <c:v>1770000</c:v>
                </c:pt>
                <c:pt idx="560">
                  <c:v>1775000</c:v>
                </c:pt>
                <c:pt idx="561">
                  <c:v>1780000</c:v>
                </c:pt>
                <c:pt idx="562">
                  <c:v>1785000</c:v>
                </c:pt>
                <c:pt idx="563">
                  <c:v>1790000</c:v>
                </c:pt>
                <c:pt idx="564">
                  <c:v>1795000</c:v>
                </c:pt>
                <c:pt idx="565">
                  <c:v>1800000</c:v>
                </c:pt>
                <c:pt idx="566">
                  <c:v>1805000</c:v>
                </c:pt>
                <c:pt idx="567">
                  <c:v>1810000</c:v>
                </c:pt>
                <c:pt idx="568">
                  <c:v>1815000</c:v>
                </c:pt>
                <c:pt idx="569">
                  <c:v>1820000</c:v>
                </c:pt>
                <c:pt idx="570">
                  <c:v>1825000</c:v>
                </c:pt>
                <c:pt idx="571">
                  <c:v>1830000</c:v>
                </c:pt>
                <c:pt idx="572">
                  <c:v>1835000</c:v>
                </c:pt>
                <c:pt idx="573">
                  <c:v>1840000</c:v>
                </c:pt>
                <c:pt idx="574">
                  <c:v>1845000</c:v>
                </c:pt>
                <c:pt idx="575">
                  <c:v>1850000</c:v>
                </c:pt>
                <c:pt idx="576">
                  <c:v>1855000</c:v>
                </c:pt>
                <c:pt idx="577">
                  <c:v>1860000</c:v>
                </c:pt>
                <c:pt idx="578">
                  <c:v>1865000</c:v>
                </c:pt>
                <c:pt idx="579">
                  <c:v>1870000</c:v>
                </c:pt>
                <c:pt idx="580">
                  <c:v>1875000</c:v>
                </c:pt>
                <c:pt idx="581">
                  <c:v>1880000</c:v>
                </c:pt>
                <c:pt idx="582">
                  <c:v>1885000</c:v>
                </c:pt>
                <c:pt idx="583">
                  <c:v>1890000</c:v>
                </c:pt>
                <c:pt idx="584">
                  <c:v>1895000</c:v>
                </c:pt>
                <c:pt idx="585">
                  <c:v>1900000</c:v>
                </c:pt>
                <c:pt idx="586">
                  <c:v>1905000</c:v>
                </c:pt>
                <c:pt idx="587">
                  <c:v>1910000</c:v>
                </c:pt>
                <c:pt idx="588">
                  <c:v>1915000</c:v>
                </c:pt>
                <c:pt idx="589">
                  <c:v>1920000</c:v>
                </c:pt>
                <c:pt idx="590">
                  <c:v>1925000</c:v>
                </c:pt>
                <c:pt idx="591">
                  <c:v>1930000</c:v>
                </c:pt>
                <c:pt idx="592">
                  <c:v>1935000</c:v>
                </c:pt>
                <c:pt idx="593">
                  <c:v>1940000</c:v>
                </c:pt>
                <c:pt idx="594">
                  <c:v>1945000</c:v>
                </c:pt>
                <c:pt idx="595">
                  <c:v>1950000</c:v>
                </c:pt>
                <c:pt idx="596">
                  <c:v>1955000</c:v>
                </c:pt>
                <c:pt idx="597">
                  <c:v>1960000</c:v>
                </c:pt>
                <c:pt idx="598">
                  <c:v>1965000</c:v>
                </c:pt>
                <c:pt idx="599">
                  <c:v>1970000</c:v>
                </c:pt>
                <c:pt idx="600">
                  <c:v>1975000</c:v>
                </c:pt>
                <c:pt idx="601">
                  <c:v>1980000</c:v>
                </c:pt>
                <c:pt idx="602">
                  <c:v>1985000</c:v>
                </c:pt>
                <c:pt idx="603">
                  <c:v>1990000</c:v>
                </c:pt>
                <c:pt idx="604">
                  <c:v>1995000</c:v>
                </c:pt>
                <c:pt idx="605">
                  <c:v>2000000</c:v>
                </c:pt>
                <c:pt idx="606">
                  <c:v>2250000</c:v>
                </c:pt>
                <c:pt idx="607">
                  <c:v>2500000</c:v>
                </c:pt>
                <c:pt idx="608">
                  <c:v>2750000</c:v>
                </c:pt>
                <c:pt idx="609">
                  <c:v>3000000</c:v>
                </c:pt>
                <c:pt idx="610">
                  <c:v>3250000</c:v>
                </c:pt>
                <c:pt idx="611">
                  <c:v>3500000</c:v>
                </c:pt>
                <c:pt idx="612">
                  <c:v>3750000</c:v>
                </c:pt>
                <c:pt idx="613">
                  <c:v>4000000</c:v>
                </c:pt>
                <c:pt idx="614">
                  <c:v>4250000</c:v>
                </c:pt>
                <c:pt idx="615">
                  <c:v>4500000</c:v>
                </c:pt>
                <c:pt idx="616">
                  <c:v>4750000</c:v>
                </c:pt>
                <c:pt idx="617">
                  <c:v>5000000</c:v>
                </c:pt>
                <c:pt idx="618">
                  <c:v>5100000</c:v>
                </c:pt>
                <c:pt idx="619">
                  <c:v>5200000</c:v>
                </c:pt>
                <c:pt idx="620">
                  <c:v>5300000</c:v>
                </c:pt>
                <c:pt idx="621">
                  <c:v>5400000</c:v>
                </c:pt>
                <c:pt idx="622">
                  <c:v>5500000</c:v>
                </c:pt>
                <c:pt idx="623">
                  <c:v>5600000</c:v>
                </c:pt>
                <c:pt idx="624">
                  <c:v>5700000</c:v>
                </c:pt>
                <c:pt idx="625">
                  <c:v>5800000</c:v>
                </c:pt>
                <c:pt idx="626">
                  <c:v>5900000</c:v>
                </c:pt>
                <c:pt idx="627">
                  <c:v>6000000</c:v>
                </c:pt>
                <c:pt idx="628">
                  <c:v>6100000</c:v>
                </c:pt>
                <c:pt idx="629">
                  <c:v>6200000</c:v>
                </c:pt>
                <c:pt idx="630">
                  <c:v>6300000</c:v>
                </c:pt>
                <c:pt idx="631">
                  <c:v>6400000</c:v>
                </c:pt>
                <c:pt idx="632">
                  <c:v>6500000</c:v>
                </c:pt>
                <c:pt idx="633">
                  <c:v>6600000</c:v>
                </c:pt>
                <c:pt idx="634">
                  <c:v>6700000</c:v>
                </c:pt>
                <c:pt idx="635">
                  <c:v>6800000</c:v>
                </c:pt>
                <c:pt idx="636">
                  <c:v>6900000</c:v>
                </c:pt>
                <c:pt idx="637">
                  <c:v>7000000</c:v>
                </c:pt>
                <c:pt idx="638">
                  <c:v>7100000</c:v>
                </c:pt>
                <c:pt idx="639">
                  <c:v>7200000</c:v>
                </c:pt>
                <c:pt idx="640">
                  <c:v>7300000</c:v>
                </c:pt>
                <c:pt idx="641">
                  <c:v>7400000</c:v>
                </c:pt>
                <c:pt idx="642">
                  <c:v>7500000</c:v>
                </c:pt>
                <c:pt idx="643">
                  <c:v>7600000</c:v>
                </c:pt>
                <c:pt idx="644">
                  <c:v>7700000</c:v>
                </c:pt>
                <c:pt idx="645">
                  <c:v>7800000</c:v>
                </c:pt>
                <c:pt idx="646">
                  <c:v>7900000</c:v>
                </c:pt>
                <c:pt idx="647">
                  <c:v>8000000</c:v>
                </c:pt>
                <c:pt idx="648">
                  <c:v>8100000</c:v>
                </c:pt>
                <c:pt idx="649">
                  <c:v>8200000</c:v>
                </c:pt>
                <c:pt idx="650">
                  <c:v>8300000</c:v>
                </c:pt>
                <c:pt idx="651">
                  <c:v>8400000</c:v>
                </c:pt>
                <c:pt idx="652">
                  <c:v>8500000</c:v>
                </c:pt>
                <c:pt idx="653">
                  <c:v>8600000</c:v>
                </c:pt>
                <c:pt idx="654">
                  <c:v>8700000</c:v>
                </c:pt>
                <c:pt idx="655">
                  <c:v>8800000</c:v>
                </c:pt>
                <c:pt idx="656">
                  <c:v>8900000</c:v>
                </c:pt>
                <c:pt idx="657">
                  <c:v>9000000</c:v>
                </c:pt>
                <c:pt idx="658">
                  <c:v>9100000</c:v>
                </c:pt>
                <c:pt idx="659">
                  <c:v>9200000</c:v>
                </c:pt>
                <c:pt idx="660">
                  <c:v>9300000</c:v>
                </c:pt>
                <c:pt idx="661">
                  <c:v>9400000</c:v>
                </c:pt>
                <c:pt idx="662">
                  <c:v>9500000</c:v>
                </c:pt>
                <c:pt idx="663">
                  <c:v>9600000</c:v>
                </c:pt>
                <c:pt idx="664">
                  <c:v>9700000</c:v>
                </c:pt>
                <c:pt idx="665">
                  <c:v>9800000</c:v>
                </c:pt>
                <c:pt idx="666">
                  <c:v>9900000</c:v>
                </c:pt>
                <c:pt idx="667">
                  <c:v>10000000</c:v>
                </c:pt>
              </c:numCache>
            </c:numRef>
          </c:xVal>
          <c:yVal>
            <c:numRef>
              <c:f>'Raw data'!$I$82:$I$749</c:f>
              <c:numCache>
                <c:formatCode>General</c:formatCode>
                <c:ptCount val="6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numCache>
            </c:numRef>
          </c:yVal>
          <c:smooth val="1"/>
          <c:extLst>
            <c:ext xmlns:c16="http://schemas.microsoft.com/office/drawing/2014/chart" uri="{C3380CC4-5D6E-409C-BE32-E72D297353CC}">
              <c16:uniqueId val="{00000001-9FBB-4294-B24B-677623E2F1DF}"/>
            </c:ext>
          </c:extLst>
        </c:ser>
        <c:dLbls>
          <c:showLegendKey val="0"/>
          <c:showVal val="0"/>
          <c:showCatName val="0"/>
          <c:showSerName val="0"/>
          <c:showPercent val="0"/>
          <c:showBubbleSize val="0"/>
        </c:dLbls>
        <c:axId val="202096000"/>
        <c:axId val="202101888"/>
      </c:scatterChart>
      <c:valAx>
        <c:axId val="202091904"/>
        <c:scaling>
          <c:logBase val="10"/>
          <c:orientation val="minMax"/>
          <c:max val="1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200" b="1" i="0" u="none" strike="noStrike" baseline="0">
                    <a:solidFill>
                      <a:srgbClr val="000000"/>
                    </a:solidFill>
                    <a:latin typeface="+mn-lt"/>
                    <a:ea typeface="Arial"/>
                    <a:cs typeface="Arial"/>
                  </a:defRPr>
                </a:pPr>
                <a:r>
                  <a:rPr lang="en-US" sz="1200">
                    <a:latin typeface="+mn-lt"/>
                  </a:rPr>
                  <a:t>Frequency(Hz)</a:t>
                </a:r>
              </a:p>
            </c:rich>
          </c:tx>
          <c:layout>
            <c:manualLayout>
              <c:xMode val="edge"/>
              <c:yMode val="edge"/>
              <c:x val="0.39287850608077962"/>
              <c:y val="0.89432172952065203"/>
            </c:manualLayout>
          </c:layout>
          <c:overlay val="0"/>
          <c:spPr>
            <a:noFill/>
            <a:ln w="25400">
              <a:noFill/>
            </a:ln>
          </c:spPr>
        </c:title>
        <c:numFmt formatCode="0.00E+0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02094080"/>
        <c:crossesAt val="-60"/>
        <c:crossBetween val="midCat"/>
        <c:majorUnit val="10"/>
        <c:minorUnit val="10"/>
      </c:valAx>
      <c:valAx>
        <c:axId val="202094080"/>
        <c:scaling>
          <c:orientation val="minMax"/>
          <c:max val="60"/>
          <c:min val="-60"/>
        </c:scaling>
        <c:delete val="0"/>
        <c:axPos val="l"/>
        <c:majorGridlines>
          <c:spPr>
            <a:ln w="3175">
              <a:solidFill>
                <a:srgbClr val="000000"/>
              </a:solidFill>
              <a:prstDash val="solid"/>
            </a:ln>
          </c:spPr>
        </c:majorGridlines>
        <c:title>
          <c:tx>
            <c:rich>
              <a:bodyPr/>
              <a:lstStyle/>
              <a:p>
                <a:pPr>
                  <a:defRPr sz="1200" b="1" i="0" u="none" strike="noStrike" baseline="0">
                    <a:solidFill>
                      <a:srgbClr val="0000FF"/>
                    </a:solidFill>
                    <a:latin typeface="+mn-lt"/>
                    <a:ea typeface="Arial"/>
                    <a:cs typeface="Arial"/>
                  </a:defRPr>
                </a:pPr>
                <a:r>
                  <a:rPr lang="en-US" sz="1200">
                    <a:latin typeface="+mn-lt"/>
                  </a:rPr>
                  <a:t>Gain (dB)</a:t>
                </a:r>
              </a:p>
            </c:rich>
          </c:tx>
          <c:layout>
            <c:manualLayout>
              <c:xMode val="edge"/>
              <c:yMode val="edge"/>
              <c:x val="2.4691615534813117E-2"/>
              <c:y val="0.4326654234010222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2091904"/>
        <c:crossesAt val="1"/>
        <c:crossBetween val="midCat"/>
        <c:minorUnit val="4"/>
      </c:valAx>
      <c:valAx>
        <c:axId val="202096000"/>
        <c:scaling>
          <c:logBase val="10"/>
          <c:orientation val="minMax"/>
        </c:scaling>
        <c:delete val="1"/>
        <c:axPos val="b"/>
        <c:numFmt formatCode="General" sourceLinked="1"/>
        <c:majorTickMark val="out"/>
        <c:minorTickMark val="none"/>
        <c:tickLblPos val="nextTo"/>
        <c:crossAx val="202101888"/>
        <c:crosses val="autoZero"/>
        <c:crossBetween val="midCat"/>
      </c:valAx>
      <c:valAx>
        <c:axId val="202101888"/>
        <c:scaling>
          <c:orientation val="minMax"/>
          <c:max val="-60"/>
          <c:min val="-240"/>
        </c:scaling>
        <c:delete val="0"/>
        <c:axPos val="r"/>
        <c:title>
          <c:tx>
            <c:rich>
              <a:bodyPr/>
              <a:lstStyle/>
              <a:p>
                <a:pPr>
                  <a:defRPr sz="1200" b="1" i="0" u="none" strike="noStrike" baseline="0">
                    <a:solidFill>
                      <a:srgbClr val="FF0000"/>
                    </a:solidFill>
                    <a:latin typeface="+mn-lt"/>
                    <a:ea typeface="Arial"/>
                    <a:cs typeface="Arial"/>
                  </a:defRPr>
                </a:pPr>
                <a:r>
                  <a:rPr lang="en-US" sz="1200">
                    <a:latin typeface="+mn-lt"/>
                  </a:rPr>
                  <a:t>Phase (deg)</a:t>
                </a:r>
              </a:p>
            </c:rich>
          </c:tx>
          <c:layout>
            <c:manualLayout>
              <c:xMode val="edge"/>
              <c:yMode val="edge"/>
              <c:x val="0.93474590510623268"/>
              <c:y val="0.406877331123083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202096000"/>
        <c:crosses val="max"/>
        <c:crossBetween val="midCat"/>
        <c:majorUnit val="30"/>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trlProps/ctrlProp1.xml><?xml version="1.0" encoding="utf-8"?>
<formControlPr xmlns="http://schemas.microsoft.com/office/spreadsheetml/2009/9/main" objectType="Drop" dropLines="4" dropStyle="combo" dx="15" fmlaLink="'Raw data'!$E$4" fmlaRange="'Raw data'!$B$1:$B$4" noThreeD="1" sel="1" val="0"/>
</file>

<file path=xl/ctrlProps/ctrlProp2.xml><?xml version="1.0" encoding="utf-8"?>
<formControlPr xmlns="http://schemas.microsoft.com/office/spreadsheetml/2009/9/main" objectType="Drop" dropLines="2" dropStyle="combo" dx="15" fmlaLink="'Raw data'!$E$6" fmlaRange="'Raw data'!$B$6:$B$7" noThreeD="1"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5</xdr:row>
          <xdr:rowOff>45720</xdr:rowOff>
        </xdr:from>
        <xdr:to>
          <xdr:col>15</xdr:col>
          <xdr:colOff>556260</xdr:colOff>
          <xdr:row>24</xdr:row>
          <xdr:rowOff>0</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9</xdr:col>
      <xdr:colOff>180695</xdr:colOff>
      <xdr:row>78</xdr:row>
      <xdr:rowOff>43143</xdr:rowOff>
    </xdr:from>
    <xdr:to>
      <xdr:col>15</xdr:col>
      <xdr:colOff>533400</xdr:colOff>
      <xdr:row>93</xdr:row>
      <xdr:rowOff>114300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195263</xdr:colOff>
      <xdr:row>94</xdr:row>
      <xdr:rowOff>47625</xdr:rowOff>
    </xdr:from>
    <xdr:to>
      <xdr:col>15</xdr:col>
      <xdr:colOff>504825</xdr:colOff>
      <xdr:row>108</xdr:row>
      <xdr:rowOff>133350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179295</xdr:colOff>
      <xdr:row>26</xdr:row>
      <xdr:rowOff>25773</xdr:rowOff>
    </xdr:from>
    <xdr:to>
      <xdr:col>15</xdr:col>
      <xdr:colOff>514351</xdr:colOff>
      <xdr:row>42</xdr:row>
      <xdr:rowOff>145676</xdr:rowOff>
    </xdr:to>
    <xdr:graphicFrame macro="">
      <xdr:nvGraphicFramePr>
        <xdr:cNvPr id="15" name="Chart 2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154081</xdr:colOff>
      <xdr:row>43</xdr:row>
      <xdr:rowOff>53787</xdr:rowOff>
    </xdr:from>
    <xdr:to>
      <xdr:col>15</xdr:col>
      <xdr:colOff>510989</xdr:colOff>
      <xdr:row>58</xdr:row>
      <xdr:rowOff>49865</xdr:rowOff>
    </xdr:to>
    <xdr:graphicFrame macro="">
      <xdr:nvGraphicFramePr>
        <xdr:cNvPr id="16" name="Chart 24">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165287</xdr:colOff>
      <xdr:row>58</xdr:row>
      <xdr:rowOff>134471</xdr:rowOff>
    </xdr:from>
    <xdr:to>
      <xdr:col>15</xdr:col>
      <xdr:colOff>499783</xdr:colOff>
      <xdr:row>76</xdr:row>
      <xdr:rowOff>30256</xdr:rowOff>
    </xdr:to>
    <xdr:graphicFrame macro="">
      <xdr:nvGraphicFramePr>
        <xdr:cNvPr id="17" name="Chart 24">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137160</xdr:colOff>
          <xdr:row>9</xdr:row>
          <xdr:rowOff>7620</xdr:rowOff>
        </xdr:from>
        <xdr:to>
          <xdr:col>7</xdr:col>
          <xdr:colOff>0</xdr:colOff>
          <xdr:row>9</xdr:row>
          <xdr:rowOff>175260</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11</xdr:row>
          <xdr:rowOff>0</xdr:rowOff>
        </xdr:from>
        <xdr:to>
          <xdr:col>6</xdr:col>
          <xdr:colOff>655320</xdr:colOff>
          <xdr:row>12</xdr:row>
          <xdr:rowOff>7620</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image" Target="../media/image1.emf"/><Relationship Id="rId4" Type="http://schemas.openxmlformats.org/officeDocument/2006/relationships/oleObject" Target="../embeddings/Microsoft_Visio_2003-2010_Drawing.vsd"/></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Q1130"/>
  <sheetViews>
    <sheetView tabSelected="1" view="pageBreakPreview" topLeftCell="A23" zoomScale="115" zoomScaleNormal="85" zoomScaleSheetLayoutView="115" workbookViewId="0">
      <selection activeCell="G53" sqref="G53"/>
    </sheetView>
  </sheetViews>
  <sheetFormatPr defaultColWidth="9.109375" defaultRowHeight="14.4" x14ac:dyDescent="0.3"/>
  <cols>
    <col min="1" max="1" width="13.44140625" style="1" customWidth="1"/>
    <col min="2" max="2" width="13.6640625" style="1" bestFit="1" customWidth="1"/>
    <col min="3" max="3" width="7.5546875" style="1" customWidth="1"/>
    <col min="4" max="5" width="10.88671875" style="1" customWidth="1"/>
    <col min="6" max="6" width="9.109375" style="1"/>
    <col min="7" max="7" width="10" style="16" customWidth="1"/>
    <col min="8" max="8" width="9.109375" style="1"/>
    <col min="9" max="9" width="12" style="97" bestFit="1" customWidth="1"/>
    <col min="10" max="17" width="9.109375" style="1"/>
    <col min="18" max="18" width="11.6640625" style="1" bestFit="1" customWidth="1"/>
    <col min="19" max="23" width="9.109375" style="1"/>
    <col min="24" max="24" width="11.44140625" style="1" customWidth="1"/>
    <col min="25" max="16384" width="9.109375" style="1"/>
  </cols>
  <sheetData>
    <row r="1" spans="1:17" ht="40.5" customHeight="1" x14ac:dyDescent="0.3">
      <c r="A1" s="105" t="s">
        <v>132</v>
      </c>
      <c r="B1" s="106"/>
      <c r="C1" s="106"/>
      <c r="D1" s="106"/>
      <c r="E1" s="106"/>
      <c r="F1" s="106"/>
      <c r="G1" s="106"/>
      <c r="H1" s="106"/>
      <c r="I1" s="106"/>
      <c r="J1" s="106"/>
      <c r="K1" s="106"/>
      <c r="L1" s="106"/>
      <c r="M1" s="106"/>
      <c r="N1" s="106"/>
      <c r="O1" s="106"/>
      <c r="P1" s="106"/>
      <c r="Q1" s="106"/>
    </row>
    <row r="2" spans="1:17" x14ac:dyDescent="0.3">
      <c r="A2" s="37"/>
      <c r="B2" s="38"/>
      <c r="C2" s="38"/>
      <c r="D2" s="38"/>
      <c r="E2" s="38"/>
      <c r="F2" s="38"/>
      <c r="G2" s="39"/>
      <c r="H2" s="38"/>
      <c r="I2" s="79"/>
      <c r="J2" s="38"/>
      <c r="K2" s="38"/>
      <c r="L2" s="38"/>
      <c r="M2" s="38"/>
      <c r="N2" s="38"/>
      <c r="O2" s="38"/>
      <c r="P2" s="38"/>
      <c r="Q2" s="38"/>
    </row>
    <row r="3" spans="1:17" ht="15.6" x14ac:dyDescent="0.3">
      <c r="A3" s="2" t="s">
        <v>0</v>
      </c>
      <c r="B3" s="38"/>
      <c r="C3" s="38"/>
      <c r="D3" s="3"/>
      <c r="E3" s="4"/>
      <c r="F3" s="5" t="s">
        <v>2</v>
      </c>
      <c r="G3" s="39"/>
      <c r="H3" s="38"/>
      <c r="I3" s="79"/>
      <c r="J3" s="38"/>
      <c r="K3" s="38"/>
      <c r="L3" s="38"/>
      <c r="M3" s="38"/>
      <c r="N3" s="38"/>
      <c r="O3" s="107" t="s">
        <v>1</v>
      </c>
      <c r="P3" s="107"/>
      <c r="Q3" s="38"/>
    </row>
    <row r="4" spans="1:17" ht="15" thickBot="1" x14ac:dyDescent="0.35">
      <c r="A4" s="40"/>
      <c r="B4" s="41"/>
      <c r="C4" s="41"/>
      <c r="D4" s="41"/>
      <c r="E4" s="41"/>
      <c r="F4" s="41"/>
      <c r="G4" s="42"/>
      <c r="H4" s="41"/>
      <c r="I4" s="80"/>
      <c r="J4" s="41"/>
      <c r="K4" s="41"/>
      <c r="L4" s="41"/>
      <c r="M4" s="41"/>
      <c r="N4" s="41"/>
      <c r="O4" s="41"/>
      <c r="P4" s="41"/>
      <c r="Q4" s="38"/>
    </row>
    <row r="5" spans="1:17" s="6" customFormat="1" ht="13.8" x14ac:dyDescent="0.3">
      <c r="A5" s="19"/>
      <c r="G5" s="13"/>
      <c r="I5" s="81"/>
      <c r="O5" s="6" t="s">
        <v>160</v>
      </c>
      <c r="Q5" s="7"/>
    </row>
    <row r="6" spans="1:17" s="6" customFormat="1" ht="13.8" x14ac:dyDescent="0.3">
      <c r="A6" s="27" t="s">
        <v>137</v>
      </c>
      <c r="D6" s="7"/>
      <c r="E6" s="7"/>
      <c r="F6" s="20"/>
      <c r="G6" s="13"/>
      <c r="I6" s="81"/>
    </row>
    <row r="7" spans="1:17" s="8" customFormat="1" ht="15" x14ac:dyDescent="0.35">
      <c r="A7" s="21"/>
      <c r="E7" s="10"/>
      <c r="F7" s="11" t="s">
        <v>13</v>
      </c>
      <c r="G7" s="98">
        <v>3</v>
      </c>
      <c r="H7" s="8" t="s">
        <v>3</v>
      </c>
      <c r="I7" s="82">
        <f>G7</f>
        <v>3</v>
      </c>
    </row>
    <row r="8" spans="1:17" s="8" customFormat="1" ht="15" x14ac:dyDescent="0.35">
      <c r="E8" s="10"/>
      <c r="F8" s="11" t="s">
        <v>14</v>
      </c>
      <c r="G8" s="98">
        <v>3.7</v>
      </c>
      <c r="H8" s="8" t="s">
        <v>3</v>
      </c>
      <c r="I8" s="82">
        <f>G8</f>
        <v>3.7</v>
      </c>
    </row>
    <row r="9" spans="1:17" s="8" customFormat="1" ht="15" x14ac:dyDescent="0.35">
      <c r="E9" s="10"/>
      <c r="F9" s="11" t="s">
        <v>15</v>
      </c>
      <c r="G9" s="98">
        <v>4.5999999999999996</v>
      </c>
      <c r="H9" s="8" t="s">
        <v>3</v>
      </c>
      <c r="I9" s="82">
        <f>G9</f>
        <v>4.5999999999999996</v>
      </c>
    </row>
    <row r="10" spans="1:17" s="8" customFormat="1" ht="15" x14ac:dyDescent="0.35">
      <c r="E10" s="10"/>
      <c r="F10" s="11" t="s">
        <v>16</v>
      </c>
      <c r="G10" s="9"/>
      <c r="H10" s="8" t="s">
        <v>3</v>
      </c>
      <c r="I10" s="83">
        <f>Vouttarget</f>
        <v>6.8</v>
      </c>
    </row>
    <row r="11" spans="1:17" s="8" customFormat="1" ht="15" x14ac:dyDescent="0.35">
      <c r="E11" s="10"/>
      <c r="F11" s="11" t="s">
        <v>17</v>
      </c>
      <c r="G11" s="99">
        <v>0.05</v>
      </c>
      <c r="H11" s="8" t="s">
        <v>9</v>
      </c>
      <c r="I11" s="84">
        <f>G11</f>
        <v>0.05</v>
      </c>
    </row>
    <row r="12" spans="1:17" s="8" customFormat="1" ht="13.8" x14ac:dyDescent="0.3">
      <c r="E12" s="10"/>
      <c r="F12" s="11" t="s">
        <v>5</v>
      </c>
      <c r="G12" s="9"/>
      <c r="H12" s="8" t="s">
        <v>4</v>
      </c>
      <c r="I12" s="85" t="str">
        <f>MODE</f>
        <v>EC</v>
      </c>
    </row>
    <row r="13" spans="1:17" s="8" customFormat="1" ht="15" x14ac:dyDescent="0.35">
      <c r="E13" s="10"/>
      <c r="F13" s="11" t="s">
        <v>135</v>
      </c>
      <c r="G13" s="98">
        <v>1160</v>
      </c>
      <c r="H13" s="8" t="s">
        <v>6</v>
      </c>
      <c r="I13" s="81">
        <f>G13*10^3</f>
        <v>1160000</v>
      </c>
    </row>
    <row r="14" spans="1:17" s="8" customFormat="1" ht="15" x14ac:dyDescent="0.35">
      <c r="E14" s="10"/>
      <c r="F14" s="11" t="s">
        <v>136</v>
      </c>
      <c r="G14" s="98">
        <v>1160</v>
      </c>
      <c r="H14" s="8" t="s">
        <v>6</v>
      </c>
      <c r="I14" s="81">
        <f>G14*1000</f>
        <v>1160000</v>
      </c>
      <c r="K14" s="6"/>
    </row>
    <row r="15" spans="1:17" s="8" customFormat="1" ht="13.8" x14ac:dyDescent="0.3">
      <c r="A15" s="21"/>
      <c r="E15" s="10"/>
      <c r="F15" s="11" t="s">
        <v>7</v>
      </c>
      <c r="G15" s="98">
        <v>90</v>
      </c>
      <c r="H15" s="8" t="s">
        <v>8</v>
      </c>
      <c r="I15" s="81">
        <f>G15/100</f>
        <v>0.9</v>
      </c>
    </row>
    <row r="16" spans="1:17" s="8" customFormat="1" ht="15" x14ac:dyDescent="0.35">
      <c r="A16" s="21"/>
      <c r="E16" s="10"/>
      <c r="F16" s="11" t="s">
        <v>18</v>
      </c>
      <c r="G16" s="15">
        <f>I16</f>
        <v>0.34</v>
      </c>
      <c r="H16" s="8" t="s">
        <v>21</v>
      </c>
      <c r="I16" s="81">
        <f>Vouttarget*Iload</f>
        <v>0.34</v>
      </c>
    </row>
    <row r="17" spans="1:11" s="8" customFormat="1" ht="15" x14ac:dyDescent="0.35">
      <c r="A17" s="21"/>
      <c r="E17" s="10"/>
      <c r="F17" s="11" t="s">
        <v>40</v>
      </c>
      <c r="G17" s="29">
        <f>Rload</f>
        <v>136</v>
      </c>
      <c r="H17" s="8" t="s">
        <v>29</v>
      </c>
      <c r="I17" s="86">
        <f>Vouttarget/Iload</f>
        <v>136</v>
      </c>
    </row>
    <row r="18" spans="1:11" s="8" customFormat="1" ht="15" x14ac:dyDescent="0.35">
      <c r="A18" s="21"/>
      <c r="E18" s="10"/>
      <c r="F18" s="23" t="s">
        <v>159</v>
      </c>
      <c r="G18" s="29">
        <f>Dmax_ideal</f>
        <v>0.58904109589041087</v>
      </c>
      <c r="I18" s="87">
        <f>(1-(Vsupplymin)/(Vouttarget+Vf))</f>
        <v>0.58904109589041087</v>
      </c>
    </row>
    <row r="19" spans="1:11" s="8" customFormat="1" ht="13.8" x14ac:dyDescent="0.3">
      <c r="A19" s="21"/>
      <c r="E19" s="10"/>
      <c r="F19" s="23"/>
      <c r="G19" s="104"/>
      <c r="I19" s="87"/>
    </row>
    <row r="20" spans="1:11" s="8" customFormat="1" ht="15.6" thickBot="1" x14ac:dyDescent="0.4">
      <c r="A20" s="27" t="s">
        <v>146</v>
      </c>
      <c r="E20" s="10"/>
      <c r="F20" s="11"/>
      <c r="G20" s="15"/>
      <c r="I20" s="81"/>
    </row>
    <row r="21" spans="1:11" s="8" customFormat="1" ht="15.6" thickBot="1" x14ac:dyDescent="0.4">
      <c r="A21" s="21"/>
      <c r="E21" s="10"/>
      <c r="F21" s="11" t="s">
        <v>19</v>
      </c>
      <c r="G21" s="30">
        <f>I21</f>
        <v>90.9</v>
      </c>
      <c r="H21" s="8" t="s">
        <v>22</v>
      </c>
      <c r="I21" s="81">
        <f>IF(Vouttarget=6.8,IF(MODE="EC",90.9,29.4),IF(Vouttarget=7.5,IF(MODE="EC",71.5,19.1),IF(Vouttarget=8.5,IF(MODE="EC",54.9,9.53),IF(Vouttarget=10.5,IF(MODE="EC",41.2,0),0))))</f>
        <v>90.9</v>
      </c>
    </row>
    <row r="22" spans="1:11" s="8" customFormat="1" ht="13.8" x14ac:dyDescent="0.3">
      <c r="A22" s="21"/>
      <c r="E22" s="10"/>
      <c r="F22" s="11"/>
      <c r="G22" s="24"/>
      <c r="I22" s="81"/>
    </row>
    <row r="23" spans="1:11" s="8" customFormat="1" ht="15.6" thickBot="1" x14ac:dyDescent="0.4">
      <c r="A23" s="27" t="s">
        <v>147</v>
      </c>
      <c r="E23" s="10"/>
      <c r="F23" s="11"/>
      <c r="G23" s="24"/>
      <c r="I23" s="81"/>
    </row>
    <row r="24" spans="1:11" s="8" customFormat="1" ht="15.6" thickBot="1" x14ac:dyDescent="0.4">
      <c r="A24" s="21"/>
      <c r="E24" s="10"/>
      <c r="F24" s="11" t="s">
        <v>20</v>
      </c>
      <c r="G24" s="31">
        <f>J24/1000</f>
        <v>18.7</v>
      </c>
      <c r="H24" s="8" t="s">
        <v>22</v>
      </c>
      <c r="I24" s="81">
        <f>2.233*10^10/Fsw-619</f>
        <v>18631</v>
      </c>
      <c r="J24" s="17">
        <f t="shared" ref="J24" si="0">IF(I24="OPEN","OPEN",IF(I24&gt;(INT(0.5+100*POWER(10,IF(96*(LOG(I24)-INT(LOG(I24)))-ROUND(96*(LOG(I24)-INT(LOG(I24))),0)&lt;0,ROUND(96*(LOG(I24)-INT(LOG(I24))),0)-1,ROUND(96*(LOG(I24)-INT(LOG(I24))),0))/96))*POWER(10,INT(LOG(I24))-2)+INT(0.5+100*POWER(10,(IF(96*(LOG(I24)-INT(LOG(I24)))-ROUND(96*(LOG(I24)-INT(LOG(I24))),0)&lt;0,ROUND(96*(LOG(I24)-INT(LOG(I24))),0)-1,ROUND(96*(LOG(I24)-INT(LOG(I24))),0))+1)/96))*POWER(10,INT(LOG(I24))-2))/2,INT(0.5+100*POWER(10,(IF(96*(LOG(I24)-INT(LOG(I24)))-ROUND(96*(LOG(I24)-INT(LOG(I24))),0)&lt;0,ROUND(96*(LOG(I24)-INT(LOG(I24))),0)-1,ROUND(96*(LOG(I24)-INT(LOG(I24))),0))+1)/96))*POWER(10,INT(LOG(I24))-2),INT(0.5+100*POWER(10,IF(96*(LOG(I24)-INT(LOG(I24)))-ROUND(96*(LOG(I24)-INT(LOG(I24))),0)&lt;0,ROUND(96*(LOG(I24)-INT(LOG(I24))),0)-1,ROUND(96*(LOG(I24)-INT(LOG(I24))),0))/96))*POWER(10,INT(LOG(I24))-2)))</f>
        <v>18700</v>
      </c>
    </row>
    <row r="25" spans="1:11" s="8" customFormat="1" ht="13.8" x14ac:dyDescent="0.3">
      <c r="A25" s="21"/>
      <c r="E25" s="10"/>
      <c r="F25" s="11"/>
      <c r="G25" s="14"/>
      <c r="I25" s="81"/>
    </row>
    <row r="26" spans="1:11" s="6" customFormat="1" ht="13.8" x14ac:dyDescent="0.3">
      <c r="A26" s="27" t="s">
        <v>148</v>
      </c>
      <c r="E26" s="7"/>
      <c r="F26" s="12"/>
      <c r="G26" s="13"/>
      <c r="I26" s="81"/>
    </row>
    <row r="27" spans="1:11" s="8" customFormat="1" ht="15" x14ac:dyDescent="0.35">
      <c r="A27" s="21"/>
      <c r="E27" s="10"/>
      <c r="F27" s="11" t="s">
        <v>25</v>
      </c>
      <c r="G27" s="98">
        <v>0.5</v>
      </c>
      <c r="H27" s="8" t="s">
        <v>3</v>
      </c>
      <c r="I27" s="82">
        <f>G27</f>
        <v>0.5</v>
      </c>
    </row>
    <row r="28" spans="1:11" s="8" customFormat="1" ht="15" x14ac:dyDescent="0.35">
      <c r="A28" s="21"/>
      <c r="E28" s="10"/>
      <c r="F28" s="11" t="s">
        <v>26</v>
      </c>
      <c r="G28" s="98">
        <v>15</v>
      </c>
      <c r="H28" s="8" t="s">
        <v>27</v>
      </c>
      <c r="I28" s="88">
        <f>G28*10^-9</f>
        <v>1.5000000000000002E-8</v>
      </c>
    </row>
    <row r="29" spans="1:11" s="8" customFormat="1" ht="13.8" x14ac:dyDescent="0.3">
      <c r="A29" s="21"/>
      <c r="E29" s="10"/>
      <c r="F29" s="11" t="s">
        <v>11</v>
      </c>
      <c r="G29" s="14">
        <f>I29</f>
        <v>11.8</v>
      </c>
      <c r="H29" s="8" t="s">
        <v>3</v>
      </c>
      <c r="I29" s="81">
        <f>MAX(Vsupplymax,Vouttarget)+5</f>
        <v>11.8</v>
      </c>
    </row>
    <row r="30" spans="1:11" s="8" customFormat="1" ht="13.8" x14ac:dyDescent="0.3">
      <c r="A30" s="21"/>
      <c r="E30" s="10"/>
      <c r="F30" s="11" t="s">
        <v>12</v>
      </c>
      <c r="G30" s="18">
        <f>I30</f>
        <v>0.06</v>
      </c>
      <c r="H30" s="8" t="s">
        <v>9</v>
      </c>
      <c r="I30" s="81">
        <f>Iload*1.2</f>
        <v>0.06</v>
      </c>
    </row>
    <row r="31" spans="1:11" s="8" customFormat="1" ht="13.8" x14ac:dyDescent="0.3">
      <c r="A31" s="21"/>
      <c r="E31" s="10"/>
      <c r="F31" s="21"/>
      <c r="G31" s="14"/>
      <c r="I31" s="81"/>
    </row>
    <row r="32" spans="1:11" s="8" customFormat="1" ht="13.8" x14ac:dyDescent="0.3">
      <c r="A32" s="27" t="s">
        <v>149</v>
      </c>
      <c r="E32" s="10"/>
      <c r="F32" s="21"/>
      <c r="G32" s="14"/>
      <c r="I32" s="81"/>
      <c r="K32" s="6"/>
    </row>
    <row r="33" spans="1:10" s="8" customFormat="1" ht="13.8" x14ac:dyDescent="0.3">
      <c r="A33" s="21"/>
      <c r="E33" s="10"/>
      <c r="F33" s="22" t="s">
        <v>28</v>
      </c>
      <c r="G33" s="98">
        <v>3.7</v>
      </c>
      <c r="H33" s="8" t="s">
        <v>27</v>
      </c>
      <c r="I33" s="88">
        <f>G33*10^-9</f>
        <v>3.7000000000000005E-9</v>
      </c>
      <c r="J33" s="8">
        <f>Qg*Fsw</f>
        <v>4.2920000000000007E-3</v>
      </c>
    </row>
    <row r="34" spans="1:10" s="8" customFormat="1" ht="13.8" x14ac:dyDescent="0.3">
      <c r="A34" s="21"/>
      <c r="E34" s="10"/>
      <c r="F34" s="23" t="s">
        <v>31</v>
      </c>
      <c r="G34" s="98">
        <v>27.4</v>
      </c>
      <c r="H34" s="8" t="s">
        <v>30</v>
      </c>
      <c r="I34" s="88">
        <f>G34/1000</f>
        <v>2.7399999999999997E-2</v>
      </c>
    </row>
    <row r="35" spans="1:10" s="8" customFormat="1" ht="13.8" x14ac:dyDescent="0.3">
      <c r="A35" s="21"/>
      <c r="E35" s="10"/>
      <c r="F35" s="23" t="s">
        <v>141</v>
      </c>
      <c r="G35" s="98">
        <v>15</v>
      </c>
      <c r="H35" s="8" t="s">
        <v>91</v>
      </c>
      <c r="I35" s="88">
        <f>G35*10^-9</f>
        <v>1.5000000000000002E-8</v>
      </c>
    </row>
    <row r="36" spans="1:10" s="8" customFormat="1" ht="13.8" x14ac:dyDescent="0.3">
      <c r="A36" s="21"/>
      <c r="E36" s="10"/>
      <c r="F36" s="23" t="s">
        <v>142</v>
      </c>
      <c r="G36" s="98">
        <v>15</v>
      </c>
      <c r="H36" s="8" t="s">
        <v>91</v>
      </c>
      <c r="I36" s="88">
        <f>G36*10^-9</f>
        <v>1.5000000000000002E-8</v>
      </c>
    </row>
    <row r="37" spans="1:10" s="8" customFormat="1" ht="13.8" x14ac:dyDescent="0.3">
      <c r="A37" s="21"/>
      <c r="E37" s="10"/>
      <c r="F37" s="23" t="s">
        <v>145</v>
      </c>
      <c r="G37" s="14">
        <f>I37</f>
        <v>16.8</v>
      </c>
      <c r="H37" s="8" t="s">
        <v>3</v>
      </c>
      <c r="I37" s="81">
        <f>MAX(Vsupplymax,Vouttarget)+10</f>
        <v>16.8</v>
      </c>
    </row>
    <row r="38" spans="1:10" s="8" customFormat="1" ht="13.8" x14ac:dyDescent="0.3">
      <c r="A38" s="21"/>
      <c r="E38" s="10"/>
      <c r="F38" s="23"/>
      <c r="G38" s="14"/>
      <c r="I38" s="81"/>
    </row>
    <row r="39" spans="1:10" s="6" customFormat="1" ht="15" x14ac:dyDescent="0.35">
      <c r="A39" s="27" t="s">
        <v>150</v>
      </c>
      <c r="E39" s="7"/>
      <c r="F39" s="20"/>
      <c r="G39" s="13"/>
      <c r="I39" s="81"/>
    </row>
    <row r="40" spans="1:10" s="6" customFormat="1" ht="13.8" x14ac:dyDescent="0.3">
      <c r="A40" s="20"/>
      <c r="E40" s="7"/>
      <c r="F40" s="11" t="s">
        <v>39</v>
      </c>
      <c r="G40" s="98">
        <v>40</v>
      </c>
      <c r="H40" s="6" t="s">
        <v>8</v>
      </c>
      <c r="I40" s="82">
        <f>G40/100</f>
        <v>0.4</v>
      </c>
    </row>
    <row r="41" spans="1:10" s="6" customFormat="1" ht="13.8" x14ac:dyDescent="0.3">
      <c r="A41" s="20"/>
      <c r="E41" s="7"/>
      <c r="F41" s="11" t="s">
        <v>42</v>
      </c>
      <c r="G41" s="18">
        <f>I41*10^6</f>
        <v>41.034482758620697</v>
      </c>
      <c r="H41" s="8" t="s">
        <v>41</v>
      </c>
      <c r="I41" s="89">
        <f>0.14*Rload/Fsync/RR</f>
        <v>4.1034482758620698E-5</v>
      </c>
    </row>
    <row r="42" spans="1:10" s="6" customFormat="1" ht="15.6" thickBot="1" x14ac:dyDescent="0.4">
      <c r="A42" s="20"/>
      <c r="E42" s="7"/>
      <c r="F42" s="11" t="s">
        <v>34</v>
      </c>
      <c r="G42" s="18">
        <f>I42*10^6</f>
        <v>28.904665314401619</v>
      </c>
      <c r="H42" s="8" t="s">
        <v>41</v>
      </c>
      <c r="I42" s="89">
        <f>(Vouttarget-Vsupplymin)*Vsupplymin/Fsync/Vouttarget/Iload</f>
        <v>2.890466531440162E-5</v>
      </c>
    </row>
    <row r="43" spans="1:10" s="6" customFormat="1" ht="15.6" thickBot="1" x14ac:dyDescent="0.4">
      <c r="A43" s="20"/>
      <c r="E43" s="7"/>
      <c r="F43" s="11" t="s">
        <v>35</v>
      </c>
      <c r="G43" s="100">
        <v>33</v>
      </c>
      <c r="H43" s="8" t="s">
        <v>41</v>
      </c>
      <c r="I43" s="88">
        <f>G43*10^-6</f>
        <v>3.2999999999999996E-5</v>
      </c>
    </row>
    <row r="44" spans="1:10" s="6" customFormat="1" ht="15" x14ac:dyDescent="0.35">
      <c r="A44" s="20"/>
      <c r="E44" s="7"/>
      <c r="F44" s="11" t="s">
        <v>44</v>
      </c>
      <c r="G44" s="98">
        <v>460</v>
      </c>
      <c r="H44" s="8" t="s">
        <v>30</v>
      </c>
      <c r="I44" s="88">
        <f>G44/1000</f>
        <v>0.46</v>
      </c>
    </row>
    <row r="45" spans="1:10" s="6" customFormat="1" ht="13.8" x14ac:dyDescent="0.3">
      <c r="A45" s="20"/>
      <c r="E45" s="7"/>
      <c r="F45" s="11"/>
      <c r="G45" s="18"/>
      <c r="H45" s="8"/>
      <c r="I45" s="90">
        <f>Vsupplymin/Lm*Dmax_ideal/Fsync</f>
        <v>4.6163095289217158E-2</v>
      </c>
    </row>
    <row r="46" spans="1:10" s="6" customFormat="1" ht="15" x14ac:dyDescent="0.35">
      <c r="A46" s="27" t="s">
        <v>151</v>
      </c>
      <c r="E46" s="7"/>
      <c r="F46" s="20"/>
      <c r="G46" s="14"/>
      <c r="H46" s="8"/>
      <c r="I46" s="81"/>
    </row>
    <row r="47" spans="1:10" s="6" customFormat="1" thickBot="1" x14ac:dyDescent="0.35">
      <c r="A47" s="27"/>
      <c r="E47" s="7"/>
      <c r="F47" s="11" t="s">
        <v>52</v>
      </c>
      <c r="G47" s="18">
        <f>I47/1000</f>
        <v>0</v>
      </c>
      <c r="H47" s="8" t="s">
        <v>45</v>
      </c>
      <c r="I47" s="81">
        <f>MAX(0,0.82*((Vouttarget+Vf)-Vsupplymin)*Rs/Lm/Fsync/0.00003-2000)</f>
        <v>0</v>
      </c>
    </row>
    <row r="48" spans="1:10" s="8" customFormat="1" ht="15.6" thickBot="1" x14ac:dyDescent="0.4">
      <c r="A48" s="21"/>
      <c r="E48" s="10"/>
      <c r="F48" s="11" t="s">
        <v>48</v>
      </c>
      <c r="G48" s="101">
        <v>0</v>
      </c>
      <c r="H48" s="8" t="s">
        <v>45</v>
      </c>
      <c r="I48" s="81">
        <f>G48*1000</f>
        <v>0</v>
      </c>
    </row>
    <row r="49" spans="1:9" s="8" customFormat="1" ht="13.8" x14ac:dyDescent="0.3">
      <c r="A49" s="21"/>
      <c r="E49" s="10"/>
      <c r="F49" s="11"/>
      <c r="G49" s="13"/>
      <c r="I49" s="81"/>
    </row>
    <row r="50" spans="1:9" s="8" customFormat="1" ht="15" x14ac:dyDescent="0.35">
      <c r="A50" s="27" t="s">
        <v>152</v>
      </c>
      <c r="E50" s="10"/>
      <c r="F50" s="11"/>
      <c r="G50" s="14"/>
      <c r="I50" s="81"/>
    </row>
    <row r="51" spans="1:9" s="8" customFormat="1" ht="13.8" x14ac:dyDescent="0.3">
      <c r="A51" s="21"/>
      <c r="E51" s="10"/>
      <c r="F51" s="11" t="s">
        <v>47</v>
      </c>
      <c r="G51" s="98">
        <v>1.2</v>
      </c>
      <c r="I51" s="81"/>
    </row>
    <row r="52" spans="1:9" s="8" customFormat="1" thickBot="1" x14ac:dyDescent="0.35">
      <c r="A52" s="21"/>
      <c r="E52" s="10"/>
      <c r="F52" s="11" t="s">
        <v>46</v>
      </c>
      <c r="G52" s="15">
        <f>I52*1000</f>
        <v>660.96766367524947</v>
      </c>
      <c r="H52" s="8" t="s">
        <v>30</v>
      </c>
      <c r="I52" s="91">
        <f>(1.2+0.6*(Vouttarget-Vsupplymin)/Vouttarget-10*30*10^-6*(2000+Rsl)*Fsw/Fsync*Dmax_ideal)/(10*Mcl*(Vouttarget*Iload/Vsupplymin/Eff+0.5*Vsupplymin*Dmax_ideal/Fsync/Lm))</f>
        <v>0.66096766367524951</v>
      </c>
    </row>
    <row r="53" spans="1:9" s="8" customFormat="1" ht="15.6" thickBot="1" x14ac:dyDescent="0.4">
      <c r="A53" s="21"/>
      <c r="E53" s="10"/>
      <c r="F53" s="11" t="s">
        <v>36</v>
      </c>
      <c r="G53" s="100">
        <v>68</v>
      </c>
      <c r="H53" s="8" t="s">
        <v>30</v>
      </c>
      <c r="I53" s="81">
        <f>G53/1000</f>
        <v>6.8000000000000005E-2</v>
      </c>
    </row>
    <row r="54" spans="1:9" s="8" customFormat="1" ht="15" x14ac:dyDescent="0.35">
      <c r="A54" s="21"/>
      <c r="F54" s="11" t="s">
        <v>37</v>
      </c>
      <c r="G54" s="18">
        <f>I54</f>
        <v>0.12473811442385167</v>
      </c>
      <c r="H54" s="8" t="s">
        <v>21</v>
      </c>
      <c r="I54" s="92">
        <f>(0.12/Rs)^2*Rs*Dmax_ideal</f>
        <v>0.12473811442385167</v>
      </c>
    </row>
    <row r="55" spans="1:9" s="8" customFormat="1" ht="13.8" x14ac:dyDescent="0.3">
      <c r="A55" s="21"/>
      <c r="G55" s="14"/>
      <c r="I55" s="81"/>
    </row>
    <row r="56" spans="1:9" s="6" customFormat="1" ht="15.6" thickBot="1" x14ac:dyDescent="0.4">
      <c r="A56" s="27" t="s">
        <v>153</v>
      </c>
      <c r="F56" s="21"/>
      <c r="G56" s="13"/>
      <c r="I56" s="81"/>
    </row>
    <row r="57" spans="1:9" s="6" customFormat="1" ht="15.6" thickBot="1" x14ac:dyDescent="0.4">
      <c r="A57" s="20"/>
      <c r="F57" s="11" t="s">
        <v>58</v>
      </c>
      <c r="G57" s="100">
        <v>51</v>
      </c>
      <c r="H57" s="8" t="s">
        <v>29</v>
      </c>
      <c r="I57" s="81">
        <f>G57</f>
        <v>51</v>
      </c>
    </row>
    <row r="58" spans="1:9" s="6" customFormat="1" ht="15.6" thickBot="1" x14ac:dyDescent="0.4">
      <c r="A58" s="20"/>
      <c r="F58" s="11" t="s">
        <v>57</v>
      </c>
      <c r="G58" s="100">
        <v>2200</v>
      </c>
      <c r="H58" s="8" t="s">
        <v>49</v>
      </c>
      <c r="I58" s="81">
        <f>G58*10^-12</f>
        <v>2.1999999999999998E-9</v>
      </c>
    </row>
    <row r="59" spans="1:9" s="6" customFormat="1" ht="13.8" x14ac:dyDescent="0.3">
      <c r="A59" s="20"/>
      <c r="F59" s="77" t="s">
        <v>138</v>
      </c>
      <c r="G59" s="78">
        <f>I59*100</f>
        <v>26.030399999999997</v>
      </c>
      <c r="H59" s="8" t="s">
        <v>8</v>
      </c>
      <c r="I59" s="83">
        <f>2*Rcs*Ccs *Fsync</f>
        <v>0.26030399999999998</v>
      </c>
    </row>
    <row r="60" spans="1:9" s="6" customFormat="1" ht="13.8" x14ac:dyDescent="0.3">
      <c r="A60" s="20"/>
      <c r="F60" s="20"/>
      <c r="G60" s="13"/>
      <c r="I60" s="81"/>
    </row>
    <row r="61" spans="1:9" s="6" customFormat="1" ht="13.8" x14ac:dyDescent="0.3">
      <c r="A61" s="27" t="s">
        <v>154</v>
      </c>
      <c r="F61" s="20"/>
      <c r="G61" s="13"/>
      <c r="I61" s="81"/>
    </row>
    <row r="62" spans="1:9" s="6" customFormat="1" ht="13.8" x14ac:dyDescent="0.3">
      <c r="A62" s="20"/>
      <c r="F62" s="23" t="s">
        <v>50</v>
      </c>
      <c r="G62" s="18">
        <f t="shared" ref="G62:G67" si="1">I62</f>
        <v>5.3997808000000003</v>
      </c>
      <c r="H62" s="8" t="s">
        <v>3</v>
      </c>
      <c r="I62" s="90">
        <f>MIN((1-2*Rcs*Ccs*Fsync)*(Vouttarget+Vf), Vouttarget)</f>
        <v>5.3997808000000003</v>
      </c>
    </row>
    <row r="63" spans="1:9" s="6" customFormat="1" ht="13.8" x14ac:dyDescent="0.3">
      <c r="A63" s="20"/>
      <c r="F63" s="11" t="s">
        <v>10</v>
      </c>
      <c r="G63" s="15">
        <f t="shared" si="1"/>
        <v>0.12592592592592591</v>
      </c>
      <c r="H63" s="8" t="s">
        <v>9</v>
      </c>
      <c r="I63" s="81">
        <f>Pout/Eff/Vsupplymin</f>
        <v>0.12592592592592591</v>
      </c>
    </row>
    <row r="64" spans="1:9" s="6" customFormat="1" ht="15" x14ac:dyDescent="0.35">
      <c r="A64" s="20"/>
      <c r="E64" s="7"/>
      <c r="F64" s="11" t="s">
        <v>43</v>
      </c>
      <c r="G64" s="15">
        <f t="shared" si="1"/>
        <v>0.14900747357053448</v>
      </c>
      <c r="H64" s="8" t="s">
        <v>9</v>
      </c>
      <c r="I64" s="93">
        <f>Iinmax+Ipp/2</f>
        <v>0.14900747357053448</v>
      </c>
    </row>
    <row r="65" spans="1:11" s="6" customFormat="1" ht="13.8" x14ac:dyDescent="0.3">
      <c r="A65" s="20"/>
      <c r="E65" s="7"/>
      <c r="F65" s="11" t="s">
        <v>55</v>
      </c>
      <c r="G65" s="15">
        <f t="shared" si="1"/>
        <v>1.7398615055134936</v>
      </c>
      <c r="H65" s="8" t="s">
        <v>9</v>
      </c>
      <c r="I65" s="92">
        <f>(1.2+0.6*(1-Vsupplymin/Vouttarget)-10*30*10^-6*((2*10^3+Rsl)*Dmax_ideal))/10/Rs+Vsupplymin*20*10^-9/Lm</f>
        <v>1.7398615055134936</v>
      </c>
    </row>
    <row r="66" spans="1:11" s="6" customFormat="1" ht="13.8" x14ac:dyDescent="0.3">
      <c r="A66" s="20"/>
      <c r="E66" s="7"/>
      <c r="F66" s="11" t="s">
        <v>56</v>
      </c>
      <c r="G66" s="15">
        <f t="shared" si="1"/>
        <v>1.7704615055134938</v>
      </c>
      <c r="H66" s="8" t="s">
        <v>9</v>
      </c>
      <c r="I66" s="92">
        <f>(1.2+0.6*(1-Vsupplymin/Vouttarget)-10*30*10^-6*((2*10^3+Rsl)*Dmax_ideal))/10/Rs+Vsupplymin/Lm*(20*10^-9+3*Rcs*Ccs)</f>
        <v>1.7704615055134938</v>
      </c>
    </row>
    <row r="67" spans="1:11" s="6" customFormat="1" ht="15" x14ac:dyDescent="0.35">
      <c r="A67" s="20"/>
      <c r="E67" s="7"/>
      <c r="F67" s="23" t="s">
        <v>139</v>
      </c>
      <c r="G67" s="29">
        <f t="shared" si="1"/>
        <v>0.83</v>
      </c>
      <c r="H67" s="8"/>
      <c r="I67" s="87">
        <f>1-(1-Dmaxlimit)/Fsw*Fsync</f>
        <v>0.83</v>
      </c>
    </row>
    <row r="68" spans="1:11" s="6" customFormat="1" ht="13.8" x14ac:dyDescent="0.3">
      <c r="A68" s="20"/>
      <c r="E68" s="7"/>
      <c r="F68" s="23" t="s">
        <v>140</v>
      </c>
      <c r="G68" s="18">
        <f>Dmaxlim_prac</f>
        <v>0.77200000000000002</v>
      </c>
      <c r="I68" s="87">
        <f>1-((1-Dmaxlimit)/Fsw+Dmaxmargin)*Fsync</f>
        <v>0.77200000000000002</v>
      </c>
    </row>
    <row r="69" spans="1:11" s="6" customFormat="1" ht="15" x14ac:dyDescent="0.35">
      <c r="A69" s="20"/>
      <c r="E69" s="7"/>
      <c r="F69" s="23" t="s">
        <v>38</v>
      </c>
      <c r="G69" s="18">
        <f>Dmax_prac</f>
        <v>0.59796019466637229</v>
      </c>
      <c r="I69" s="90">
        <f>(Vouttarget+Vf-Vsupplymin+Iinmax*Rdcr)/(Vouttarget+Vf-Iinmax*(Rdson+Rs))</f>
        <v>0.59796019466637229</v>
      </c>
    </row>
    <row r="70" spans="1:11" s="6" customFormat="1" ht="15" x14ac:dyDescent="0.35">
      <c r="A70" s="20"/>
      <c r="E70" s="7"/>
      <c r="F70" s="23" t="s">
        <v>133</v>
      </c>
      <c r="G70" s="28">
        <f>I70*10^9</f>
        <v>318.84742560226738</v>
      </c>
      <c r="H70" s="8" t="s">
        <v>91</v>
      </c>
      <c r="I70" s="91">
        <f>MAX(0,(1-Vsupplymax/(Vf+Vouttarget))/Fsync)</f>
        <v>3.1884742560226737E-7</v>
      </c>
    </row>
    <row r="71" spans="1:11" s="6" customFormat="1" ht="15" x14ac:dyDescent="0.35">
      <c r="A71" s="20"/>
      <c r="E71" s="7"/>
      <c r="F71" s="23" t="s">
        <v>134</v>
      </c>
      <c r="G71" s="28">
        <f>I71*10^9</f>
        <v>346.58603908071353</v>
      </c>
      <c r="H71" s="8" t="s">
        <v>91</v>
      </c>
      <c r="I71" s="91">
        <f>(1-Dmax_prac)/Fsync</f>
        <v>3.4658603908071352E-7</v>
      </c>
    </row>
    <row r="72" spans="1:11" s="6" customFormat="1" ht="13.8" x14ac:dyDescent="0.3">
      <c r="A72" s="20"/>
      <c r="E72" s="7"/>
      <c r="F72" s="23" t="s">
        <v>143</v>
      </c>
      <c r="G72" s="18">
        <f>I72</f>
        <v>1.7316002192592592</v>
      </c>
      <c r="H72" s="8" t="s">
        <v>3</v>
      </c>
      <c r="I72" s="90">
        <f>(Vouttarget+Vf)*(1-Dmaxlim_prac)+Iinmax*Rdcr+Iinmax*(Rdson+Rs)*Dmaxlim_prac</f>
        <v>1.7316002192592592</v>
      </c>
    </row>
    <row r="73" spans="1:11" s="6" customFormat="1" ht="13.8" x14ac:dyDescent="0.3">
      <c r="A73" s="20"/>
      <c r="F73" s="20"/>
      <c r="G73" s="13"/>
      <c r="I73" s="81"/>
    </row>
    <row r="74" spans="1:11" s="6" customFormat="1" ht="15" x14ac:dyDescent="0.35">
      <c r="A74" s="27" t="s">
        <v>155</v>
      </c>
      <c r="F74" s="19"/>
      <c r="G74" s="13"/>
      <c r="I74" s="81"/>
    </row>
    <row r="75" spans="1:11" s="6" customFormat="1" thickBot="1" x14ac:dyDescent="0.35">
      <c r="A75" s="27"/>
      <c r="F75" s="22" t="s">
        <v>54</v>
      </c>
      <c r="G75" s="15">
        <f>I75*10^6</f>
        <v>9.948942950262317E-2</v>
      </c>
      <c r="H75" s="8" t="s">
        <v>51</v>
      </c>
      <c r="I75" s="89">
        <f>Ipp/8/Fsync/0.05</f>
        <v>9.9489429502623176E-8</v>
      </c>
      <c r="K75" s="8"/>
    </row>
    <row r="76" spans="1:11" s="6" customFormat="1" ht="15.6" thickBot="1" x14ac:dyDescent="0.4">
      <c r="A76" s="27"/>
      <c r="F76" s="22" t="s">
        <v>53</v>
      </c>
      <c r="G76" s="100">
        <v>30</v>
      </c>
      <c r="H76" s="8" t="s">
        <v>51</v>
      </c>
      <c r="I76" s="81">
        <f>G76*10^-6</f>
        <v>2.9999999999999997E-5</v>
      </c>
    </row>
    <row r="77" spans="1:11" s="6" customFormat="1" ht="13.8" x14ac:dyDescent="0.3">
      <c r="A77" s="27"/>
      <c r="F77" s="19"/>
      <c r="G77" s="13"/>
      <c r="I77" s="81"/>
    </row>
    <row r="78" spans="1:11" s="6" customFormat="1" ht="15" x14ac:dyDescent="0.35">
      <c r="A78" s="27" t="s">
        <v>156</v>
      </c>
      <c r="F78" s="19"/>
      <c r="G78" s="13"/>
      <c r="I78" s="81"/>
    </row>
    <row r="79" spans="1:11" s="6" customFormat="1" ht="15" x14ac:dyDescent="0.35">
      <c r="A79" s="27"/>
      <c r="F79" s="22" t="s">
        <v>77</v>
      </c>
      <c r="G79" s="13">
        <v>1</v>
      </c>
      <c r="H79" s="8" t="s">
        <v>51</v>
      </c>
      <c r="I79" s="81"/>
    </row>
    <row r="80" spans="1:11" s="6" customFormat="1" ht="15.6" thickBot="1" x14ac:dyDescent="0.4">
      <c r="A80" s="27"/>
      <c r="F80" s="22" t="s">
        <v>76</v>
      </c>
      <c r="G80" s="13">
        <v>4.7</v>
      </c>
      <c r="H80" s="8" t="s">
        <v>51</v>
      </c>
      <c r="I80" s="81"/>
    </row>
    <row r="81" spans="1:11" s="6" customFormat="1" ht="15.6" thickBot="1" x14ac:dyDescent="0.4">
      <c r="A81" s="27"/>
      <c r="F81" s="22" t="s">
        <v>74</v>
      </c>
      <c r="G81" s="32">
        <v>0.1</v>
      </c>
      <c r="H81" s="8" t="s">
        <v>51</v>
      </c>
      <c r="I81" s="81"/>
    </row>
    <row r="82" spans="1:11" s="6" customFormat="1" ht="15.6" thickBot="1" x14ac:dyDescent="0.4">
      <c r="A82" s="27"/>
      <c r="F82" s="22" t="s">
        <v>75</v>
      </c>
      <c r="G82" s="32">
        <v>10</v>
      </c>
      <c r="H82" s="8" t="s">
        <v>29</v>
      </c>
      <c r="I82" s="81"/>
    </row>
    <row r="83" spans="1:11" s="6" customFormat="1" ht="13.8" x14ac:dyDescent="0.3">
      <c r="A83" s="20"/>
      <c r="F83" s="19"/>
      <c r="G83" s="13"/>
      <c r="I83" s="81"/>
    </row>
    <row r="84" spans="1:11" s="6" customFormat="1" ht="15" x14ac:dyDescent="0.35">
      <c r="A84" s="27" t="s">
        <v>157</v>
      </c>
      <c r="F84" s="26"/>
      <c r="G84" s="14"/>
      <c r="H84" s="8"/>
      <c r="I84" s="81"/>
    </row>
    <row r="85" spans="1:11" s="6" customFormat="1" ht="15" x14ac:dyDescent="0.35">
      <c r="A85" s="20"/>
      <c r="F85" s="22" t="s">
        <v>59</v>
      </c>
      <c r="G85" s="28">
        <f>I85/1000</f>
        <v>110.83122002463715</v>
      </c>
      <c r="H85" s="8" t="s">
        <v>6</v>
      </c>
      <c r="I85" s="94">
        <f>Rload*(Vsupplymin/(Vouttarget+Vf))^2 / 2 /3.14/Lm</f>
        <v>110831.22002463715</v>
      </c>
    </row>
    <row r="86" spans="1:11" s="6" customFormat="1" ht="15" x14ac:dyDescent="0.35">
      <c r="A86" s="20"/>
      <c r="F86" s="22" t="s">
        <v>60</v>
      </c>
      <c r="G86" s="15">
        <f>I86/1000</f>
        <v>11.083122002463716</v>
      </c>
      <c r="H86" s="8" t="s">
        <v>6</v>
      </c>
      <c r="I86" s="94">
        <f>MIN(Fsync/10, Frhp/10)</f>
        <v>11083.122002463715</v>
      </c>
    </row>
    <row r="87" spans="1:11" s="6" customFormat="1" ht="15" x14ac:dyDescent="0.35">
      <c r="A87" s="20"/>
      <c r="F87" s="11" t="s">
        <v>64</v>
      </c>
      <c r="G87" s="98">
        <v>0.15</v>
      </c>
      <c r="I87" s="81">
        <f>G87</f>
        <v>0.15</v>
      </c>
      <c r="J87" s="8"/>
      <c r="K87" s="8"/>
    </row>
    <row r="88" spans="1:11" s="6" customFormat="1" ht="15" x14ac:dyDescent="0.35">
      <c r="A88" s="20"/>
      <c r="F88" s="22" t="s">
        <v>79</v>
      </c>
      <c r="G88" s="18">
        <f>I88/1000</f>
        <v>1.6624683003695573</v>
      </c>
      <c r="H88" s="8" t="s">
        <v>6</v>
      </c>
      <c r="I88" s="94">
        <f>Fcross*K1factor</f>
        <v>1662.4683003695573</v>
      </c>
    </row>
    <row r="89" spans="1:11" s="6" customFormat="1" thickBot="1" x14ac:dyDescent="0.35">
      <c r="A89" s="20"/>
      <c r="F89" s="22" t="s">
        <v>61</v>
      </c>
      <c r="G89" s="28">
        <f>I89*10^6</f>
        <v>1.4085688196847364</v>
      </c>
      <c r="H89" s="8" t="s">
        <v>51</v>
      </c>
      <c r="I89" s="81">
        <f>2/(2*3.14*Rload*Flp)</f>
        <v>1.4085688196847364E-6</v>
      </c>
      <c r="J89" s="8"/>
      <c r="K89" s="25"/>
    </row>
    <row r="90" spans="1:11" s="6" customFormat="1" ht="15.6" thickBot="1" x14ac:dyDescent="0.4">
      <c r="A90" s="20"/>
      <c r="F90" s="22" t="s">
        <v>117</v>
      </c>
      <c r="G90" s="102">
        <v>0</v>
      </c>
      <c r="H90" s="8" t="s">
        <v>51</v>
      </c>
      <c r="I90" s="81">
        <f>G90*10^-6</f>
        <v>0</v>
      </c>
      <c r="K90" s="8"/>
    </row>
    <row r="91" spans="1:11" s="6" customFormat="1" ht="15.6" thickBot="1" x14ac:dyDescent="0.4">
      <c r="A91" s="20"/>
      <c r="F91" s="22" t="s">
        <v>118</v>
      </c>
      <c r="G91" s="102">
        <v>32</v>
      </c>
      <c r="H91" s="8" t="s">
        <v>51</v>
      </c>
      <c r="I91" s="81">
        <f>G91*10^-6</f>
        <v>3.1999999999999999E-5</v>
      </c>
      <c r="K91" s="8"/>
    </row>
    <row r="92" spans="1:11" s="6" customFormat="1" ht="13.8" x14ac:dyDescent="0.3">
      <c r="A92" s="20"/>
      <c r="F92" s="22" t="s">
        <v>144</v>
      </c>
      <c r="G92" s="35">
        <f>Cout*10^6</f>
        <v>32</v>
      </c>
      <c r="H92" s="8" t="s">
        <v>51</v>
      </c>
      <c r="I92" s="81">
        <f>Cout1+Cout2</f>
        <v>3.1999999999999999E-5</v>
      </c>
      <c r="K92" s="8"/>
    </row>
    <row r="93" spans="1:11" s="6" customFormat="1" ht="13.8" x14ac:dyDescent="0.3">
      <c r="A93" s="20"/>
      <c r="F93" s="22" t="s">
        <v>78</v>
      </c>
      <c r="G93" s="15">
        <f>I93</f>
        <v>5.6666666666666671E-2</v>
      </c>
      <c r="H93" s="8" t="s">
        <v>9</v>
      </c>
      <c r="I93" s="81">
        <f>Pout/2/Vsupplymin</f>
        <v>5.6666666666666671E-2</v>
      </c>
    </row>
    <row r="94" spans="1:11" s="6" customFormat="1" ht="13.8" x14ac:dyDescent="0.3">
      <c r="A94" s="20"/>
      <c r="F94" s="22"/>
      <c r="G94" s="15"/>
      <c r="H94" s="8"/>
      <c r="I94" s="81"/>
    </row>
    <row r="95" spans="1:11" s="6" customFormat="1" ht="15" x14ac:dyDescent="0.35">
      <c r="A95" s="27" t="s">
        <v>158</v>
      </c>
      <c r="F95" s="22"/>
      <c r="G95" s="15"/>
      <c r="H95" s="8"/>
      <c r="I95" s="81"/>
    </row>
    <row r="96" spans="1:11" s="6" customFormat="1" ht="15" x14ac:dyDescent="0.35">
      <c r="A96" s="20"/>
      <c r="F96" s="22" t="s">
        <v>63</v>
      </c>
      <c r="G96" s="15">
        <f>I96*10^9</f>
        <v>208.39100345525486</v>
      </c>
      <c r="H96" s="8" t="s">
        <v>62</v>
      </c>
      <c r="I96" s="81">
        <f>SQRT((Rload*(1-Dmax_ideal)*1.2*10000000*0.002/Rs/10/2/Vouttarget)^2-1)/(2*3.14*10000000*Fcross)</f>
        <v>2.0839100345525487E-7</v>
      </c>
    </row>
    <row r="97" spans="1:11" s="6" customFormat="1" ht="15" x14ac:dyDescent="0.35">
      <c r="A97" s="20"/>
      <c r="F97" s="11" t="s">
        <v>65</v>
      </c>
      <c r="G97" s="98">
        <v>3</v>
      </c>
      <c r="H97" s="8"/>
      <c r="I97" s="81">
        <f>G97</f>
        <v>3</v>
      </c>
      <c r="K97" s="8"/>
    </row>
    <row r="98" spans="1:11" s="6" customFormat="1" ht="13.8" x14ac:dyDescent="0.3">
      <c r="A98" s="20"/>
      <c r="F98" s="11" t="s">
        <v>80</v>
      </c>
      <c r="G98" s="18">
        <f>I98/1000</f>
        <v>4.9874049011086719</v>
      </c>
      <c r="H98" s="8" t="s">
        <v>6</v>
      </c>
      <c r="I98" s="81">
        <f>Flp*K2_factor</f>
        <v>4987.4049011086718</v>
      </c>
      <c r="K98" s="8"/>
    </row>
    <row r="99" spans="1:11" s="6" customFormat="1" ht="15.6" thickBot="1" x14ac:dyDescent="0.4">
      <c r="A99" s="20"/>
      <c r="F99" s="22" t="s">
        <v>67</v>
      </c>
      <c r="G99" s="15">
        <f>I99*10^9</f>
        <v>69.463667818418287</v>
      </c>
      <c r="H99" s="8" t="s">
        <v>62</v>
      </c>
      <c r="I99" s="81">
        <f>Ccomp_odamp/K2_factor</f>
        <v>6.9463667818418284E-8</v>
      </c>
    </row>
    <row r="100" spans="1:11" s="6" customFormat="1" ht="15.6" thickBot="1" x14ac:dyDescent="0.4">
      <c r="A100" s="20"/>
      <c r="F100" s="22" t="s">
        <v>66</v>
      </c>
      <c r="G100" s="100">
        <v>33</v>
      </c>
      <c r="H100" s="8" t="s">
        <v>62</v>
      </c>
      <c r="I100" s="81">
        <f>G100*10^-9</f>
        <v>3.3000000000000004E-8</v>
      </c>
    </row>
    <row r="101" spans="1:11" s="6" customFormat="1" ht="15.6" thickBot="1" x14ac:dyDescent="0.4">
      <c r="A101" s="20"/>
      <c r="F101" s="22" t="s">
        <v>68</v>
      </c>
      <c r="G101" s="18">
        <f>I101/1000</f>
        <v>0.96750181554103076</v>
      </c>
      <c r="H101" s="8" t="s">
        <v>45</v>
      </c>
      <c r="I101" s="81">
        <f>1/2/3.14/Ccomp/Fzeat</f>
        <v>967.50181554103074</v>
      </c>
    </row>
    <row r="102" spans="1:11" s="6" customFormat="1" ht="15.6" thickBot="1" x14ac:dyDescent="0.4">
      <c r="A102" s="7"/>
      <c r="F102" s="22" t="s">
        <v>69</v>
      </c>
      <c r="G102" s="100">
        <v>1.3</v>
      </c>
      <c r="H102" s="8" t="s">
        <v>45</v>
      </c>
      <c r="I102" s="81">
        <f>G102*1000</f>
        <v>1300</v>
      </c>
    </row>
    <row r="103" spans="1:11" s="6" customFormat="1" ht="15" x14ac:dyDescent="0.35">
      <c r="A103" s="7"/>
      <c r="F103" s="11" t="s">
        <v>128</v>
      </c>
      <c r="G103" s="36">
        <f>I103/1000</f>
        <v>3.7099062052015834</v>
      </c>
      <c r="H103" s="8" t="s">
        <v>6</v>
      </c>
      <c r="I103" s="81">
        <f>1/2/pi/Rcomp/Ccomp</f>
        <v>3709.9062052015834</v>
      </c>
    </row>
    <row r="104" spans="1:11" s="6" customFormat="1" ht="15.6" thickBot="1" x14ac:dyDescent="0.4">
      <c r="A104" s="20"/>
      <c r="F104" s="22" t="s">
        <v>70</v>
      </c>
      <c r="G104" s="28">
        <f>I104*1000</f>
        <v>44.898131127450974</v>
      </c>
      <c r="H104" s="8" t="s">
        <v>30</v>
      </c>
      <c r="I104" s="81">
        <f>1/(2*3.14*Cout*Fcross*10)</f>
        <v>4.4898131127450974E-2</v>
      </c>
    </row>
    <row r="105" spans="1:11" s="6" customFormat="1" ht="15.6" thickBot="1" x14ac:dyDescent="0.4">
      <c r="A105" s="20"/>
      <c r="F105" s="22" t="s">
        <v>71</v>
      </c>
      <c r="G105" s="103">
        <f>28/3</f>
        <v>9.3333333333333339</v>
      </c>
      <c r="H105" s="8" t="s">
        <v>30</v>
      </c>
      <c r="I105" s="81">
        <f>G105/1000</f>
        <v>9.3333333333333341E-3</v>
      </c>
    </row>
    <row r="106" spans="1:11" s="6" customFormat="1" thickBot="1" x14ac:dyDescent="0.35">
      <c r="A106" s="20"/>
      <c r="F106" s="11" t="s">
        <v>73</v>
      </c>
      <c r="G106" s="28">
        <f>I106/1000</f>
        <v>533.15514103730663</v>
      </c>
      <c r="H106" s="8" t="s">
        <v>6</v>
      </c>
      <c r="I106" s="81">
        <f>1/(2*3.14*Cout*ESR)</f>
        <v>533155.14103730663</v>
      </c>
    </row>
    <row r="107" spans="1:11" s="6" customFormat="1" ht="15.6" thickBot="1" x14ac:dyDescent="0.4">
      <c r="A107" s="20"/>
      <c r="F107" s="22" t="s">
        <v>72</v>
      </c>
      <c r="G107" s="33">
        <f>Chf*10^12</f>
        <v>229.74358974358972</v>
      </c>
      <c r="H107" s="8" t="s">
        <v>49</v>
      </c>
      <c r="I107" s="81">
        <f>1/(2*3.14*Rcomp*Fzesr)</f>
        <v>2.2974358974358972E-10</v>
      </c>
    </row>
    <row r="108" spans="1:11" s="6" customFormat="1" ht="15" x14ac:dyDescent="0.35">
      <c r="A108" s="7"/>
      <c r="F108" s="11" t="s">
        <v>129</v>
      </c>
      <c r="G108" s="28">
        <f>I108/1000</f>
        <v>536.5948711710987</v>
      </c>
      <c r="H108" s="8" t="s">
        <v>6</v>
      </c>
      <c r="I108" s="81">
        <f>1/2/pi/Rcomp/(Chf*Ccomp/(Chf+Ccomp))</f>
        <v>536594.87117109867</v>
      </c>
    </row>
    <row r="109" spans="1:11" s="6" customFormat="1" ht="13.8" x14ac:dyDescent="0.3">
      <c r="A109" s="7"/>
      <c r="F109" s="19"/>
      <c r="G109" s="13"/>
      <c r="I109" s="81"/>
    </row>
    <row r="110" spans="1:11" s="6" customFormat="1" ht="13.8" x14ac:dyDescent="0.3">
      <c r="A110" s="27"/>
      <c r="F110" s="19"/>
      <c r="G110" s="13"/>
      <c r="I110" s="81"/>
    </row>
    <row r="111" spans="1:11" s="6" customFormat="1" ht="13.8" x14ac:dyDescent="0.3">
      <c r="A111" s="7"/>
      <c r="F111" s="19"/>
      <c r="G111" s="13"/>
      <c r="I111" s="81"/>
    </row>
    <row r="112" spans="1:11" s="6" customFormat="1" ht="13.8" x14ac:dyDescent="0.3">
      <c r="A112" s="20"/>
      <c r="F112" s="19"/>
      <c r="G112" s="13"/>
      <c r="I112" s="81"/>
    </row>
    <row r="113" spans="1:10" s="6" customFormat="1" ht="13.8" x14ac:dyDescent="0.3">
      <c r="A113" s="20"/>
      <c r="F113" s="19"/>
      <c r="G113" s="13"/>
      <c r="I113" s="81"/>
      <c r="J113" s="6" t="s">
        <v>131</v>
      </c>
    </row>
    <row r="114" spans="1:10" s="6" customFormat="1" ht="13.8" x14ac:dyDescent="0.3">
      <c r="A114" s="20"/>
      <c r="F114" s="19"/>
      <c r="G114" s="13"/>
      <c r="I114" s="81"/>
    </row>
    <row r="115" spans="1:10" s="6" customFormat="1" ht="13.8" x14ac:dyDescent="0.3">
      <c r="A115" s="19"/>
      <c r="F115" s="19"/>
      <c r="G115" s="13"/>
      <c r="I115" s="81"/>
    </row>
    <row r="116" spans="1:10" s="6" customFormat="1" ht="13.8" x14ac:dyDescent="0.3">
      <c r="A116" s="19"/>
      <c r="F116" s="19"/>
      <c r="G116" s="13"/>
      <c r="I116" s="81"/>
    </row>
    <row r="117" spans="1:10" s="6" customFormat="1" ht="13.8" x14ac:dyDescent="0.3">
      <c r="A117" s="19"/>
      <c r="F117" s="19"/>
      <c r="G117" s="13"/>
      <c r="I117" s="81"/>
    </row>
    <row r="118" spans="1:10" s="52" customFormat="1" ht="13.8" x14ac:dyDescent="0.3">
      <c r="F118" s="53"/>
      <c r="G118" s="54"/>
      <c r="I118" s="81"/>
    </row>
    <row r="119" spans="1:10" s="52" customFormat="1" ht="13.8" x14ac:dyDescent="0.3">
      <c r="A119" s="53"/>
      <c r="F119" s="53"/>
      <c r="G119" s="54"/>
      <c r="I119" s="81"/>
    </row>
    <row r="120" spans="1:10" s="52" customFormat="1" ht="13.8" x14ac:dyDescent="0.3">
      <c r="A120" s="53"/>
      <c r="F120" s="53"/>
      <c r="G120" s="54"/>
      <c r="I120" s="81"/>
    </row>
    <row r="121" spans="1:10" s="52" customFormat="1" ht="13.8" x14ac:dyDescent="0.3">
      <c r="A121" s="53"/>
      <c r="F121" s="53"/>
      <c r="G121" s="54"/>
      <c r="I121" s="81"/>
    </row>
    <row r="122" spans="1:10" s="52" customFormat="1" ht="13.8" x14ac:dyDescent="0.3">
      <c r="A122" s="53"/>
      <c r="F122" s="53"/>
      <c r="G122" s="54"/>
      <c r="I122" s="81"/>
    </row>
    <row r="123" spans="1:10" s="52" customFormat="1" ht="13.8" x14ac:dyDescent="0.3">
      <c r="A123" s="53"/>
      <c r="F123" s="53"/>
      <c r="G123" s="54"/>
      <c r="I123" s="81"/>
    </row>
    <row r="124" spans="1:10" s="52" customFormat="1" ht="13.8" x14ac:dyDescent="0.3">
      <c r="A124" s="53"/>
      <c r="F124" s="53"/>
      <c r="G124" s="54"/>
      <c r="I124" s="81"/>
    </row>
    <row r="125" spans="1:10" s="52" customFormat="1" ht="13.8" x14ac:dyDescent="0.3">
      <c r="A125" s="53"/>
      <c r="F125" s="53"/>
      <c r="G125" s="54"/>
      <c r="I125" s="81"/>
    </row>
    <row r="126" spans="1:10" s="52" customFormat="1" ht="13.8" x14ac:dyDescent="0.3">
      <c r="A126" s="53"/>
      <c r="F126" s="53"/>
      <c r="G126" s="54"/>
      <c r="I126" s="81"/>
    </row>
    <row r="127" spans="1:10" s="52" customFormat="1" ht="13.8" x14ac:dyDescent="0.3">
      <c r="A127" s="53"/>
      <c r="F127" s="53"/>
      <c r="G127" s="54"/>
      <c r="I127" s="81"/>
    </row>
    <row r="128" spans="1:10" s="52" customFormat="1" ht="13.8" x14ac:dyDescent="0.3">
      <c r="A128" s="53"/>
      <c r="F128" s="53"/>
      <c r="G128" s="54"/>
      <c r="I128" s="81"/>
    </row>
    <row r="129" spans="1:9" s="52" customFormat="1" ht="13.8" x14ac:dyDescent="0.3">
      <c r="A129" s="53"/>
      <c r="F129" s="53"/>
      <c r="G129" s="54"/>
      <c r="I129" s="81"/>
    </row>
    <row r="130" spans="1:9" s="52" customFormat="1" ht="13.8" x14ac:dyDescent="0.3">
      <c r="A130" s="53"/>
      <c r="F130" s="53"/>
      <c r="G130" s="54"/>
      <c r="I130" s="81"/>
    </row>
    <row r="131" spans="1:9" s="52" customFormat="1" ht="13.8" x14ac:dyDescent="0.3">
      <c r="A131" s="53"/>
      <c r="F131" s="53"/>
      <c r="G131" s="54"/>
      <c r="I131" s="81"/>
    </row>
    <row r="132" spans="1:9" s="52" customFormat="1" ht="13.8" x14ac:dyDescent="0.3">
      <c r="A132" s="53"/>
      <c r="F132" s="53"/>
      <c r="G132" s="54"/>
      <c r="I132" s="81"/>
    </row>
    <row r="133" spans="1:9" s="52" customFormat="1" ht="13.8" x14ac:dyDescent="0.3">
      <c r="A133" s="53"/>
      <c r="F133" s="53"/>
      <c r="G133" s="54"/>
      <c r="I133" s="81"/>
    </row>
    <row r="134" spans="1:9" s="47" customFormat="1" ht="13.8" x14ac:dyDescent="0.3">
      <c r="A134" s="48"/>
      <c r="F134" s="48"/>
      <c r="G134" s="49"/>
      <c r="I134" s="81"/>
    </row>
    <row r="135" spans="1:9" s="47" customFormat="1" ht="13.8" x14ac:dyDescent="0.3">
      <c r="A135" s="48"/>
      <c r="F135" s="48"/>
      <c r="G135" s="49"/>
      <c r="I135" s="81"/>
    </row>
    <row r="136" spans="1:9" s="47" customFormat="1" ht="13.8" x14ac:dyDescent="0.3">
      <c r="A136" s="48"/>
      <c r="F136" s="48"/>
      <c r="G136" s="49"/>
      <c r="I136" s="81"/>
    </row>
    <row r="137" spans="1:9" s="47" customFormat="1" ht="13.8" x14ac:dyDescent="0.3">
      <c r="A137" s="48"/>
      <c r="F137" s="48"/>
      <c r="G137" s="49"/>
      <c r="I137" s="81"/>
    </row>
    <row r="138" spans="1:9" s="47" customFormat="1" ht="13.8" x14ac:dyDescent="0.3">
      <c r="A138" s="48"/>
      <c r="F138" s="48"/>
      <c r="G138" s="49"/>
      <c r="I138" s="81"/>
    </row>
    <row r="139" spans="1:9" s="47" customFormat="1" ht="13.8" x14ac:dyDescent="0.3">
      <c r="A139" s="48"/>
      <c r="F139" s="48"/>
      <c r="G139" s="49"/>
      <c r="I139" s="81"/>
    </row>
    <row r="140" spans="1:9" s="47" customFormat="1" ht="13.8" x14ac:dyDescent="0.3">
      <c r="A140" s="48"/>
      <c r="F140" s="48"/>
      <c r="G140" s="49"/>
      <c r="I140" s="81"/>
    </row>
    <row r="141" spans="1:9" s="47" customFormat="1" ht="13.8" x14ac:dyDescent="0.3">
      <c r="A141" s="48"/>
      <c r="F141" s="48"/>
      <c r="G141" s="49"/>
      <c r="I141" s="81"/>
    </row>
    <row r="142" spans="1:9" s="47" customFormat="1" ht="13.8" x14ac:dyDescent="0.3">
      <c r="A142" s="48"/>
      <c r="F142" s="48"/>
      <c r="G142" s="49"/>
      <c r="I142" s="81"/>
    </row>
    <row r="143" spans="1:9" s="47" customFormat="1" ht="13.8" x14ac:dyDescent="0.3">
      <c r="A143" s="48"/>
      <c r="F143" s="48"/>
      <c r="G143" s="49"/>
      <c r="I143" s="81"/>
    </row>
    <row r="144" spans="1:9" s="47" customFormat="1" ht="13.8" x14ac:dyDescent="0.3">
      <c r="A144" s="48"/>
      <c r="F144" s="48"/>
      <c r="G144" s="49"/>
      <c r="I144" s="81"/>
    </row>
    <row r="145" spans="1:9" s="47" customFormat="1" ht="13.8" x14ac:dyDescent="0.3">
      <c r="A145" s="48"/>
      <c r="F145" s="48"/>
      <c r="G145" s="49"/>
      <c r="I145" s="81"/>
    </row>
    <row r="146" spans="1:9" s="47" customFormat="1" ht="13.8" x14ac:dyDescent="0.3">
      <c r="A146" s="48"/>
      <c r="F146" s="48"/>
      <c r="G146" s="49"/>
      <c r="I146" s="81"/>
    </row>
    <row r="147" spans="1:9" s="47" customFormat="1" ht="13.8" x14ac:dyDescent="0.3">
      <c r="I147" s="83"/>
    </row>
    <row r="148" spans="1:9" s="47" customFormat="1" ht="13.8" x14ac:dyDescent="0.3">
      <c r="I148" s="83"/>
    </row>
    <row r="149" spans="1:9" s="47" customFormat="1" ht="13.8" x14ac:dyDescent="0.3">
      <c r="I149" s="83"/>
    </row>
    <row r="150" spans="1:9" s="47" customFormat="1" ht="13.8" x14ac:dyDescent="0.3">
      <c r="I150" s="83"/>
    </row>
    <row r="151" spans="1:9" s="58" customFormat="1" ht="13.8" x14ac:dyDescent="0.3">
      <c r="I151" s="95"/>
    </row>
    <row r="152" spans="1:9" s="58" customFormat="1" ht="13.8" x14ac:dyDescent="0.3">
      <c r="I152" s="95"/>
    </row>
    <row r="153" spans="1:9" s="58" customFormat="1" ht="13.8" x14ac:dyDescent="0.3">
      <c r="I153" s="95"/>
    </row>
    <row r="154" spans="1:9" s="58" customFormat="1" ht="13.8" x14ac:dyDescent="0.3">
      <c r="I154" s="95"/>
    </row>
    <row r="155" spans="1:9" s="58" customFormat="1" ht="13.8" x14ac:dyDescent="0.3">
      <c r="I155" s="95"/>
    </row>
    <row r="156" spans="1:9" s="58" customFormat="1" ht="13.8" x14ac:dyDescent="0.3">
      <c r="I156" s="95"/>
    </row>
    <row r="157" spans="1:9" s="58" customFormat="1" ht="13.8" x14ac:dyDescent="0.3">
      <c r="I157" s="95"/>
    </row>
    <row r="158" spans="1:9" s="58" customFormat="1" ht="13.8" x14ac:dyDescent="0.3">
      <c r="I158" s="95"/>
    </row>
    <row r="159" spans="1:9" s="58" customFormat="1" ht="13.8" x14ac:dyDescent="0.3">
      <c r="I159" s="95"/>
    </row>
    <row r="160" spans="1:9" s="58" customFormat="1" ht="13.8" x14ac:dyDescent="0.3">
      <c r="I160" s="95"/>
    </row>
    <row r="161" spans="9:9" s="58" customFormat="1" ht="13.8" x14ac:dyDescent="0.3">
      <c r="I161" s="95"/>
    </row>
    <row r="162" spans="9:9" s="58" customFormat="1" ht="13.8" x14ac:dyDescent="0.3">
      <c r="I162" s="95"/>
    </row>
    <row r="163" spans="9:9" s="58" customFormat="1" ht="13.8" x14ac:dyDescent="0.3">
      <c r="I163" s="95"/>
    </row>
    <row r="164" spans="9:9" s="58" customFormat="1" ht="13.8" x14ac:dyDescent="0.3">
      <c r="I164" s="95"/>
    </row>
    <row r="165" spans="9:9" s="58" customFormat="1" ht="13.8" x14ac:dyDescent="0.3">
      <c r="I165" s="95"/>
    </row>
    <row r="166" spans="9:9" s="58" customFormat="1" ht="13.8" x14ac:dyDescent="0.3">
      <c r="I166" s="95"/>
    </row>
    <row r="167" spans="9:9" s="58" customFormat="1" ht="13.8" x14ac:dyDescent="0.3">
      <c r="I167" s="95"/>
    </row>
    <row r="168" spans="9:9" s="58" customFormat="1" ht="13.8" x14ac:dyDescent="0.3">
      <c r="I168" s="95"/>
    </row>
    <row r="169" spans="9:9" s="58" customFormat="1" ht="13.8" x14ac:dyDescent="0.3">
      <c r="I169" s="95"/>
    </row>
    <row r="170" spans="9:9" s="58" customFormat="1" ht="13.8" x14ac:dyDescent="0.3">
      <c r="I170" s="95"/>
    </row>
    <row r="171" spans="9:9" s="58" customFormat="1" ht="13.8" x14ac:dyDescent="0.3">
      <c r="I171" s="95"/>
    </row>
    <row r="172" spans="9:9" s="58" customFormat="1" ht="13.8" x14ac:dyDescent="0.3">
      <c r="I172" s="95"/>
    </row>
    <row r="173" spans="9:9" s="58" customFormat="1" ht="13.8" x14ac:dyDescent="0.3">
      <c r="I173" s="95"/>
    </row>
    <row r="174" spans="9:9" s="58" customFormat="1" ht="13.8" x14ac:dyDescent="0.3">
      <c r="I174" s="95"/>
    </row>
    <row r="175" spans="9:9" s="58" customFormat="1" ht="13.8" x14ac:dyDescent="0.3">
      <c r="I175" s="95"/>
    </row>
    <row r="176" spans="9:9" s="58" customFormat="1" ht="13.8" x14ac:dyDescent="0.3">
      <c r="I176" s="95"/>
    </row>
    <row r="177" spans="9:9" s="58" customFormat="1" ht="13.8" x14ac:dyDescent="0.3">
      <c r="I177" s="95"/>
    </row>
    <row r="178" spans="9:9" s="58" customFormat="1" ht="13.8" x14ac:dyDescent="0.3">
      <c r="I178" s="95"/>
    </row>
    <row r="179" spans="9:9" s="58" customFormat="1" ht="13.8" x14ac:dyDescent="0.3">
      <c r="I179" s="95"/>
    </row>
    <row r="180" spans="9:9" s="58" customFormat="1" ht="13.8" x14ac:dyDescent="0.3">
      <c r="I180" s="95"/>
    </row>
    <row r="181" spans="9:9" s="58" customFormat="1" ht="13.8" x14ac:dyDescent="0.3">
      <c r="I181" s="95"/>
    </row>
    <row r="182" spans="9:9" s="58" customFormat="1" ht="13.8" x14ac:dyDescent="0.3">
      <c r="I182" s="95"/>
    </row>
    <row r="183" spans="9:9" s="58" customFormat="1" ht="13.8" x14ac:dyDescent="0.3">
      <c r="I183" s="95"/>
    </row>
    <row r="184" spans="9:9" s="58" customFormat="1" ht="13.8" x14ac:dyDescent="0.3">
      <c r="I184" s="95"/>
    </row>
    <row r="185" spans="9:9" s="58" customFormat="1" ht="13.8" x14ac:dyDescent="0.3">
      <c r="I185" s="95"/>
    </row>
    <row r="186" spans="9:9" s="58" customFormat="1" ht="13.8" x14ac:dyDescent="0.3">
      <c r="I186" s="95"/>
    </row>
    <row r="187" spans="9:9" s="58" customFormat="1" ht="13.8" x14ac:dyDescent="0.3">
      <c r="I187" s="95"/>
    </row>
    <row r="188" spans="9:9" s="58" customFormat="1" ht="13.8" x14ac:dyDescent="0.3">
      <c r="I188" s="95"/>
    </row>
    <row r="189" spans="9:9" s="58" customFormat="1" ht="13.8" x14ac:dyDescent="0.3">
      <c r="I189" s="95"/>
    </row>
    <row r="190" spans="9:9" s="58" customFormat="1" ht="13.8" x14ac:dyDescent="0.3">
      <c r="I190" s="95"/>
    </row>
    <row r="191" spans="9:9" s="58" customFormat="1" ht="13.8" x14ac:dyDescent="0.3">
      <c r="I191" s="95"/>
    </row>
    <row r="192" spans="9:9" s="58" customFormat="1" ht="13.8" x14ac:dyDescent="0.3">
      <c r="I192" s="95"/>
    </row>
    <row r="193" spans="9:9" s="58" customFormat="1" ht="13.8" x14ac:dyDescent="0.3">
      <c r="I193" s="95"/>
    </row>
    <row r="194" spans="9:9" s="58" customFormat="1" ht="13.8" x14ac:dyDescent="0.3">
      <c r="I194" s="95"/>
    </row>
    <row r="195" spans="9:9" s="58" customFormat="1" ht="13.8" x14ac:dyDescent="0.3">
      <c r="I195" s="95"/>
    </row>
    <row r="196" spans="9:9" s="58" customFormat="1" ht="13.8" x14ac:dyDescent="0.3">
      <c r="I196" s="95"/>
    </row>
    <row r="197" spans="9:9" s="58" customFormat="1" ht="13.8" x14ac:dyDescent="0.3">
      <c r="I197" s="95"/>
    </row>
    <row r="198" spans="9:9" s="58" customFormat="1" ht="13.8" x14ac:dyDescent="0.3">
      <c r="I198" s="95"/>
    </row>
    <row r="199" spans="9:9" s="58" customFormat="1" ht="13.8" x14ac:dyDescent="0.3">
      <c r="I199" s="95"/>
    </row>
    <row r="200" spans="9:9" s="58" customFormat="1" ht="13.8" x14ac:dyDescent="0.3">
      <c r="I200" s="95"/>
    </row>
    <row r="201" spans="9:9" s="58" customFormat="1" ht="13.8" x14ac:dyDescent="0.3">
      <c r="I201" s="95"/>
    </row>
    <row r="202" spans="9:9" s="58" customFormat="1" ht="13.8" x14ac:dyDescent="0.3">
      <c r="I202" s="95"/>
    </row>
    <row r="203" spans="9:9" s="58" customFormat="1" ht="13.8" x14ac:dyDescent="0.3">
      <c r="I203" s="95"/>
    </row>
    <row r="204" spans="9:9" s="58" customFormat="1" ht="13.8" x14ac:dyDescent="0.3">
      <c r="I204" s="95"/>
    </row>
    <row r="205" spans="9:9" s="58" customFormat="1" ht="13.8" x14ac:dyDescent="0.3">
      <c r="I205" s="95"/>
    </row>
    <row r="206" spans="9:9" s="58" customFormat="1" ht="13.8" x14ac:dyDescent="0.3">
      <c r="I206" s="95"/>
    </row>
    <row r="207" spans="9:9" s="58" customFormat="1" ht="13.8" x14ac:dyDescent="0.3">
      <c r="I207" s="95"/>
    </row>
    <row r="208" spans="9:9" s="58" customFormat="1" ht="13.8" x14ac:dyDescent="0.3">
      <c r="I208" s="95"/>
    </row>
    <row r="209" spans="9:9" s="58" customFormat="1" ht="13.8" x14ac:dyDescent="0.3">
      <c r="I209" s="95"/>
    </row>
    <row r="210" spans="9:9" s="58" customFormat="1" ht="13.8" x14ac:dyDescent="0.3">
      <c r="I210" s="95"/>
    </row>
    <row r="211" spans="9:9" s="58" customFormat="1" ht="13.8" x14ac:dyDescent="0.3">
      <c r="I211" s="95"/>
    </row>
    <row r="212" spans="9:9" s="58" customFormat="1" ht="13.8" x14ac:dyDescent="0.3">
      <c r="I212" s="95"/>
    </row>
    <row r="213" spans="9:9" s="58" customFormat="1" ht="13.8" x14ac:dyDescent="0.3">
      <c r="I213" s="95"/>
    </row>
    <row r="214" spans="9:9" s="58" customFormat="1" ht="13.8" x14ac:dyDescent="0.3">
      <c r="I214" s="95"/>
    </row>
    <row r="215" spans="9:9" s="58" customFormat="1" ht="13.8" x14ac:dyDescent="0.3">
      <c r="I215" s="95"/>
    </row>
    <row r="216" spans="9:9" s="58" customFormat="1" ht="13.8" x14ac:dyDescent="0.3">
      <c r="I216" s="95"/>
    </row>
    <row r="217" spans="9:9" s="58" customFormat="1" ht="13.8" x14ac:dyDescent="0.3">
      <c r="I217" s="95"/>
    </row>
    <row r="218" spans="9:9" s="58" customFormat="1" ht="13.8" x14ac:dyDescent="0.3">
      <c r="I218" s="95"/>
    </row>
    <row r="219" spans="9:9" s="58" customFormat="1" ht="13.8" x14ac:dyDescent="0.3">
      <c r="I219" s="95"/>
    </row>
    <row r="220" spans="9:9" s="58" customFormat="1" ht="13.8" x14ac:dyDescent="0.3">
      <c r="I220" s="95"/>
    </row>
    <row r="221" spans="9:9" s="58" customFormat="1" ht="13.8" x14ac:dyDescent="0.3">
      <c r="I221" s="95"/>
    </row>
    <row r="222" spans="9:9" s="58" customFormat="1" ht="13.8" x14ac:dyDescent="0.3">
      <c r="I222" s="95"/>
    </row>
    <row r="223" spans="9:9" s="58" customFormat="1" ht="13.8" x14ac:dyDescent="0.3">
      <c r="I223" s="95"/>
    </row>
    <row r="224" spans="9:9" s="58" customFormat="1" ht="13.8" x14ac:dyDescent="0.3">
      <c r="I224" s="95"/>
    </row>
    <row r="225" spans="9:9" s="58" customFormat="1" ht="13.8" x14ac:dyDescent="0.3">
      <c r="I225" s="95"/>
    </row>
    <row r="226" spans="9:9" s="58" customFormat="1" ht="13.8" x14ac:dyDescent="0.3">
      <c r="I226" s="95"/>
    </row>
    <row r="227" spans="9:9" s="58" customFormat="1" ht="13.8" x14ac:dyDescent="0.3">
      <c r="I227" s="95"/>
    </row>
    <row r="228" spans="9:9" s="58" customFormat="1" ht="13.8" x14ac:dyDescent="0.3">
      <c r="I228" s="95"/>
    </row>
    <row r="229" spans="9:9" s="58" customFormat="1" ht="13.8" x14ac:dyDescent="0.3">
      <c r="I229" s="95"/>
    </row>
    <row r="230" spans="9:9" s="58" customFormat="1" ht="13.8" x14ac:dyDescent="0.3">
      <c r="I230" s="95"/>
    </row>
    <row r="231" spans="9:9" s="58" customFormat="1" ht="13.8" x14ac:dyDescent="0.3">
      <c r="I231" s="95"/>
    </row>
    <row r="232" spans="9:9" s="58" customFormat="1" ht="13.8" x14ac:dyDescent="0.3">
      <c r="I232" s="95"/>
    </row>
    <row r="233" spans="9:9" s="58" customFormat="1" ht="13.8" x14ac:dyDescent="0.3">
      <c r="I233" s="95"/>
    </row>
    <row r="234" spans="9:9" s="58" customFormat="1" ht="13.8" x14ac:dyDescent="0.3">
      <c r="I234" s="95"/>
    </row>
    <row r="235" spans="9:9" s="58" customFormat="1" ht="13.8" x14ac:dyDescent="0.3">
      <c r="I235" s="95"/>
    </row>
    <row r="236" spans="9:9" s="58" customFormat="1" ht="13.8" x14ac:dyDescent="0.3">
      <c r="I236" s="95"/>
    </row>
    <row r="237" spans="9:9" s="58" customFormat="1" ht="13.8" x14ac:dyDescent="0.3">
      <c r="I237" s="95"/>
    </row>
    <row r="238" spans="9:9" s="58" customFormat="1" ht="13.8" x14ac:dyDescent="0.3">
      <c r="I238" s="95"/>
    </row>
    <row r="239" spans="9:9" s="58" customFormat="1" ht="13.8" x14ac:dyDescent="0.3">
      <c r="I239" s="95"/>
    </row>
    <row r="240" spans="9:9" s="58" customFormat="1" ht="13.8" x14ac:dyDescent="0.3">
      <c r="I240" s="95"/>
    </row>
    <row r="241" spans="9:9" s="58" customFormat="1" ht="13.8" x14ac:dyDescent="0.3">
      <c r="I241" s="95"/>
    </row>
    <row r="242" spans="9:9" s="58" customFormat="1" ht="13.8" x14ac:dyDescent="0.3">
      <c r="I242" s="95"/>
    </row>
    <row r="243" spans="9:9" s="58" customFormat="1" ht="13.8" x14ac:dyDescent="0.3">
      <c r="I243" s="95"/>
    </row>
    <row r="244" spans="9:9" s="58" customFormat="1" ht="13.8" x14ac:dyDescent="0.3">
      <c r="I244" s="95"/>
    </row>
    <row r="245" spans="9:9" s="58" customFormat="1" ht="13.8" x14ac:dyDescent="0.3">
      <c r="I245" s="95"/>
    </row>
    <row r="246" spans="9:9" s="58" customFormat="1" ht="13.8" x14ac:dyDescent="0.3">
      <c r="I246" s="95"/>
    </row>
    <row r="247" spans="9:9" s="58" customFormat="1" ht="13.8" x14ac:dyDescent="0.3">
      <c r="I247" s="95"/>
    </row>
    <row r="248" spans="9:9" s="58" customFormat="1" ht="13.8" x14ac:dyDescent="0.3">
      <c r="I248" s="95"/>
    </row>
    <row r="249" spans="9:9" s="58" customFormat="1" ht="13.8" x14ac:dyDescent="0.3">
      <c r="I249" s="95"/>
    </row>
    <row r="250" spans="9:9" s="58" customFormat="1" ht="13.8" x14ac:dyDescent="0.3">
      <c r="I250" s="95"/>
    </row>
    <row r="251" spans="9:9" s="58" customFormat="1" ht="13.8" x14ac:dyDescent="0.3">
      <c r="I251" s="95"/>
    </row>
    <row r="252" spans="9:9" s="58" customFormat="1" ht="13.8" x14ac:dyDescent="0.3">
      <c r="I252" s="95"/>
    </row>
    <row r="253" spans="9:9" s="58" customFormat="1" ht="13.8" x14ac:dyDescent="0.3">
      <c r="I253" s="95"/>
    </row>
    <row r="254" spans="9:9" s="58" customFormat="1" ht="13.8" x14ac:dyDescent="0.3">
      <c r="I254" s="95"/>
    </row>
    <row r="255" spans="9:9" s="58" customFormat="1" ht="13.8" x14ac:dyDescent="0.3">
      <c r="I255" s="95"/>
    </row>
    <row r="256" spans="9:9" s="58" customFormat="1" ht="13.8" x14ac:dyDescent="0.3">
      <c r="I256" s="95"/>
    </row>
    <row r="257" spans="9:9" s="58" customFormat="1" ht="13.8" x14ac:dyDescent="0.3">
      <c r="I257" s="95"/>
    </row>
    <row r="258" spans="9:9" s="58" customFormat="1" ht="13.8" x14ac:dyDescent="0.3">
      <c r="I258" s="95"/>
    </row>
    <row r="259" spans="9:9" s="58" customFormat="1" ht="13.8" x14ac:dyDescent="0.3">
      <c r="I259" s="95"/>
    </row>
    <row r="260" spans="9:9" s="58" customFormat="1" ht="13.8" x14ac:dyDescent="0.3">
      <c r="I260" s="95"/>
    </row>
    <row r="261" spans="9:9" s="58" customFormat="1" ht="13.8" x14ac:dyDescent="0.3">
      <c r="I261" s="95"/>
    </row>
    <row r="262" spans="9:9" s="58" customFormat="1" ht="13.8" x14ac:dyDescent="0.3">
      <c r="I262" s="95"/>
    </row>
    <row r="263" spans="9:9" s="58" customFormat="1" ht="13.8" x14ac:dyDescent="0.3">
      <c r="I263" s="95"/>
    </row>
    <row r="264" spans="9:9" s="58" customFormat="1" ht="13.8" x14ac:dyDescent="0.3">
      <c r="I264" s="95"/>
    </row>
    <row r="265" spans="9:9" s="58" customFormat="1" ht="13.8" x14ac:dyDescent="0.3">
      <c r="I265" s="95"/>
    </row>
    <row r="266" spans="9:9" s="58" customFormat="1" ht="13.8" x14ac:dyDescent="0.3">
      <c r="I266" s="95"/>
    </row>
    <row r="267" spans="9:9" s="58" customFormat="1" ht="13.8" x14ac:dyDescent="0.3">
      <c r="I267" s="95"/>
    </row>
    <row r="268" spans="9:9" s="58" customFormat="1" ht="13.8" x14ac:dyDescent="0.3">
      <c r="I268" s="95"/>
    </row>
    <row r="269" spans="9:9" s="58" customFormat="1" ht="13.8" x14ac:dyDescent="0.3">
      <c r="I269" s="95"/>
    </row>
    <row r="270" spans="9:9" s="58" customFormat="1" ht="13.8" x14ac:dyDescent="0.3">
      <c r="I270" s="95"/>
    </row>
    <row r="271" spans="9:9" s="58" customFormat="1" ht="13.8" x14ac:dyDescent="0.3">
      <c r="I271" s="95"/>
    </row>
    <row r="272" spans="9:9" s="58" customFormat="1" ht="13.8" x14ac:dyDescent="0.3">
      <c r="I272" s="95"/>
    </row>
    <row r="273" spans="9:9" s="58" customFormat="1" ht="13.8" x14ac:dyDescent="0.3">
      <c r="I273" s="95"/>
    </row>
    <row r="274" spans="9:9" s="58" customFormat="1" ht="13.8" x14ac:dyDescent="0.3">
      <c r="I274" s="95"/>
    </row>
    <row r="275" spans="9:9" s="58" customFormat="1" ht="13.8" x14ac:dyDescent="0.3">
      <c r="I275" s="95"/>
    </row>
    <row r="276" spans="9:9" s="58" customFormat="1" ht="13.8" x14ac:dyDescent="0.3">
      <c r="I276" s="95"/>
    </row>
    <row r="277" spans="9:9" s="58" customFormat="1" ht="13.8" x14ac:dyDescent="0.3">
      <c r="I277" s="95"/>
    </row>
    <row r="278" spans="9:9" s="58" customFormat="1" ht="13.8" x14ac:dyDescent="0.3">
      <c r="I278" s="95"/>
    </row>
    <row r="279" spans="9:9" s="58" customFormat="1" ht="13.8" x14ac:dyDescent="0.3">
      <c r="I279" s="95"/>
    </row>
    <row r="280" spans="9:9" s="58" customFormat="1" ht="13.8" x14ac:dyDescent="0.3">
      <c r="I280" s="95"/>
    </row>
    <row r="281" spans="9:9" s="58" customFormat="1" ht="13.8" x14ac:dyDescent="0.3">
      <c r="I281" s="95"/>
    </row>
    <row r="282" spans="9:9" s="58" customFormat="1" ht="13.8" x14ac:dyDescent="0.3">
      <c r="I282" s="95"/>
    </row>
    <row r="283" spans="9:9" s="58" customFormat="1" ht="13.8" x14ac:dyDescent="0.3">
      <c r="I283" s="95"/>
    </row>
    <row r="284" spans="9:9" s="58" customFormat="1" ht="13.8" x14ac:dyDescent="0.3">
      <c r="I284" s="95"/>
    </row>
    <row r="285" spans="9:9" s="58" customFormat="1" ht="13.8" x14ac:dyDescent="0.3">
      <c r="I285" s="95"/>
    </row>
    <row r="286" spans="9:9" s="58" customFormat="1" ht="13.8" x14ac:dyDescent="0.3">
      <c r="I286" s="95"/>
    </row>
    <row r="287" spans="9:9" s="58" customFormat="1" ht="13.8" x14ac:dyDescent="0.3">
      <c r="I287" s="95"/>
    </row>
    <row r="288" spans="9:9" s="58" customFormat="1" ht="13.8" x14ac:dyDescent="0.3">
      <c r="I288" s="95"/>
    </row>
    <row r="289" spans="9:9" s="58" customFormat="1" ht="13.8" x14ac:dyDescent="0.3">
      <c r="I289" s="95"/>
    </row>
    <row r="290" spans="9:9" s="58" customFormat="1" ht="13.8" x14ac:dyDescent="0.3">
      <c r="I290" s="95"/>
    </row>
    <row r="291" spans="9:9" s="58" customFormat="1" ht="13.8" x14ac:dyDescent="0.3">
      <c r="I291" s="95"/>
    </row>
    <row r="292" spans="9:9" s="58" customFormat="1" ht="13.8" x14ac:dyDescent="0.3">
      <c r="I292" s="95"/>
    </row>
    <row r="293" spans="9:9" s="58" customFormat="1" ht="13.8" x14ac:dyDescent="0.3">
      <c r="I293" s="95"/>
    </row>
    <row r="294" spans="9:9" s="58" customFormat="1" ht="13.8" x14ac:dyDescent="0.3">
      <c r="I294" s="95"/>
    </row>
    <row r="295" spans="9:9" s="58" customFormat="1" ht="13.8" x14ac:dyDescent="0.3">
      <c r="I295" s="95"/>
    </row>
    <row r="296" spans="9:9" s="58" customFormat="1" ht="13.8" x14ac:dyDescent="0.3">
      <c r="I296" s="95"/>
    </row>
    <row r="297" spans="9:9" s="58" customFormat="1" ht="13.8" x14ac:dyDescent="0.3">
      <c r="I297" s="95"/>
    </row>
    <row r="298" spans="9:9" s="58" customFormat="1" ht="13.8" x14ac:dyDescent="0.3">
      <c r="I298" s="95"/>
    </row>
    <row r="299" spans="9:9" s="58" customFormat="1" ht="13.8" x14ac:dyDescent="0.3">
      <c r="I299" s="95"/>
    </row>
    <row r="300" spans="9:9" s="58" customFormat="1" ht="13.8" x14ac:dyDescent="0.3">
      <c r="I300" s="95"/>
    </row>
    <row r="301" spans="9:9" s="58" customFormat="1" ht="13.8" x14ac:dyDescent="0.3">
      <c r="I301" s="95"/>
    </row>
    <row r="302" spans="9:9" s="58" customFormat="1" ht="13.8" x14ac:dyDescent="0.3">
      <c r="I302" s="95"/>
    </row>
    <row r="303" spans="9:9" s="58" customFormat="1" ht="13.8" x14ac:dyDescent="0.3">
      <c r="I303" s="95"/>
    </row>
    <row r="304" spans="9:9" s="58" customFormat="1" ht="13.8" x14ac:dyDescent="0.3">
      <c r="I304" s="95"/>
    </row>
    <row r="305" spans="9:9" s="58" customFormat="1" ht="13.8" x14ac:dyDescent="0.3">
      <c r="I305" s="95"/>
    </row>
    <row r="306" spans="9:9" s="58" customFormat="1" ht="13.8" x14ac:dyDescent="0.3">
      <c r="I306" s="95"/>
    </row>
    <row r="307" spans="9:9" s="58" customFormat="1" ht="13.8" x14ac:dyDescent="0.3">
      <c r="I307" s="95"/>
    </row>
    <row r="308" spans="9:9" s="58" customFormat="1" ht="13.8" x14ac:dyDescent="0.3">
      <c r="I308" s="95"/>
    </row>
    <row r="309" spans="9:9" s="58" customFormat="1" ht="13.8" x14ac:dyDescent="0.3">
      <c r="I309" s="95"/>
    </row>
    <row r="310" spans="9:9" s="58" customFormat="1" ht="13.8" x14ac:dyDescent="0.3">
      <c r="I310" s="95"/>
    </row>
    <row r="311" spans="9:9" s="58" customFormat="1" ht="13.8" x14ac:dyDescent="0.3">
      <c r="I311" s="95"/>
    </row>
    <row r="312" spans="9:9" s="58" customFormat="1" ht="13.8" x14ac:dyDescent="0.3">
      <c r="I312" s="95"/>
    </row>
    <row r="313" spans="9:9" s="58" customFormat="1" ht="13.8" x14ac:dyDescent="0.3">
      <c r="I313" s="95"/>
    </row>
    <row r="314" spans="9:9" s="58" customFormat="1" ht="13.8" x14ac:dyDescent="0.3">
      <c r="I314" s="95"/>
    </row>
    <row r="315" spans="9:9" s="58" customFormat="1" ht="13.8" x14ac:dyDescent="0.3">
      <c r="I315" s="95"/>
    </row>
    <row r="316" spans="9:9" s="58" customFormat="1" ht="13.8" x14ac:dyDescent="0.3">
      <c r="I316" s="95"/>
    </row>
    <row r="317" spans="9:9" s="58" customFormat="1" ht="13.8" x14ac:dyDescent="0.3">
      <c r="I317" s="95"/>
    </row>
    <row r="318" spans="9:9" s="58" customFormat="1" ht="13.8" x14ac:dyDescent="0.3">
      <c r="I318" s="95"/>
    </row>
    <row r="319" spans="9:9" s="58" customFormat="1" ht="13.8" x14ac:dyDescent="0.3">
      <c r="I319" s="95"/>
    </row>
    <row r="320" spans="9:9" s="58" customFormat="1" ht="13.8" x14ac:dyDescent="0.3">
      <c r="I320" s="95"/>
    </row>
    <row r="321" spans="9:9" s="58" customFormat="1" ht="13.8" x14ac:dyDescent="0.3">
      <c r="I321" s="95"/>
    </row>
    <row r="322" spans="9:9" s="58" customFormat="1" ht="13.8" x14ac:dyDescent="0.3">
      <c r="I322" s="95"/>
    </row>
    <row r="323" spans="9:9" s="58" customFormat="1" ht="13.8" x14ac:dyDescent="0.3">
      <c r="I323" s="95"/>
    </row>
    <row r="324" spans="9:9" s="58" customFormat="1" ht="13.8" x14ac:dyDescent="0.3">
      <c r="I324" s="95"/>
    </row>
    <row r="325" spans="9:9" s="58" customFormat="1" ht="13.8" x14ac:dyDescent="0.3">
      <c r="I325" s="95"/>
    </row>
    <row r="326" spans="9:9" s="58" customFormat="1" ht="13.8" x14ac:dyDescent="0.3">
      <c r="I326" s="95"/>
    </row>
    <row r="327" spans="9:9" s="58" customFormat="1" ht="13.8" x14ac:dyDescent="0.3">
      <c r="I327" s="95"/>
    </row>
    <row r="328" spans="9:9" s="58" customFormat="1" ht="13.8" x14ac:dyDescent="0.3">
      <c r="I328" s="95"/>
    </row>
    <row r="329" spans="9:9" s="58" customFormat="1" ht="13.8" x14ac:dyDescent="0.3">
      <c r="I329" s="95"/>
    </row>
    <row r="330" spans="9:9" s="58" customFormat="1" ht="13.8" x14ac:dyDescent="0.3">
      <c r="I330" s="95"/>
    </row>
    <row r="331" spans="9:9" s="58" customFormat="1" ht="13.8" x14ac:dyDescent="0.3">
      <c r="I331" s="95"/>
    </row>
    <row r="332" spans="9:9" s="58" customFormat="1" ht="13.8" x14ac:dyDescent="0.3">
      <c r="I332" s="95"/>
    </row>
    <row r="333" spans="9:9" s="58" customFormat="1" ht="13.8" x14ac:dyDescent="0.3">
      <c r="I333" s="95"/>
    </row>
    <row r="334" spans="9:9" s="58" customFormat="1" ht="13.8" x14ac:dyDescent="0.3">
      <c r="I334" s="95"/>
    </row>
    <row r="335" spans="9:9" s="58" customFormat="1" ht="13.8" x14ac:dyDescent="0.3">
      <c r="I335" s="95"/>
    </row>
    <row r="336" spans="9:9" s="58" customFormat="1" ht="13.8" x14ac:dyDescent="0.3">
      <c r="I336" s="95"/>
    </row>
    <row r="337" spans="9:9" s="58" customFormat="1" ht="13.8" x14ac:dyDescent="0.3">
      <c r="I337" s="95"/>
    </row>
    <row r="338" spans="9:9" s="58" customFormat="1" ht="13.8" x14ac:dyDescent="0.3">
      <c r="I338" s="95"/>
    </row>
    <row r="339" spans="9:9" s="58" customFormat="1" ht="13.8" x14ac:dyDescent="0.3">
      <c r="I339" s="95"/>
    </row>
    <row r="340" spans="9:9" s="58" customFormat="1" ht="13.8" x14ac:dyDescent="0.3">
      <c r="I340" s="95"/>
    </row>
    <row r="341" spans="9:9" s="58" customFormat="1" ht="13.8" x14ac:dyDescent="0.3">
      <c r="I341" s="95"/>
    </row>
    <row r="342" spans="9:9" s="58" customFormat="1" ht="13.8" x14ac:dyDescent="0.3">
      <c r="I342" s="95"/>
    </row>
    <row r="343" spans="9:9" s="58" customFormat="1" ht="13.8" x14ac:dyDescent="0.3">
      <c r="I343" s="95"/>
    </row>
    <row r="344" spans="9:9" s="58" customFormat="1" ht="13.8" x14ac:dyDescent="0.3">
      <c r="I344" s="95"/>
    </row>
    <row r="345" spans="9:9" s="58" customFormat="1" ht="13.8" x14ac:dyDescent="0.3">
      <c r="I345" s="95"/>
    </row>
    <row r="346" spans="9:9" s="58" customFormat="1" ht="13.8" x14ac:dyDescent="0.3">
      <c r="I346" s="95"/>
    </row>
    <row r="347" spans="9:9" s="58" customFormat="1" ht="13.8" x14ac:dyDescent="0.3">
      <c r="I347" s="95"/>
    </row>
    <row r="348" spans="9:9" s="58" customFormat="1" ht="13.8" x14ac:dyDescent="0.3">
      <c r="I348" s="95"/>
    </row>
    <row r="349" spans="9:9" s="58" customFormat="1" ht="13.8" x14ac:dyDescent="0.3">
      <c r="I349" s="95"/>
    </row>
    <row r="350" spans="9:9" s="58" customFormat="1" ht="13.8" x14ac:dyDescent="0.3">
      <c r="I350" s="95"/>
    </row>
    <row r="351" spans="9:9" s="58" customFormat="1" ht="13.8" x14ac:dyDescent="0.3">
      <c r="I351" s="95"/>
    </row>
    <row r="352" spans="9:9" s="58" customFormat="1" ht="13.8" x14ac:dyDescent="0.3">
      <c r="I352" s="95"/>
    </row>
    <row r="353" spans="9:9" s="58" customFormat="1" ht="13.8" x14ac:dyDescent="0.3">
      <c r="I353" s="95"/>
    </row>
    <row r="354" spans="9:9" s="58" customFormat="1" ht="13.8" x14ac:dyDescent="0.3">
      <c r="I354" s="95"/>
    </row>
    <row r="355" spans="9:9" s="58" customFormat="1" ht="13.8" x14ac:dyDescent="0.3">
      <c r="I355" s="95"/>
    </row>
    <row r="356" spans="9:9" s="58" customFormat="1" ht="13.8" x14ac:dyDescent="0.3">
      <c r="I356" s="95"/>
    </row>
    <row r="357" spans="9:9" s="58" customFormat="1" ht="13.8" x14ac:dyDescent="0.3">
      <c r="I357" s="95"/>
    </row>
    <row r="358" spans="9:9" s="58" customFormat="1" ht="13.8" x14ac:dyDescent="0.3">
      <c r="I358" s="95"/>
    </row>
    <row r="359" spans="9:9" s="58" customFormat="1" ht="13.8" x14ac:dyDescent="0.3">
      <c r="I359" s="95"/>
    </row>
    <row r="360" spans="9:9" s="58" customFormat="1" ht="13.8" x14ac:dyDescent="0.3">
      <c r="I360" s="95"/>
    </row>
    <row r="361" spans="9:9" s="58" customFormat="1" ht="13.8" x14ac:dyDescent="0.3">
      <c r="I361" s="95"/>
    </row>
    <row r="362" spans="9:9" s="58" customFormat="1" ht="13.8" x14ac:dyDescent="0.3">
      <c r="I362" s="95"/>
    </row>
    <row r="363" spans="9:9" s="58" customFormat="1" ht="13.8" x14ac:dyDescent="0.3">
      <c r="I363" s="95"/>
    </row>
    <row r="364" spans="9:9" s="58" customFormat="1" ht="13.8" x14ac:dyDescent="0.3">
      <c r="I364" s="95"/>
    </row>
    <row r="365" spans="9:9" s="58" customFormat="1" ht="13.8" x14ac:dyDescent="0.3">
      <c r="I365" s="95"/>
    </row>
    <row r="366" spans="9:9" s="58" customFormat="1" ht="13.8" x14ac:dyDescent="0.3">
      <c r="I366" s="95"/>
    </row>
    <row r="367" spans="9:9" s="58" customFormat="1" ht="13.8" x14ac:dyDescent="0.3">
      <c r="I367" s="95"/>
    </row>
    <row r="368" spans="9:9" s="58" customFormat="1" ht="13.8" x14ac:dyDescent="0.3">
      <c r="I368" s="95"/>
    </row>
    <row r="369" spans="9:9" s="58" customFormat="1" ht="13.8" x14ac:dyDescent="0.3">
      <c r="I369" s="95"/>
    </row>
    <row r="370" spans="9:9" s="58" customFormat="1" ht="13.8" x14ac:dyDescent="0.3">
      <c r="I370" s="95"/>
    </row>
    <row r="371" spans="9:9" s="58" customFormat="1" ht="13.8" x14ac:dyDescent="0.3">
      <c r="I371" s="95"/>
    </row>
    <row r="372" spans="9:9" s="58" customFormat="1" ht="13.8" x14ac:dyDescent="0.3">
      <c r="I372" s="95"/>
    </row>
    <row r="373" spans="9:9" s="58" customFormat="1" ht="13.8" x14ac:dyDescent="0.3">
      <c r="I373" s="95"/>
    </row>
    <row r="374" spans="9:9" s="58" customFormat="1" ht="13.8" x14ac:dyDescent="0.3">
      <c r="I374" s="95"/>
    </row>
    <row r="375" spans="9:9" s="58" customFormat="1" ht="13.8" x14ac:dyDescent="0.3">
      <c r="I375" s="95"/>
    </row>
    <row r="376" spans="9:9" s="58" customFormat="1" ht="13.8" x14ac:dyDescent="0.3">
      <c r="I376" s="95"/>
    </row>
    <row r="377" spans="9:9" s="58" customFormat="1" ht="13.8" x14ac:dyDescent="0.3">
      <c r="I377" s="95"/>
    </row>
    <row r="378" spans="9:9" s="58" customFormat="1" ht="13.8" x14ac:dyDescent="0.3">
      <c r="I378" s="95"/>
    </row>
    <row r="379" spans="9:9" s="58" customFormat="1" ht="13.8" x14ac:dyDescent="0.3">
      <c r="I379" s="95"/>
    </row>
    <row r="380" spans="9:9" s="58" customFormat="1" ht="13.8" x14ac:dyDescent="0.3">
      <c r="I380" s="95"/>
    </row>
    <row r="381" spans="9:9" s="58" customFormat="1" ht="13.8" x14ac:dyDescent="0.3">
      <c r="I381" s="95"/>
    </row>
    <row r="382" spans="9:9" s="58" customFormat="1" ht="13.8" x14ac:dyDescent="0.3">
      <c r="I382" s="95"/>
    </row>
    <row r="383" spans="9:9" s="58" customFormat="1" ht="13.8" x14ac:dyDescent="0.3">
      <c r="I383" s="95"/>
    </row>
    <row r="384" spans="9:9" s="58" customFormat="1" ht="13.8" x14ac:dyDescent="0.3">
      <c r="I384" s="95"/>
    </row>
    <row r="385" spans="9:9" s="58" customFormat="1" ht="13.8" x14ac:dyDescent="0.3">
      <c r="I385" s="95"/>
    </row>
    <row r="386" spans="9:9" s="58" customFormat="1" ht="13.8" x14ac:dyDescent="0.3">
      <c r="I386" s="95"/>
    </row>
    <row r="387" spans="9:9" s="58" customFormat="1" ht="13.8" x14ac:dyDescent="0.3">
      <c r="I387" s="95"/>
    </row>
    <row r="388" spans="9:9" s="58" customFormat="1" ht="13.8" x14ac:dyDescent="0.3">
      <c r="I388" s="95"/>
    </row>
    <row r="389" spans="9:9" s="58" customFormat="1" ht="13.8" x14ac:dyDescent="0.3">
      <c r="I389" s="95"/>
    </row>
    <row r="390" spans="9:9" s="58" customFormat="1" ht="13.8" x14ac:dyDescent="0.3">
      <c r="I390" s="95"/>
    </row>
    <row r="391" spans="9:9" s="58" customFormat="1" ht="13.8" x14ac:dyDescent="0.3">
      <c r="I391" s="95"/>
    </row>
    <row r="392" spans="9:9" s="58" customFormat="1" ht="13.8" x14ac:dyDescent="0.3">
      <c r="I392" s="95"/>
    </row>
    <row r="393" spans="9:9" s="58" customFormat="1" ht="13.8" x14ac:dyDescent="0.3">
      <c r="I393" s="95"/>
    </row>
    <row r="394" spans="9:9" s="58" customFormat="1" ht="13.8" x14ac:dyDescent="0.3">
      <c r="I394" s="95"/>
    </row>
    <row r="395" spans="9:9" s="58" customFormat="1" ht="13.8" x14ac:dyDescent="0.3">
      <c r="I395" s="95"/>
    </row>
    <row r="396" spans="9:9" s="58" customFormat="1" ht="13.8" x14ac:dyDescent="0.3">
      <c r="I396" s="95"/>
    </row>
    <row r="397" spans="9:9" s="58" customFormat="1" ht="13.8" x14ac:dyDescent="0.3">
      <c r="I397" s="95"/>
    </row>
    <row r="398" spans="9:9" s="58" customFormat="1" ht="13.8" x14ac:dyDescent="0.3">
      <c r="I398" s="95"/>
    </row>
    <row r="399" spans="9:9" s="58" customFormat="1" ht="13.8" x14ac:dyDescent="0.3">
      <c r="I399" s="95"/>
    </row>
    <row r="400" spans="9:9" s="58" customFormat="1" ht="13.8" x14ac:dyDescent="0.3">
      <c r="I400" s="95"/>
    </row>
    <row r="401" spans="9:9" s="58" customFormat="1" ht="13.8" x14ac:dyDescent="0.3">
      <c r="I401" s="95"/>
    </row>
    <row r="402" spans="9:9" s="58" customFormat="1" ht="13.8" x14ac:dyDescent="0.3">
      <c r="I402" s="95"/>
    </row>
    <row r="403" spans="9:9" s="58" customFormat="1" ht="13.8" x14ac:dyDescent="0.3">
      <c r="I403" s="95"/>
    </row>
    <row r="404" spans="9:9" s="58" customFormat="1" ht="13.8" x14ac:dyDescent="0.3">
      <c r="I404" s="95"/>
    </row>
    <row r="405" spans="9:9" s="58" customFormat="1" ht="13.8" x14ac:dyDescent="0.3">
      <c r="I405" s="95"/>
    </row>
    <row r="406" spans="9:9" s="58" customFormat="1" ht="13.8" x14ac:dyDescent="0.3">
      <c r="I406" s="95"/>
    </row>
    <row r="407" spans="9:9" s="58" customFormat="1" ht="13.8" x14ac:dyDescent="0.3">
      <c r="I407" s="95"/>
    </row>
    <row r="408" spans="9:9" s="58" customFormat="1" ht="13.8" x14ac:dyDescent="0.3">
      <c r="I408" s="95"/>
    </row>
    <row r="409" spans="9:9" s="58" customFormat="1" ht="13.8" x14ac:dyDescent="0.3">
      <c r="I409" s="95"/>
    </row>
    <row r="410" spans="9:9" s="58" customFormat="1" ht="13.8" x14ac:dyDescent="0.3">
      <c r="I410" s="95"/>
    </row>
    <row r="411" spans="9:9" s="58" customFormat="1" ht="13.8" x14ac:dyDescent="0.3">
      <c r="I411" s="95"/>
    </row>
    <row r="412" spans="9:9" s="58" customFormat="1" ht="13.8" x14ac:dyDescent="0.3">
      <c r="I412" s="95"/>
    </row>
    <row r="413" spans="9:9" s="58" customFormat="1" ht="13.8" x14ac:dyDescent="0.3">
      <c r="I413" s="95"/>
    </row>
    <row r="414" spans="9:9" s="58" customFormat="1" ht="13.8" x14ac:dyDescent="0.3">
      <c r="I414" s="95"/>
    </row>
    <row r="415" spans="9:9" s="58" customFormat="1" ht="13.8" x14ac:dyDescent="0.3">
      <c r="I415" s="95"/>
    </row>
    <row r="416" spans="9:9" s="58" customFormat="1" ht="13.8" x14ac:dyDescent="0.3">
      <c r="I416" s="95"/>
    </row>
    <row r="417" spans="9:9" s="58" customFormat="1" ht="13.8" x14ac:dyDescent="0.3">
      <c r="I417" s="95"/>
    </row>
    <row r="418" spans="9:9" s="58" customFormat="1" ht="13.8" x14ac:dyDescent="0.3">
      <c r="I418" s="95"/>
    </row>
    <row r="419" spans="9:9" s="58" customFormat="1" ht="13.8" x14ac:dyDescent="0.3">
      <c r="I419" s="95"/>
    </row>
    <row r="420" spans="9:9" s="58" customFormat="1" ht="13.8" x14ac:dyDescent="0.3">
      <c r="I420" s="95"/>
    </row>
    <row r="421" spans="9:9" s="58" customFormat="1" ht="13.8" x14ac:dyDescent="0.3">
      <c r="I421" s="95"/>
    </row>
    <row r="422" spans="9:9" s="58" customFormat="1" ht="13.8" x14ac:dyDescent="0.3">
      <c r="I422" s="95"/>
    </row>
    <row r="423" spans="9:9" s="58" customFormat="1" ht="13.8" x14ac:dyDescent="0.3">
      <c r="I423" s="95"/>
    </row>
    <row r="424" spans="9:9" s="58" customFormat="1" ht="13.8" x14ac:dyDescent="0.3">
      <c r="I424" s="95"/>
    </row>
    <row r="425" spans="9:9" s="58" customFormat="1" ht="13.8" x14ac:dyDescent="0.3">
      <c r="I425" s="95"/>
    </row>
    <row r="426" spans="9:9" s="58" customFormat="1" ht="13.8" x14ac:dyDescent="0.3">
      <c r="I426" s="95"/>
    </row>
    <row r="427" spans="9:9" s="58" customFormat="1" ht="13.8" x14ac:dyDescent="0.3">
      <c r="I427" s="95"/>
    </row>
    <row r="428" spans="9:9" s="58" customFormat="1" ht="13.8" x14ac:dyDescent="0.3">
      <c r="I428" s="95"/>
    </row>
    <row r="429" spans="9:9" s="58" customFormat="1" ht="13.8" x14ac:dyDescent="0.3">
      <c r="I429" s="95"/>
    </row>
    <row r="430" spans="9:9" s="58" customFormat="1" ht="13.8" x14ac:dyDescent="0.3">
      <c r="I430" s="95"/>
    </row>
    <row r="431" spans="9:9" s="58" customFormat="1" ht="13.8" x14ac:dyDescent="0.3">
      <c r="I431" s="95"/>
    </row>
    <row r="432" spans="9:9" s="58" customFormat="1" ht="13.8" x14ac:dyDescent="0.3">
      <c r="I432" s="95"/>
    </row>
    <row r="433" spans="9:9" s="58" customFormat="1" ht="13.8" x14ac:dyDescent="0.3">
      <c r="I433" s="95"/>
    </row>
    <row r="434" spans="9:9" s="58" customFormat="1" ht="13.8" x14ac:dyDescent="0.3">
      <c r="I434" s="95"/>
    </row>
    <row r="435" spans="9:9" s="58" customFormat="1" ht="13.8" x14ac:dyDescent="0.3">
      <c r="I435" s="95"/>
    </row>
    <row r="436" spans="9:9" s="58" customFormat="1" ht="13.8" x14ac:dyDescent="0.3">
      <c r="I436" s="95"/>
    </row>
    <row r="437" spans="9:9" s="58" customFormat="1" ht="13.8" x14ac:dyDescent="0.3">
      <c r="I437" s="95"/>
    </row>
    <row r="438" spans="9:9" s="58" customFormat="1" ht="13.8" x14ac:dyDescent="0.3">
      <c r="I438" s="95"/>
    </row>
    <row r="439" spans="9:9" s="58" customFormat="1" ht="13.8" x14ac:dyDescent="0.3">
      <c r="I439" s="95"/>
    </row>
    <row r="440" spans="9:9" s="58" customFormat="1" ht="13.8" x14ac:dyDescent="0.3">
      <c r="I440" s="95"/>
    </row>
    <row r="441" spans="9:9" s="58" customFormat="1" ht="13.8" x14ac:dyDescent="0.3">
      <c r="I441" s="95"/>
    </row>
    <row r="442" spans="9:9" s="58" customFormat="1" ht="13.8" x14ac:dyDescent="0.3">
      <c r="I442" s="95"/>
    </row>
    <row r="443" spans="9:9" s="58" customFormat="1" ht="13.8" x14ac:dyDescent="0.3">
      <c r="I443" s="95"/>
    </row>
    <row r="444" spans="9:9" s="58" customFormat="1" ht="13.8" x14ac:dyDescent="0.3">
      <c r="I444" s="95"/>
    </row>
    <row r="445" spans="9:9" s="58" customFormat="1" ht="13.8" x14ac:dyDescent="0.3">
      <c r="I445" s="95"/>
    </row>
    <row r="446" spans="9:9" s="58" customFormat="1" ht="13.8" x14ac:dyDescent="0.3">
      <c r="I446" s="95"/>
    </row>
    <row r="447" spans="9:9" s="58" customFormat="1" ht="13.8" x14ac:dyDescent="0.3">
      <c r="I447" s="95"/>
    </row>
    <row r="448" spans="9:9" s="58" customFormat="1" ht="13.8" x14ac:dyDescent="0.3">
      <c r="I448" s="95"/>
    </row>
    <row r="449" spans="9:9" s="58" customFormat="1" ht="13.8" x14ac:dyDescent="0.3">
      <c r="I449" s="95"/>
    </row>
    <row r="450" spans="9:9" s="58" customFormat="1" ht="13.8" x14ac:dyDescent="0.3">
      <c r="I450" s="95"/>
    </row>
    <row r="451" spans="9:9" s="58" customFormat="1" ht="13.8" x14ac:dyDescent="0.3">
      <c r="I451" s="95"/>
    </row>
    <row r="452" spans="9:9" s="58" customFormat="1" ht="13.8" x14ac:dyDescent="0.3">
      <c r="I452" s="95"/>
    </row>
    <row r="453" spans="9:9" s="58" customFormat="1" ht="13.8" x14ac:dyDescent="0.3">
      <c r="I453" s="95"/>
    </row>
    <row r="454" spans="9:9" s="58" customFormat="1" ht="13.8" x14ac:dyDescent="0.3">
      <c r="I454" s="95"/>
    </row>
    <row r="455" spans="9:9" s="58" customFormat="1" ht="13.8" x14ac:dyDescent="0.3">
      <c r="I455" s="95"/>
    </row>
    <row r="456" spans="9:9" s="58" customFormat="1" ht="13.8" x14ac:dyDescent="0.3">
      <c r="I456" s="95"/>
    </row>
    <row r="457" spans="9:9" s="58" customFormat="1" ht="13.8" x14ac:dyDescent="0.3">
      <c r="I457" s="95"/>
    </row>
    <row r="458" spans="9:9" s="58" customFormat="1" ht="13.8" x14ac:dyDescent="0.3">
      <c r="I458" s="95"/>
    </row>
    <row r="459" spans="9:9" s="58" customFormat="1" ht="13.8" x14ac:dyDescent="0.3">
      <c r="I459" s="95"/>
    </row>
    <row r="460" spans="9:9" s="58" customFormat="1" ht="13.8" x14ac:dyDescent="0.3">
      <c r="I460" s="95"/>
    </row>
    <row r="461" spans="9:9" s="58" customFormat="1" ht="13.8" x14ac:dyDescent="0.3">
      <c r="I461" s="95"/>
    </row>
    <row r="462" spans="9:9" s="58" customFormat="1" ht="13.8" x14ac:dyDescent="0.3">
      <c r="I462" s="95"/>
    </row>
    <row r="463" spans="9:9" s="58" customFormat="1" ht="13.8" x14ac:dyDescent="0.3">
      <c r="I463" s="95"/>
    </row>
    <row r="464" spans="9:9" s="58" customFormat="1" ht="13.8" x14ac:dyDescent="0.3">
      <c r="I464" s="95"/>
    </row>
    <row r="465" spans="9:9" s="58" customFormat="1" ht="13.8" x14ac:dyDescent="0.3">
      <c r="I465" s="95"/>
    </row>
    <row r="466" spans="9:9" s="58" customFormat="1" ht="13.8" x14ac:dyDescent="0.3">
      <c r="I466" s="95"/>
    </row>
    <row r="467" spans="9:9" s="58" customFormat="1" ht="13.8" x14ac:dyDescent="0.3">
      <c r="I467" s="95"/>
    </row>
    <row r="468" spans="9:9" s="58" customFormat="1" ht="13.8" x14ac:dyDescent="0.3">
      <c r="I468" s="95"/>
    </row>
    <row r="469" spans="9:9" s="58" customFormat="1" ht="13.8" x14ac:dyDescent="0.3">
      <c r="I469" s="95"/>
    </row>
    <row r="470" spans="9:9" s="58" customFormat="1" ht="13.8" x14ac:dyDescent="0.3">
      <c r="I470" s="95"/>
    </row>
    <row r="471" spans="9:9" s="58" customFormat="1" ht="13.8" x14ac:dyDescent="0.3">
      <c r="I471" s="95"/>
    </row>
    <row r="472" spans="9:9" s="58" customFormat="1" ht="13.8" x14ac:dyDescent="0.3">
      <c r="I472" s="95"/>
    </row>
    <row r="473" spans="9:9" s="58" customFormat="1" ht="13.8" x14ac:dyDescent="0.3">
      <c r="I473" s="95"/>
    </row>
    <row r="474" spans="9:9" s="58" customFormat="1" ht="13.8" x14ac:dyDescent="0.3">
      <c r="I474" s="95"/>
    </row>
    <row r="475" spans="9:9" s="58" customFormat="1" ht="13.8" x14ac:dyDescent="0.3">
      <c r="I475" s="95"/>
    </row>
    <row r="476" spans="9:9" s="58" customFormat="1" ht="13.8" x14ac:dyDescent="0.3">
      <c r="I476" s="95"/>
    </row>
    <row r="477" spans="9:9" s="56" customFormat="1" x14ac:dyDescent="0.3"/>
    <row r="478" spans="9:9" s="56" customFormat="1" x14ac:dyDescent="0.3"/>
    <row r="479" spans="9:9" s="56" customFormat="1" x14ac:dyDescent="0.3"/>
    <row r="480" spans="9:9" s="56" customFormat="1" x14ac:dyDescent="0.3"/>
    <row r="481" s="56" customFormat="1" x14ac:dyDescent="0.3"/>
    <row r="482" s="56" customFormat="1" x14ac:dyDescent="0.3"/>
    <row r="483" s="56" customFormat="1" x14ac:dyDescent="0.3"/>
    <row r="484" s="56" customFormat="1" x14ac:dyDescent="0.3"/>
    <row r="485" s="56" customFormat="1" x14ac:dyDescent="0.3"/>
    <row r="486" s="56" customFormat="1" x14ac:dyDescent="0.3"/>
    <row r="487" s="56" customFormat="1" x14ac:dyDescent="0.3"/>
    <row r="488" s="56" customFormat="1" x14ac:dyDescent="0.3"/>
    <row r="489" s="56" customFormat="1" x14ac:dyDescent="0.3"/>
    <row r="490" s="56" customFormat="1" x14ac:dyDescent="0.3"/>
    <row r="491" s="56" customFormat="1" x14ac:dyDescent="0.3"/>
    <row r="492" s="56" customFormat="1" x14ac:dyDescent="0.3"/>
    <row r="493" s="56" customFormat="1" x14ac:dyDescent="0.3"/>
    <row r="494" s="56" customFormat="1" x14ac:dyDescent="0.3"/>
    <row r="495" s="56" customFormat="1" x14ac:dyDescent="0.3"/>
    <row r="496" s="56" customFormat="1" x14ac:dyDescent="0.3"/>
    <row r="497" s="56" customFormat="1" x14ac:dyDescent="0.3"/>
    <row r="498" s="56" customFormat="1" x14ac:dyDescent="0.3"/>
    <row r="499" s="56" customFormat="1" x14ac:dyDescent="0.3"/>
    <row r="500" s="56" customFormat="1" x14ac:dyDescent="0.3"/>
    <row r="501" s="56" customFormat="1" x14ac:dyDescent="0.3"/>
    <row r="502" s="56" customFormat="1" x14ac:dyDescent="0.3"/>
    <row r="503" s="56" customFormat="1" x14ac:dyDescent="0.3"/>
    <row r="504" s="56" customFormat="1" x14ac:dyDescent="0.3"/>
    <row r="505" s="56" customFormat="1" x14ac:dyDescent="0.3"/>
    <row r="506" s="56" customFormat="1" x14ac:dyDescent="0.3"/>
    <row r="507" s="56" customFormat="1" x14ac:dyDescent="0.3"/>
    <row r="508" s="56" customFormat="1" x14ac:dyDescent="0.3"/>
    <row r="509" s="56" customFormat="1" x14ac:dyDescent="0.3"/>
    <row r="510" s="56" customFormat="1" x14ac:dyDescent="0.3"/>
    <row r="511" s="56" customFormat="1" x14ac:dyDescent="0.3"/>
    <row r="512" s="56" customFormat="1" x14ac:dyDescent="0.3"/>
    <row r="513" s="56" customFormat="1" x14ac:dyDescent="0.3"/>
    <row r="514" s="56" customFormat="1" x14ac:dyDescent="0.3"/>
    <row r="515" s="56" customFormat="1" x14ac:dyDescent="0.3"/>
    <row r="516" s="56" customFormat="1" x14ac:dyDescent="0.3"/>
    <row r="517" s="56" customFormat="1" x14ac:dyDescent="0.3"/>
    <row r="518" s="56" customFormat="1" x14ac:dyDescent="0.3"/>
    <row r="519" s="56" customFormat="1" x14ac:dyDescent="0.3"/>
    <row r="520" s="56" customFormat="1" x14ac:dyDescent="0.3"/>
    <row r="521" s="56" customFormat="1" x14ac:dyDescent="0.3"/>
    <row r="522" s="56" customFormat="1" x14ac:dyDescent="0.3"/>
    <row r="523" s="56" customFormat="1" x14ac:dyDescent="0.3"/>
    <row r="524" s="56" customFormat="1" x14ac:dyDescent="0.3"/>
    <row r="525" s="56" customFormat="1" x14ac:dyDescent="0.3"/>
    <row r="526" s="56" customFormat="1" x14ac:dyDescent="0.3"/>
    <row r="527" s="56" customFormat="1" x14ac:dyDescent="0.3"/>
    <row r="528" s="56" customFormat="1" x14ac:dyDescent="0.3"/>
    <row r="529" s="56" customFormat="1" x14ac:dyDescent="0.3"/>
    <row r="530" s="56" customFormat="1" x14ac:dyDescent="0.3"/>
    <row r="531" s="56" customFormat="1" x14ac:dyDescent="0.3"/>
    <row r="532" s="56" customFormat="1" x14ac:dyDescent="0.3"/>
    <row r="533" s="56" customFormat="1" x14ac:dyDescent="0.3"/>
    <row r="534" s="56" customFormat="1" x14ac:dyDescent="0.3"/>
    <row r="535" s="56" customFormat="1" x14ac:dyDescent="0.3"/>
    <row r="536" s="56" customFormat="1" x14ac:dyDescent="0.3"/>
    <row r="537" s="56" customFormat="1" x14ac:dyDescent="0.3"/>
    <row r="538" s="56" customFormat="1" x14ac:dyDescent="0.3"/>
    <row r="539" s="56" customFormat="1" x14ac:dyDescent="0.3"/>
    <row r="540" s="56" customFormat="1" x14ac:dyDescent="0.3"/>
    <row r="541" s="56" customFormat="1" x14ac:dyDescent="0.3"/>
    <row r="542" s="56" customFormat="1" x14ac:dyDescent="0.3"/>
    <row r="543" s="56" customFormat="1" x14ac:dyDescent="0.3"/>
    <row r="544" s="56" customFormat="1" x14ac:dyDescent="0.3"/>
    <row r="545" s="56" customFormat="1" x14ac:dyDescent="0.3"/>
    <row r="546" s="56" customFormat="1" x14ac:dyDescent="0.3"/>
    <row r="547" s="56" customFormat="1" x14ac:dyDescent="0.3"/>
    <row r="548" s="56" customFormat="1" x14ac:dyDescent="0.3"/>
    <row r="549" s="56" customFormat="1" x14ac:dyDescent="0.3"/>
    <row r="550" s="56" customFormat="1" x14ac:dyDescent="0.3"/>
    <row r="551" s="56" customFormat="1" x14ac:dyDescent="0.3"/>
    <row r="552" s="56" customFormat="1" x14ac:dyDescent="0.3"/>
    <row r="553" s="56" customFormat="1" x14ac:dyDescent="0.3"/>
    <row r="554" s="56" customFormat="1" x14ac:dyDescent="0.3"/>
    <row r="555" s="56" customFormat="1" x14ac:dyDescent="0.3"/>
    <row r="556" s="56" customFormat="1" x14ac:dyDescent="0.3"/>
    <row r="557" s="56" customFormat="1" x14ac:dyDescent="0.3"/>
    <row r="558" s="56" customFormat="1" x14ac:dyDescent="0.3"/>
    <row r="559" s="56" customFormat="1" x14ac:dyDescent="0.3"/>
    <row r="560" s="56" customFormat="1" x14ac:dyDescent="0.3"/>
    <row r="561" s="56" customFormat="1" x14ac:dyDescent="0.3"/>
    <row r="562" s="56" customFormat="1" x14ac:dyDescent="0.3"/>
    <row r="563" s="56" customFormat="1" x14ac:dyDescent="0.3"/>
    <row r="564" s="56" customFormat="1" x14ac:dyDescent="0.3"/>
    <row r="565" s="56" customFormat="1" x14ac:dyDescent="0.3"/>
    <row r="566" s="56" customFormat="1" x14ac:dyDescent="0.3"/>
    <row r="567" s="56" customFormat="1" x14ac:dyDescent="0.3"/>
    <row r="568" s="56" customFormat="1" x14ac:dyDescent="0.3"/>
    <row r="569" s="56" customFormat="1" x14ac:dyDescent="0.3"/>
    <row r="570" s="56" customFormat="1" x14ac:dyDescent="0.3"/>
    <row r="571" s="56" customFormat="1" x14ac:dyDescent="0.3"/>
    <row r="572" s="56" customFormat="1" x14ac:dyDescent="0.3"/>
    <row r="573" s="56" customFormat="1" x14ac:dyDescent="0.3"/>
    <row r="574" s="56" customFormat="1" x14ac:dyDescent="0.3"/>
    <row r="575" s="56" customFormat="1" x14ac:dyDescent="0.3"/>
    <row r="576" s="56" customFormat="1" x14ac:dyDescent="0.3"/>
    <row r="577" s="56" customFormat="1" x14ac:dyDescent="0.3"/>
    <row r="578" s="56" customFormat="1" x14ac:dyDescent="0.3"/>
    <row r="579" s="56" customFormat="1" x14ac:dyDescent="0.3"/>
    <row r="580" s="56" customFormat="1" x14ac:dyDescent="0.3"/>
    <row r="581" s="56" customFormat="1" x14ac:dyDescent="0.3"/>
    <row r="582" s="56" customFormat="1" x14ac:dyDescent="0.3"/>
    <row r="583" s="56" customFormat="1" x14ac:dyDescent="0.3"/>
    <row r="584" s="56" customFormat="1" x14ac:dyDescent="0.3"/>
    <row r="585" s="56" customFormat="1" x14ac:dyDescent="0.3"/>
    <row r="586" s="56" customFormat="1" x14ac:dyDescent="0.3"/>
    <row r="587" s="56" customFormat="1" x14ac:dyDescent="0.3"/>
    <row r="588" s="56" customFormat="1" x14ac:dyDescent="0.3"/>
    <row r="589" s="56" customFormat="1" x14ac:dyDescent="0.3"/>
    <row r="590" s="56" customFormat="1" x14ac:dyDescent="0.3"/>
    <row r="591" s="56" customFormat="1" x14ac:dyDescent="0.3"/>
    <row r="592" s="56" customFormat="1" x14ac:dyDescent="0.3"/>
    <row r="593" s="56" customFormat="1" x14ac:dyDescent="0.3"/>
    <row r="594" s="56" customFormat="1" x14ac:dyDescent="0.3"/>
    <row r="595" s="56" customFormat="1" x14ac:dyDescent="0.3"/>
    <row r="596" s="56" customFormat="1" x14ac:dyDescent="0.3"/>
    <row r="597" s="56" customFormat="1" x14ac:dyDescent="0.3"/>
    <row r="598" s="56" customFormat="1" x14ac:dyDescent="0.3"/>
    <row r="599" s="56" customFormat="1" x14ac:dyDescent="0.3"/>
    <row r="600" s="56" customFormat="1" x14ac:dyDescent="0.3"/>
    <row r="601" s="56" customFormat="1" x14ac:dyDescent="0.3"/>
    <row r="602" s="56" customFormat="1" x14ac:dyDescent="0.3"/>
    <row r="603" s="56" customFormat="1" x14ac:dyDescent="0.3"/>
    <row r="604" s="56" customFormat="1" x14ac:dyDescent="0.3"/>
    <row r="605" s="56" customFormat="1" x14ac:dyDescent="0.3"/>
    <row r="606" s="56" customFormat="1" x14ac:dyDescent="0.3"/>
    <row r="607" s="56" customFormat="1" x14ac:dyDescent="0.3"/>
    <row r="608" s="56" customFormat="1" x14ac:dyDescent="0.3"/>
    <row r="609" s="56" customFormat="1" x14ac:dyDescent="0.3"/>
    <row r="610" s="56" customFormat="1" x14ac:dyDescent="0.3"/>
    <row r="611" s="56" customFormat="1" x14ac:dyDescent="0.3"/>
    <row r="612" s="56" customFormat="1" x14ac:dyDescent="0.3"/>
    <row r="613" s="56" customFormat="1" x14ac:dyDescent="0.3"/>
    <row r="614" s="56" customFormat="1" x14ac:dyDescent="0.3"/>
    <row r="615" s="56" customFormat="1" x14ac:dyDescent="0.3"/>
    <row r="616" s="56" customFormat="1" x14ac:dyDescent="0.3"/>
    <row r="617" s="56" customFormat="1" x14ac:dyDescent="0.3"/>
    <row r="618" s="56" customFormat="1" x14ac:dyDescent="0.3"/>
    <row r="619" s="56" customFormat="1" x14ac:dyDescent="0.3"/>
    <row r="620" s="56" customFormat="1" x14ac:dyDescent="0.3"/>
    <row r="621" s="56" customFormat="1" x14ac:dyDescent="0.3"/>
    <row r="622" s="56" customFormat="1" x14ac:dyDescent="0.3"/>
    <row r="623" s="56" customFormat="1" x14ac:dyDescent="0.3"/>
    <row r="624" s="56" customFormat="1" x14ac:dyDescent="0.3"/>
    <row r="625" s="56" customFormat="1" x14ac:dyDescent="0.3"/>
    <row r="626" s="56" customFormat="1" x14ac:dyDescent="0.3"/>
    <row r="627" s="56" customFormat="1" x14ac:dyDescent="0.3"/>
    <row r="628" s="56" customFormat="1" x14ac:dyDescent="0.3"/>
    <row r="629" s="56" customFormat="1" x14ac:dyDescent="0.3"/>
    <row r="630" s="56" customFormat="1" x14ac:dyDescent="0.3"/>
    <row r="631" s="56" customFormat="1" x14ac:dyDescent="0.3"/>
    <row r="632" s="56" customFormat="1" x14ac:dyDescent="0.3"/>
    <row r="633" s="56" customFormat="1" x14ac:dyDescent="0.3"/>
    <row r="634" s="56" customFormat="1" x14ac:dyDescent="0.3"/>
    <row r="635" s="56" customFormat="1" x14ac:dyDescent="0.3"/>
    <row r="636" s="56" customFormat="1" x14ac:dyDescent="0.3"/>
    <row r="637" s="56" customFormat="1" x14ac:dyDescent="0.3"/>
    <row r="638" s="56" customFormat="1" x14ac:dyDescent="0.3"/>
    <row r="639" s="56" customFormat="1" x14ac:dyDescent="0.3"/>
    <row r="640" s="56" customFormat="1" x14ac:dyDescent="0.3"/>
    <row r="641" s="56" customFormat="1" x14ac:dyDescent="0.3"/>
    <row r="642" s="56" customFormat="1" x14ac:dyDescent="0.3"/>
    <row r="643" s="56" customFormat="1" x14ac:dyDescent="0.3"/>
    <row r="644" s="56" customFormat="1" x14ac:dyDescent="0.3"/>
    <row r="645" s="56" customFormat="1" x14ac:dyDescent="0.3"/>
    <row r="646" s="56" customFormat="1" x14ac:dyDescent="0.3"/>
    <row r="647" s="56" customFormat="1" x14ac:dyDescent="0.3"/>
    <row r="648" s="56" customFormat="1" x14ac:dyDescent="0.3"/>
    <row r="649" s="56" customFormat="1" x14ac:dyDescent="0.3"/>
    <row r="650" s="56" customFormat="1" x14ac:dyDescent="0.3"/>
    <row r="651" s="56" customFormat="1" x14ac:dyDescent="0.3"/>
    <row r="652" s="56" customFormat="1" x14ac:dyDescent="0.3"/>
    <row r="653" s="56" customFormat="1" x14ac:dyDescent="0.3"/>
    <row r="654" s="56" customFormat="1" x14ac:dyDescent="0.3"/>
    <row r="655" s="56" customFormat="1" x14ac:dyDescent="0.3"/>
    <row r="656" s="56" customFormat="1" x14ac:dyDescent="0.3"/>
    <row r="657" s="56" customFormat="1" x14ac:dyDescent="0.3"/>
    <row r="658" s="56" customFormat="1" x14ac:dyDescent="0.3"/>
    <row r="659" s="56" customFormat="1" x14ac:dyDescent="0.3"/>
    <row r="660" s="56" customFormat="1" x14ac:dyDescent="0.3"/>
    <row r="661" s="56" customFormat="1" x14ac:dyDescent="0.3"/>
    <row r="662" s="56" customFormat="1" x14ac:dyDescent="0.3"/>
    <row r="663" s="56" customFormat="1" x14ac:dyDescent="0.3"/>
    <row r="664" s="56" customFormat="1" x14ac:dyDescent="0.3"/>
    <row r="665" s="56" customFormat="1" x14ac:dyDescent="0.3"/>
    <row r="666" s="56" customFormat="1" x14ac:dyDescent="0.3"/>
    <row r="667" s="56" customFormat="1" x14ac:dyDescent="0.3"/>
    <row r="668" s="56" customFormat="1" x14ac:dyDescent="0.3"/>
    <row r="669" s="56" customFormat="1" x14ac:dyDescent="0.3"/>
    <row r="670" s="56" customFormat="1" x14ac:dyDescent="0.3"/>
    <row r="671" s="56" customFormat="1" x14ac:dyDescent="0.3"/>
    <row r="672" s="56" customFormat="1" x14ac:dyDescent="0.3"/>
    <row r="673" s="56" customFormat="1" x14ac:dyDescent="0.3"/>
    <row r="674" s="56" customFormat="1" x14ac:dyDescent="0.3"/>
    <row r="675" s="56" customFormat="1" x14ac:dyDescent="0.3"/>
    <row r="676" s="56" customFormat="1" x14ac:dyDescent="0.3"/>
    <row r="677" s="56" customFormat="1" x14ac:dyDescent="0.3"/>
    <row r="678" s="56" customFormat="1" x14ac:dyDescent="0.3"/>
    <row r="679" s="56" customFormat="1" x14ac:dyDescent="0.3"/>
    <row r="680" s="56" customFormat="1" x14ac:dyDescent="0.3"/>
    <row r="681" s="56" customFormat="1" x14ac:dyDescent="0.3"/>
    <row r="682" s="56" customFormat="1" x14ac:dyDescent="0.3"/>
    <row r="683" s="56" customFormat="1" x14ac:dyDescent="0.3"/>
    <row r="684" s="56" customFormat="1" x14ac:dyDescent="0.3"/>
    <row r="685" s="56" customFormat="1" x14ac:dyDescent="0.3"/>
    <row r="686" s="56" customFormat="1" x14ac:dyDescent="0.3"/>
    <row r="687" s="56" customFormat="1" x14ac:dyDescent="0.3"/>
    <row r="688" s="56" customFormat="1" x14ac:dyDescent="0.3"/>
    <row r="689" s="56" customFormat="1" x14ac:dyDescent="0.3"/>
    <row r="690" s="56" customFormat="1" x14ac:dyDescent="0.3"/>
    <row r="691" s="56" customFormat="1" x14ac:dyDescent="0.3"/>
    <row r="692" s="56" customFormat="1" x14ac:dyDescent="0.3"/>
    <row r="693" s="56" customFormat="1" x14ac:dyDescent="0.3"/>
    <row r="694" s="56" customFormat="1" x14ac:dyDescent="0.3"/>
    <row r="695" s="56" customFormat="1" x14ac:dyDescent="0.3"/>
    <row r="696" s="56" customFormat="1" x14ac:dyDescent="0.3"/>
    <row r="697" s="56" customFormat="1" x14ac:dyDescent="0.3"/>
    <row r="698" s="56" customFormat="1" x14ac:dyDescent="0.3"/>
    <row r="699" s="56" customFormat="1" x14ac:dyDescent="0.3"/>
    <row r="700" s="56" customFormat="1" x14ac:dyDescent="0.3"/>
    <row r="701" s="56" customFormat="1" x14ac:dyDescent="0.3"/>
    <row r="702" s="56" customFormat="1" x14ac:dyDescent="0.3"/>
    <row r="703" s="56" customFormat="1" x14ac:dyDescent="0.3"/>
    <row r="704" s="56" customFormat="1" x14ac:dyDescent="0.3"/>
    <row r="705" s="56" customFormat="1" x14ac:dyDescent="0.3"/>
    <row r="706" s="56" customFormat="1" x14ac:dyDescent="0.3"/>
    <row r="707" s="56" customFormat="1" x14ac:dyDescent="0.3"/>
    <row r="708" s="56" customFormat="1" x14ac:dyDescent="0.3"/>
    <row r="709" s="56" customFormat="1" x14ac:dyDescent="0.3"/>
    <row r="710" s="56" customFormat="1" x14ac:dyDescent="0.3"/>
    <row r="711" s="56" customFormat="1" x14ac:dyDescent="0.3"/>
    <row r="712" s="56" customFormat="1" x14ac:dyDescent="0.3"/>
    <row r="713" s="56" customFormat="1" x14ac:dyDescent="0.3"/>
    <row r="714" s="56" customFormat="1" x14ac:dyDescent="0.3"/>
    <row r="715" s="56" customFormat="1" x14ac:dyDescent="0.3"/>
    <row r="716" s="56" customFormat="1" x14ac:dyDescent="0.3"/>
    <row r="717" s="56" customFormat="1" x14ac:dyDescent="0.3"/>
    <row r="718" s="56" customFormat="1" x14ac:dyDescent="0.3"/>
    <row r="719" s="56" customFormat="1" x14ac:dyDescent="0.3"/>
    <row r="720" s="56" customFormat="1" x14ac:dyDescent="0.3"/>
    <row r="721" s="56" customFormat="1" x14ac:dyDescent="0.3"/>
    <row r="722" s="56" customFormat="1" x14ac:dyDescent="0.3"/>
    <row r="723" s="56" customFormat="1" x14ac:dyDescent="0.3"/>
    <row r="724" s="56" customFormat="1" x14ac:dyDescent="0.3"/>
    <row r="725" s="56" customFormat="1" x14ac:dyDescent="0.3"/>
    <row r="726" s="56" customFormat="1" x14ac:dyDescent="0.3"/>
    <row r="727" s="56" customFormat="1" x14ac:dyDescent="0.3"/>
    <row r="728" s="56" customFormat="1" x14ac:dyDescent="0.3"/>
    <row r="729" s="56" customFormat="1" x14ac:dyDescent="0.3"/>
    <row r="730" s="56" customFormat="1" x14ac:dyDescent="0.3"/>
    <row r="731" s="56" customFormat="1" x14ac:dyDescent="0.3"/>
    <row r="732" s="56" customFormat="1" x14ac:dyDescent="0.3"/>
    <row r="733" s="56" customFormat="1" x14ac:dyDescent="0.3"/>
    <row r="734" s="56" customFormat="1" x14ac:dyDescent="0.3"/>
    <row r="735" s="56" customFormat="1" x14ac:dyDescent="0.3"/>
    <row r="736" s="56" customFormat="1" x14ac:dyDescent="0.3"/>
    <row r="737" s="56" customFormat="1" x14ac:dyDescent="0.3"/>
    <row r="738" s="56" customFormat="1" x14ac:dyDescent="0.3"/>
    <row r="739" s="56" customFormat="1" x14ac:dyDescent="0.3"/>
    <row r="740" s="56" customFormat="1" x14ac:dyDescent="0.3"/>
    <row r="741" s="56" customFormat="1" x14ac:dyDescent="0.3"/>
    <row r="742" s="56" customFormat="1" x14ac:dyDescent="0.3"/>
    <row r="743" s="56" customFormat="1" x14ac:dyDescent="0.3"/>
    <row r="744" s="56" customFormat="1" x14ac:dyDescent="0.3"/>
    <row r="745" s="56" customFormat="1" x14ac:dyDescent="0.3"/>
    <row r="746" s="56" customFormat="1" x14ac:dyDescent="0.3"/>
    <row r="747" s="56" customFormat="1" x14ac:dyDescent="0.3"/>
    <row r="748" s="56" customFormat="1" x14ac:dyDescent="0.3"/>
    <row r="749" s="56" customFormat="1" x14ac:dyDescent="0.3"/>
    <row r="750" s="56" customFormat="1" x14ac:dyDescent="0.3"/>
    <row r="751" s="56" customFormat="1" x14ac:dyDescent="0.3"/>
    <row r="752" s="56" customFormat="1" x14ac:dyDescent="0.3"/>
    <row r="753" s="56" customFormat="1" x14ac:dyDescent="0.3"/>
    <row r="754" s="56" customFormat="1" x14ac:dyDescent="0.3"/>
    <row r="755" s="56" customFormat="1" x14ac:dyDescent="0.3"/>
    <row r="756" s="56" customFormat="1" x14ac:dyDescent="0.3"/>
    <row r="757" s="56" customFormat="1" x14ac:dyDescent="0.3"/>
    <row r="758" s="56" customFormat="1" x14ac:dyDescent="0.3"/>
    <row r="759" s="56" customFormat="1" x14ac:dyDescent="0.3"/>
    <row r="760" s="56" customFormat="1" x14ac:dyDescent="0.3"/>
    <row r="761" s="56" customFormat="1" x14ac:dyDescent="0.3"/>
    <row r="762" s="56" customFormat="1" x14ac:dyDescent="0.3"/>
    <row r="763" s="56" customFormat="1" x14ac:dyDescent="0.3"/>
    <row r="764" s="56" customFormat="1" x14ac:dyDescent="0.3"/>
    <row r="765" s="56" customFormat="1" x14ac:dyDescent="0.3"/>
    <row r="766" s="56" customFormat="1" x14ac:dyDescent="0.3"/>
    <row r="767" s="56" customFormat="1" x14ac:dyDescent="0.3"/>
    <row r="768" s="56" customFormat="1" x14ac:dyDescent="0.3"/>
    <row r="769" s="56" customFormat="1" x14ac:dyDescent="0.3"/>
    <row r="770" s="56" customFormat="1" x14ac:dyDescent="0.3"/>
    <row r="771" s="56" customFormat="1" x14ac:dyDescent="0.3"/>
    <row r="772" s="56" customFormat="1" x14ac:dyDescent="0.3"/>
    <row r="773" s="56" customFormat="1" x14ac:dyDescent="0.3"/>
    <row r="774" s="56" customFormat="1" x14ac:dyDescent="0.3"/>
    <row r="775" s="56" customFormat="1" x14ac:dyDescent="0.3"/>
    <row r="776" s="56" customFormat="1" x14ac:dyDescent="0.3"/>
    <row r="777" s="56" customFormat="1" x14ac:dyDescent="0.3"/>
    <row r="778" s="56" customFormat="1" x14ac:dyDescent="0.3"/>
    <row r="779" s="56" customFormat="1" x14ac:dyDescent="0.3"/>
    <row r="780" s="56" customFormat="1" x14ac:dyDescent="0.3"/>
    <row r="781" s="56" customFormat="1" x14ac:dyDescent="0.3"/>
    <row r="782" s="56" customFormat="1" x14ac:dyDescent="0.3"/>
    <row r="783" s="56" customFormat="1" x14ac:dyDescent="0.3"/>
    <row r="784" s="56" customFormat="1" x14ac:dyDescent="0.3"/>
    <row r="785" s="56" customFormat="1" x14ac:dyDescent="0.3"/>
    <row r="786" s="56" customFormat="1" x14ac:dyDescent="0.3"/>
    <row r="787" s="56" customFormat="1" x14ac:dyDescent="0.3"/>
    <row r="788" s="56" customFormat="1" x14ac:dyDescent="0.3"/>
    <row r="789" s="56" customFormat="1" x14ac:dyDescent="0.3"/>
    <row r="790" s="56" customFormat="1" x14ac:dyDescent="0.3"/>
    <row r="791" s="56" customFormat="1" x14ac:dyDescent="0.3"/>
    <row r="792" s="56" customFormat="1" x14ac:dyDescent="0.3"/>
    <row r="793" s="56" customFormat="1" x14ac:dyDescent="0.3"/>
    <row r="794" s="56" customFormat="1" x14ac:dyDescent="0.3"/>
    <row r="795" s="56" customFormat="1" x14ac:dyDescent="0.3"/>
    <row r="796" s="56" customFormat="1" x14ac:dyDescent="0.3"/>
    <row r="797" s="56" customFormat="1" x14ac:dyDescent="0.3"/>
    <row r="798" s="56" customFormat="1" x14ac:dyDescent="0.3"/>
    <row r="799" s="56" customFormat="1" x14ac:dyDescent="0.3"/>
    <row r="800" s="56" customFormat="1" x14ac:dyDescent="0.3"/>
    <row r="801" s="56" customFormat="1" x14ac:dyDescent="0.3"/>
    <row r="802" s="56" customFormat="1" x14ac:dyDescent="0.3"/>
    <row r="803" s="56" customFormat="1" x14ac:dyDescent="0.3"/>
    <row r="804" s="56" customFormat="1" x14ac:dyDescent="0.3"/>
    <row r="805" s="56" customFormat="1" x14ac:dyDescent="0.3"/>
    <row r="806" s="56" customFormat="1" x14ac:dyDescent="0.3"/>
    <row r="807" s="56" customFormat="1" x14ac:dyDescent="0.3"/>
    <row r="808" s="56" customFormat="1" x14ac:dyDescent="0.3"/>
    <row r="809" s="56" customFormat="1" x14ac:dyDescent="0.3"/>
    <row r="810" s="56" customFormat="1" x14ac:dyDescent="0.3"/>
    <row r="811" s="56" customFormat="1" x14ac:dyDescent="0.3"/>
    <row r="812" s="56" customFormat="1" x14ac:dyDescent="0.3"/>
    <row r="813" s="56" customFormat="1" x14ac:dyDescent="0.3"/>
    <row r="814" s="56" customFormat="1" x14ac:dyDescent="0.3"/>
    <row r="815" s="56" customFormat="1" x14ac:dyDescent="0.3"/>
    <row r="816" s="56" customFormat="1" x14ac:dyDescent="0.3"/>
    <row r="817" s="56" customFormat="1" x14ac:dyDescent="0.3"/>
    <row r="818" s="56" customFormat="1" x14ac:dyDescent="0.3"/>
    <row r="819" s="56" customFormat="1" x14ac:dyDescent="0.3"/>
    <row r="820" s="56" customFormat="1" x14ac:dyDescent="0.3"/>
    <row r="821" s="56" customFormat="1" x14ac:dyDescent="0.3"/>
    <row r="822" s="56" customFormat="1" x14ac:dyDescent="0.3"/>
    <row r="823" s="56" customFormat="1" x14ac:dyDescent="0.3"/>
    <row r="824" s="56" customFormat="1" x14ac:dyDescent="0.3"/>
    <row r="825" s="56" customFormat="1" x14ac:dyDescent="0.3"/>
    <row r="826" s="56" customFormat="1" x14ac:dyDescent="0.3"/>
    <row r="827" s="56" customFormat="1" x14ac:dyDescent="0.3"/>
    <row r="828" s="56" customFormat="1" x14ac:dyDescent="0.3"/>
    <row r="829" s="56" customFormat="1" x14ac:dyDescent="0.3"/>
    <row r="830" s="56" customFormat="1" x14ac:dyDescent="0.3"/>
    <row r="831" s="56" customFormat="1" x14ac:dyDescent="0.3"/>
    <row r="832" s="56" customFormat="1" x14ac:dyDescent="0.3"/>
    <row r="833" s="56" customFormat="1" x14ac:dyDescent="0.3"/>
    <row r="834" s="56" customFormat="1" x14ac:dyDescent="0.3"/>
    <row r="835" s="56" customFormat="1" x14ac:dyDescent="0.3"/>
    <row r="836" s="56" customFormat="1" x14ac:dyDescent="0.3"/>
    <row r="837" s="56" customFormat="1" x14ac:dyDescent="0.3"/>
    <row r="838" s="56" customFormat="1" x14ac:dyDescent="0.3"/>
    <row r="839" s="56" customFormat="1" x14ac:dyDescent="0.3"/>
    <row r="840" s="56" customFormat="1" x14ac:dyDescent="0.3"/>
    <row r="841" s="56" customFormat="1" x14ac:dyDescent="0.3"/>
    <row r="842" s="56" customFormat="1" x14ac:dyDescent="0.3"/>
    <row r="843" s="56" customFormat="1" x14ac:dyDescent="0.3"/>
    <row r="844" s="56" customFormat="1" x14ac:dyDescent="0.3"/>
    <row r="845" s="56" customFormat="1" x14ac:dyDescent="0.3"/>
    <row r="846" s="56" customFormat="1" x14ac:dyDescent="0.3"/>
    <row r="847" s="56" customFormat="1" x14ac:dyDescent="0.3"/>
    <row r="848" s="56" customFormat="1" x14ac:dyDescent="0.3"/>
    <row r="849" s="56" customFormat="1" x14ac:dyDescent="0.3"/>
    <row r="850" s="56" customFormat="1" x14ac:dyDescent="0.3"/>
    <row r="851" s="56" customFormat="1" x14ac:dyDescent="0.3"/>
    <row r="852" s="56" customFormat="1" x14ac:dyDescent="0.3"/>
    <row r="853" s="56" customFormat="1" x14ac:dyDescent="0.3"/>
    <row r="854" s="56" customFormat="1" x14ac:dyDescent="0.3"/>
    <row r="855" s="56" customFormat="1" x14ac:dyDescent="0.3"/>
    <row r="856" s="56" customFormat="1" x14ac:dyDescent="0.3"/>
    <row r="857" s="56" customFormat="1" x14ac:dyDescent="0.3"/>
    <row r="858" s="56" customFormat="1" x14ac:dyDescent="0.3"/>
    <row r="859" s="56" customFormat="1" x14ac:dyDescent="0.3"/>
    <row r="860" s="56" customFormat="1" x14ac:dyDescent="0.3"/>
    <row r="861" s="56" customFormat="1" x14ac:dyDescent="0.3"/>
    <row r="862" s="56" customFormat="1" x14ac:dyDescent="0.3"/>
    <row r="863" s="56" customFormat="1" x14ac:dyDescent="0.3"/>
    <row r="864" s="56" customFormat="1" x14ac:dyDescent="0.3"/>
    <row r="865" s="56" customFormat="1" x14ac:dyDescent="0.3"/>
    <row r="866" s="56" customFormat="1" x14ac:dyDescent="0.3"/>
    <row r="867" s="56" customFormat="1" x14ac:dyDescent="0.3"/>
    <row r="868" s="56" customFormat="1" x14ac:dyDescent="0.3"/>
    <row r="869" s="56" customFormat="1" x14ac:dyDescent="0.3"/>
    <row r="870" s="56" customFormat="1" x14ac:dyDescent="0.3"/>
    <row r="871" s="56" customFormat="1" x14ac:dyDescent="0.3"/>
    <row r="872" s="56" customFormat="1" x14ac:dyDescent="0.3"/>
    <row r="873" s="56" customFormat="1" x14ac:dyDescent="0.3"/>
    <row r="874" s="56" customFormat="1" x14ac:dyDescent="0.3"/>
    <row r="875" s="56" customFormat="1" x14ac:dyDescent="0.3"/>
    <row r="876" s="56" customFormat="1" x14ac:dyDescent="0.3"/>
    <row r="877" s="56" customFormat="1" x14ac:dyDescent="0.3"/>
    <row r="878" s="56" customFormat="1" x14ac:dyDescent="0.3"/>
    <row r="879" s="56" customFormat="1" x14ac:dyDescent="0.3"/>
    <row r="880" s="56" customFormat="1" x14ac:dyDescent="0.3"/>
    <row r="881" spans="7:9" s="56" customFormat="1" x14ac:dyDescent="0.3"/>
    <row r="882" spans="7:9" s="56" customFormat="1" x14ac:dyDescent="0.3"/>
    <row r="883" spans="7:9" s="56" customFormat="1" x14ac:dyDescent="0.3"/>
    <row r="884" spans="7:9" s="56" customFormat="1" x14ac:dyDescent="0.3"/>
    <row r="885" spans="7:9" s="56" customFormat="1" x14ac:dyDescent="0.3"/>
    <row r="886" spans="7:9" s="56" customFormat="1" x14ac:dyDescent="0.3"/>
    <row r="887" spans="7:9" s="56" customFormat="1" x14ac:dyDescent="0.3"/>
    <row r="888" spans="7:9" s="56" customFormat="1" x14ac:dyDescent="0.3"/>
    <row r="889" spans="7:9" s="56" customFormat="1" x14ac:dyDescent="0.3"/>
    <row r="890" spans="7:9" s="56" customFormat="1" x14ac:dyDescent="0.3"/>
    <row r="891" spans="7:9" s="56" customFormat="1" x14ac:dyDescent="0.3"/>
    <row r="892" spans="7:9" s="56" customFormat="1" x14ac:dyDescent="0.3"/>
    <row r="893" spans="7:9" s="56" customFormat="1" x14ac:dyDescent="0.3"/>
    <row r="894" spans="7:9" s="56" customFormat="1" x14ac:dyDescent="0.3"/>
    <row r="895" spans="7:9" s="56" customFormat="1" x14ac:dyDescent="0.3"/>
    <row r="896" spans="7:9" s="56" customFormat="1" x14ac:dyDescent="0.3">
      <c r="G896" s="57"/>
      <c r="I896" s="96"/>
    </row>
    <row r="897" spans="7:9" s="56" customFormat="1" x14ac:dyDescent="0.3">
      <c r="G897" s="57"/>
      <c r="I897" s="96"/>
    </row>
    <row r="898" spans="7:9" s="56" customFormat="1" x14ac:dyDescent="0.3">
      <c r="G898" s="57"/>
      <c r="I898" s="96"/>
    </row>
    <row r="899" spans="7:9" s="56" customFormat="1" x14ac:dyDescent="0.3">
      <c r="G899" s="57"/>
      <c r="I899" s="96"/>
    </row>
    <row r="900" spans="7:9" s="56" customFormat="1" x14ac:dyDescent="0.3">
      <c r="G900" s="57"/>
      <c r="I900" s="96"/>
    </row>
    <row r="901" spans="7:9" s="56" customFormat="1" x14ac:dyDescent="0.3">
      <c r="G901" s="57"/>
      <c r="I901" s="96"/>
    </row>
    <row r="902" spans="7:9" s="56" customFormat="1" x14ac:dyDescent="0.3">
      <c r="G902" s="57"/>
      <c r="I902" s="96"/>
    </row>
    <row r="903" spans="7:9" s="50" customFormat="1" x14ac:dyDescent="0.3">
      <c r="G903" s="51"/>
      <c r="I903" s="97"/>
    </row>
    <row r="904" spans="7:9" s="50" customFormat="1" x14ac:dyDescent="0.3">
      <c r="G904" s="51"/>
      <c r="I904" s="97"/>
    </row>
    <row r="905" spans="7:9" s="50" customFormat="1" x14ac:dyDescent="0.3">
      <c r="G905" s="51"/>
      <c r="I905" s="97"/>
    </row>
    <row r="906" spans="7:9" s="50" customFormat="1" x14ac:dyDescent="0.3">
      <c r="G906" s="51"/>
      <c r="I906" s="97"/>
    </row>
    <row r="907" spans="7:9" s="50" customFormat="1" x14ac:dyDescent="0.3">
      <c r="G907" s="51"/>
      <c r="I907" s="97"/>
    </row>
    <row r="908" spans="7:9" s="50" customFormat="1" x14ac:dyDescent="0.3">
      <c r="G908" s="51"/>
      <c r="I908" s="97"/>
    </row>
    <row r="909" spans="7:9" s="50" customFormat="1" x14ac:dyDescent="0.3">
      <c r="G909" s="51"/>
      <c r="I909" s="97"/>
    </row>
    <row r="910" spans="7:9" s="50" customFormat="1" x14ac:dyDescent="0.3">
      <c r="G910" s="51"/>
      <c r="I910" s="97"/>
    </row>
    <row r="911" spans="7:9" s="50" customFormat="1" x14ac:dyDescent="0.3">
      <c r="G911" s="51"/>
      <c r="I911" s="97"/>
    </row>
    <row r="912" spans="7:9" s="50" customFormat="1" x14ac:dyDescent="0.3">
      <c r="G912" s="51"/>
      <c r="I912" s="97"/>
    </row>
    <row r="913" spans="7:9" s="50" customFormat="1" x14ac:dyDescent="0.3">
      <c r="G913" s="51"/>
      <c r="I913" s="97"/>
    </row>
    <row r="914" spans="7:9" s="50" customFormat="1" x14ac:dyDescent="0.3">
      <c r="G914" s="51"/>
      <c r="I914" s="97"/>
    </row>
    <row r="915" spans="7:9" s="50" customFormat="1" x14ac:dyDescent="0.3">
      <c r="G915" s="51"/>
      <c r="I915" s="97"/>
    </row>
    <row r="916" spans="7:9" s="50" customFormat="1" x14ac:dyDescent="0.3">
      <c r="G916" s="51"/>
      <c r="I916" s="97"/>
    </row>
    <row r="917" spans="7:9" s="50" customFormat="1" x14ac:dyDescent="0.3">
      <c r="G917" s="51"/>
      <c r="I917" s="97"/>
    </row>
    <row r="918" spans="7:9" s="50" customFormat="1" x14ac:dyDescent="0.3">
      <c r="G918" s="51"/>
      <c r="I918" s="97"/>
    </row>
    <row r="919" spans="7:9" s="50" customFormat="1" x14ac:dyDescent="0.3">
      <c r="G919" s="51"/>
      <c r="I919" s="97"/>
    </row>
    <row r="920" spans="7:9" s="50" customFormat="1" x14ac:dyDescent="0.3">
      <c r="G920" s="51"/>
      <c r="I920" s="97"/>
    </row>
    <row r="921" spans="7:9" s="50" customFormat="1" x14ac:dyDescent="0.3">
      <c r="G921" s="51"/>
      <c r="I921" s="97"/>
    </row>
    <row r="922" spans="7:9" s="50" customFormat="1" x14ac:dyDescent="0.3">
      <c r="G922" s="51"/>
      <c r="I922" s="97"/>
    </row>
    <row r="923" spans="7:9" s="50" customFormat="1" x14ac:dyDescent="0.3">
      <c r="G923" s="51"/>
      <c r="I923" s="97"/>
    </row>
    <row r="924" spans="7:9" s="50" customFormat="1" x14ac:dyDescent="0.3">
      <c r="G924" s="51"/>
      <c r="I924" s="97"/>
    </row>
    <row r="925" spans="7:9" s="50" customFormat="1" x14ac:dyDescent="0.3">
      <c r="G925" s="51"/>
      <c r="I925" s="97"/>
    </row>
    <row r="926" spans="7:9" s="50" customFormat="1" x14ac:dyDescent="0.3">
      <c r="G926" s="51"/>
      <c r="I926" s="97"/>
    </row>
    <row r="927" spans="7:9" s="50" customFormat="1" x14ac:dyDescent="0.3">
      <c r="G927" s="51"/>
      <c r="I927" s="97"/>
    </row>
    <row r="928" spans="7:9" s="50" customFormat="1" x14ac:dyDescent="0.3">
      <c r="G928" s="51"/>
      <c r="I928" s="97"/>
    </row>
    <row r="929" spans="7:9" s="50" customFormat="1" x14ac:dyDescent="0.3">
      <c r="G929" s="51"/>
      <c r="I929" s="97"/>
    </row>
    <row r="930" spans="7:9" s="50" customFormat="1" x14ac:dyDescent="0.3">
      <c r="G930" s="51"/>
      <c r="I930" s="97"/>
    </row>
    <row r="931" spans="7:9" s="50" customFormat="1" x14ac:dyDescent="0.3">
      <c r="G931" s="51"/>
      <c r="I931" s="97"/>
    </row>
    <row r="932" spans="7:9" s="50" customFormat="1" x14ac:dyDescent="0.3">
      <c r="G932" s="51"/>
      <c r="I932" s="97"/>
    </row>
    <row r="933" spans="7:9" s="50" customFormat="1" x14ac:dyDescent="0.3">
      <c r="G933" s="51"/>
      <c r="I933" s="97"/>
    </row>
    <row r="934" spans="7:9" s="50" customFormat="1" x14ac:dyDescent="0.3">
      <c r="G934" s="51"/>
      <c r="I934" s="97"/>
    </row>
    <row r="935" spans="7:9" s="50" customFormat="1" x14ac:dyDescent="0.3">
      <c r="G935" s="51"/>
      <c r="I935" s="97"/>
    </row>
    <row r="936" spans="7:9" s="50" customFormat="1" x14ac:dyDescent="0.3">
      <c r="G936" s="51"/>
      <c r="I936" s="97"/>
    </row>
    <row r="937" spans="7:9" s="50" customFormat="1" x14ac:dyDescent="0.3">
      <c r="G937" s="51"/>
      <c r="I937" s="97"/>
    </row>
    <row r="938" spans="7:9" s="50" customFormat="1" x14ac:dyDescent="0.3">
      <c r="G938" s="51"/>
      <c r="I938" s="97"/>
    </row>
    <row r="939" spans="7:9" s="50" customFormat="1" x14ac:dyDescent="0.3">
      <c r="G939" s="51"/>
      <c r="I939" s="97"/>
    </row>
    <row r="940" spans="7:9" s="50" customFormat="1" x14ac:dyDescent="0.3">
      <c r="G940" s="51"/>
      <c r="I940" s="97"/>
    </row>
    <row r="941" spans="7:9" s="50" customFormat="1" x14ac:dyDescent="0.3">
      <c r="G941" s="51"/>
      <c r="I941" s="97"/>
    </row>
    <row r="942" spans="7:9" s="50" customFormat="1" x14ac:dyDescent="0.3">
      <c r="G942" s="51"/>
      <c r="I942" s="97"/>
    </row>
    <row r="943" spans="7:9" s="50" customFormat="1" x14ac:dyDescent="0.3">
      <c r="G943" s="51"/>
      <c r="I943" s="97"/>
    </row>
    <row r="944" spans="7:9" s="50" customFormat="1" x14ac:dyDescent="0.3">
      <c r="G944" s="51"/>
      <c r="I944" s="97"/>
    </row>
    <row r="945" spans="7:9" s="50" customFormat="1" x14ac:dyDescent="0.3">
      <c r="G945" s="51"/>
      <c r="I945" s="97"/>
    </row>
    <row r="946" spans="7:9" s="50" customFormat="1" x14ac:dyDescent="0.3">
      <c r="G946" s="51"/>
      <c r="I946" s="97"/>
    </row>
    <row r="947" spans="7:9" s="50" customFormat="1" x14ac:dyDescent="0.3">
      <c r="G947" s="51"/>
      <c r="I947" s="97"/>
    </row>
    <row r="948" spans="7:9" s="50" customFormat="1" x14ac:dyDescent="0.3">
      <c r="G948" s="51"/>
      <c r="I948" s="97"/>
    </row>
    <row r="949" spans="7:9" s="50" customFormat="1" x14ac:dyDescent="0.3">
      <c r="G949" s="51"/>
      <c r="I949" s="97"/>
    </row>
    <row r="950" spans="7:9" s="50" customFormat="1" x14ac:dyDescent="0.3">
      <c r="G950" s="51"/>
      <c r="I950" s="97"/>
    </row>
    <row r="951" spans="7:9" s="50" customFormat="1" x14ac:dyDescent="0.3">
      <c r="G951" s="51"/>
      <c r="I951" s="97"/>
    </row>
    <row r="952" spans="7:9" s="50" customFormat="1" x14ac:dyDescent="0.3">
      <c r="G952" s="51"/>
      <c r="I952" s="97"/>
    </row>
    <row r="953" spans="7:9" s="50" customFormat="1" x14ac:dyDescent="0.3">
      <c r="G953" s="51"/>
      <c r="I953" s="97"/>
    </row>
    <row r="954" spans="7:9" s="50" customFormat="1" x14ac:dyDescent="0.3">
      <c r="G954" s="51"/>
      <c r="I954" s="97"/>
    </row>
    <row r="955" spans="7:9" s="50" customFormat="1" x14ac:dyDescent="0.3">
      <c r="G955" s="51"/>
      <c r="I955" s="97"/>
    </row>
    <row r="956" spans="7:9" s="50" customFormat="1" x14ac:dyDescent="0.3">
      <c r="G956" s="51"/>
      <c r="I956" s="97"/>
    </row>
    <row r="957" spans="7:9" s="50" customFormat="1" x14ac:dyDescent="0.3">
      <c r="G957" s="51"/>
      <c r="I957" s="97"/>
    </row>
    <row r="958" spans="7:9" s="50" customFormat="1" x14ac:dyDescent="0.3">
      <c r="G958" s="51"/>
      <c r="I958" s="97"/>
    </row>
    <row r="959" spans="7:9" s="50" customFormat="1" x14ac:dyDescent="0.3">
      <c r="G959" s="51"/>
      <c r="I959" s="97"/>
    </row>
    <row r="960" spans="7:9" s="50" customFormat="1" x14ac:dyDescent="0.3">
      <c r="G960" s="51"/>
      <c r="I960" s="97"/>
    </row>
    <row r="961" spans="7:9" s="50" customFormat="1" x14ac:dyDescent="0.3">
      <c r="G961" s="51"/>
      <c r="I961" s="97"/>
    </row>
    <row r="962" spans="7:9" s="50" customFormat="1" x14ac:dyDescent="0.3">
      <c r="G962" s="51"/>
      <c r="I962" s="97"/>
    </row>
    <row r="963" spans="7:9" s="50" customFormat="1" x14ac:dyDescent="0.3">
      <c r="G963" s="51"/>
      <c r="I963" s="97"/>
    </row>
    <row r="964" spans="7:9" s="50" customFormat="1" x14ac:dyDescent="0.3">
      <c r="G964" s="51"/>
      <c r="I964" s="97"/>
    </row>
    <row r="965" spans="7:9" s="50" customFormat="1" x14ac:dyDescent="0.3">
      <c r="G965" s="51"/>
      <c r="I965" s="97"/>
    </row>
    <row r="966" spans="7:9" s="50" customFormat="1" x14ac:dyDescent="0.3">
      <c r="G966" s="51"/>
      <c r="I966" s="97"/>
    </row>
    <row r="967" spans="7:9" s="50" customFormat="1" x14ac:dyDescent="0.3">
      <c r="G967" s="51"/>
      <c r="I967" s="97"/>
    </row>
    <row r="968" spans="7:9" s="50" customFormat="1" x14ac:dyDescent="0.3">
      <c r="G968" s="51"/>
      <c r="I968" s="97"/>
    </row>
    <row r="969" spans="7:9" s="50" customFormat="1" x14ac:dyDescent="0.3">
      <c r="G969" s="51"/>
      <c r="I969" s="97"/>
    </row>
    <row r="970" spans="7:9" s="50" customFormat="1" x14ac:dyDescent="0.3">
      <c r="G970" s="51"/>
      <c r="I970" s="97"/>
    </row>
    <row r="971" spans="7:9" s="50" customFormat="1" x14ac:dyDescent="0.3">
      <c r="G971" s="51"/>
      <c r="I971" s="97"/>
    </row>
    <row r="972" spans="7:9" s="50" customFormat="1" x14ac:dyDescent="0.3">
      <c r="G972" s="51"/>
      <c r="I972" s="97"/>
    </row>
    <row r="973" spans="7:9" s="50" customFormat="1" x14ac:dyDescent="0.3">
      <c r="G973" s="51"/>
      <c r="I973" s="97"/>
    </row>
    <row r="974" spans="7:9" s="50" customFormat="1" x14ac:dyDescent="0.3">
      <c r="G974" s="51"/>
      <c r="I974" s="97"/>
    </row>
    <row r="975" spans="7:9" s="50" customFormat="1" x14ac:dyDescent="0.3">
      <c r="G975" s="51"/>
      <c r="I975" s="97"/>
    </row>
    <row r="976" spans="7:9" s="50" customFormat="1" x14ac:dyDescent="0.3">
      <c r="G976" s="51"/>
      <c r="I976" s="97"/>
    </row>
    <row r="977" spans="7:9" s="50" customFormat="1" x14ac:dyDescent="0.3">
      <c r="G977" s="51"/>
      <c r="I977" s="97"/>
    </row>
    <row r="978" spans="7:9" s="50" customFormat="1" x14ac:dyDescent="0.3">
      <c r="G978" s="51"/>
      <c r="I978" s="97"/>
    </row>
    <row r="979" spans="7:9" s="50" customFormat="1" x14ac:dyDescent="0.3">
      <c r="G979" s="51"/>
      <c r="I979" s="97"/>
    </row>
    <row r="980" spans="7:9" s="50" customFormat="1" x14ac:dyDescent="0.3">
      <c r="G980" s="51"/>
      <c r="I980" s="97"/>
    </row>
    <row r="981" spans="7:9" s="50" customFormat="1" x14ac:dyDescent="0.3">
      <c r="G981" s="51"/>
      <c r="I981" s="97"/>
    </row>
    <row r="982" spans="7:9" s="50" customFormat="1" x14ac:dyDescent="0.3">
      <c r="G982" s="51"/>
      <c r="I982" s="97"/>
    </row>
    <row r="983" spans="7:9" s="50" customFormat="1" x14ac:dyDescent="0.3">
      <c r="G983" s="51"/>
      <c r="I983" s="97"/>
    </row>
    <row r="984" spans="7:9" s="50" customFormat="1" x14ac:dyDescent="0.3">
      <c r="G984" s="51"/>
      <c r="I984" s="97"/>
    </row>
    <row r="985" spans="7:9" s="50" customFormat="1" x14ac:dyDescent="0.3">
      <c r="G985" s="51"/>
      <c r="I985" s="97"/>
    </row>
    <row r="986" spans="7:9" s="50" customFormat="1" x14ac:dyDescent="0.3">
      <c r="G986" s="51"/>
      <c r="I986" s="97"/>
    </row>
    <row r="987" spans="7:9" s="50" customFormat="1" x14ac:dyDescent="0.3">
      <c r="G987" s="51"/>
      <c r="I987" s="97"/>
    </row>
    <row r="988" spans="7:9" s="50" customFormat="1" x14ac:dyDescent="0.3">
      <c r="G988" s="51"/>
      <c r="I988" s="97"/>
    </row>
    <row r="989" spans="7:9" s="50" customFormat="1" x14ac:dyDescent="0.3">
      <c r="G989" s="51"/>
      <c r="I989" s="97"/>
    </row>
    <row r="990" spans="7:9" s="50" customFormat="1" x14ac:dyDescent="0.3">
      <c r="G990" s="51"/>
      <c r="I990" s="97"/>
    </row>
    <row r="991" spans="7:9" s="50" customFormat="1" x14ac:dyDescent="0.3">
      <c r="G991" s="51"/>
      <c r="I991" s="97"/>
    </row>
    <row r="992" spans="7:9" s="50" customFormat="1" x14ac:dyDescent="0.3">
      <c r="G992" s="51"/>
      <c r="I992" s="97"/>
    </row>
    <row r="993" spans="7:9" s="50" customFormat="1" x14ac:dyDescent="0.3">
      <c r="G993" s="51"/>
      <c r="I993" s="97"/>
    </row>
    <row r="994" spans="7:9" s="50" customFormat="1" x14ac:dyDescent="0.3">
      <c r="G994" s="51"/>
      <c r="I994" s="97"/>
    </row>
    <row r="995" spans="7:9" s="50" customFormat="1" x14ac:dyDescent="0.3">
      <c r="G995" s="51"/>
      <c r="I995" s="97"/>
    </row>
    <row r="996" spans="7:9" s="50" customFormat="1" x14ac:dyDescent="0.3">
      <c r="G996" s="51"/>
      <c r="I996" s="97"/>
    </row>
    <row r="997" spans="7:9" s="50" customFormat="1" x14ac:dyDescent="0.3">
      <c r="G997" s="51"/>
      <c r="I997" s="97"/>
    </row>
    <row r="998" spans="7:9" s="50" customFormat="1" x14ac:dyDescent="0.3">
      <c r="G998" s="51"/>
      <c r="I998" s="97"/>
    </row>
    <row r="999" spans="7:9" s="50" customFormat="1" x14ac:dyDescent="0.3">
      <c r="G999" s="51"/>
      <c r="I999" s="97"/>
    </row>
    <row r="1000" spans="7:9" s="50" customFormat="1" x14ac:dyDescent="0.3">
      <c r="G1000" s="51"/>
      <c r="I1000" s="97"/>
    </row>
    <row r="1001" spans="7:9" s="50" customFormat="1" x14ac:dyDescent="0.3">
      <c r="G1001" s="51"/>
      <c r="I1001" s="97"/>
    </row>
    <row r="1002" spans="7:9" s="50" customFormat="1" x14ac:dyDescent="0.3">
      <c r="G1002" s="51"/>
      <c r="I1002" s="97"/>
    </row>
    <row r="1003" spans="7:9" s="50" customFormat="1" x14ac:dyDescent="0.3">
      <c r="G1003" s="51"/>
      <c r="I1003" s="97"/>
    </row>
    <row r="1004" spans="7:9" s="50" customFormat="1" x14ac:dyDescent="0.3">
      <c r="G1004" s="51"/>
      <c r="I1004" s="97"/>
    </row>
    <row r="1005" spans="7:9" s="50" customFormat="1" x14ac:dyDescent="0.3">
      <c r="G1005" s="51"/>
      <c r="I1005" s="97"/>
    </row>
    <row r="1006" spans="7:9" s="50" customFormat="1" x14ac:dyDescent="0.3">
      <c r="G1006" s="51"/>
      <c r="I1006" s="97"/>
    </row>
    <row r="1007" spans="7:9" s="50" customFormat="1" x14ac:dyDescent="0.3">
      <c r="G1007" s="51"/>
      <c r="I1007" s="97"/>
    </row>
    <row r="1008" spans="7:9" s="50" customFormat="1" x14ac:dyDescent="0.3">
      <c r="G1008" s="51"/>
      <c r="I1008" s="97"/>
    </row>
    <row r="1009" spans="7:9" s="50" customFormat="1" x14ac:dyDescent="0.3">
      <c r="G1009" s="51"/>
      <c r="I1009" s="97"/>
    </row>
    <row r="1010" spans="7:9" s="50" customFormat="1" x14ac:dyDescent="0.3">
      <c r="G1010" s="51"/>
      <c r="I1010" s="97"/>
    </row>
    <row r="1011" spans="7:9" s="50" customFormat="1" x14ac:dyDescent="0.3">
      <c r="G1011" s="51"/>
      <c r="I1011" s="97"/>
    </row>
    <row r="1012" spans="7:9" s="50" customFormat="1" x14ac:dyDescent="0.3">
      <c r="G1012" s="51"/>
      <c r="I1012" s="97"/>
    </row>
    <row r="1013" spans="7:9" s="50" customFormat="1" x14ac:dyDescent="0.3">
      <c r="G1013" s="51"/>
      <c r="I1013" s="97"/>
    </row>
    <row r="1014" spans="7:9" s="50" customFormat="1" x14ac:dyDescent="0.3">
      <c r="G1014" s="51"/>
      <c r="I1014" s="97"/>
    </row>
    <row r="1015" spans="7:9" s="50" customFormat="1" x14ac:dyDescent="0.3">
      <c r="G1015" s="51"/>
      <c r="I1015" s="97"/>
    </row>
    <row r="1016" spans="7:9" s="50" customFormat="1" x14ac:dyDescent="0.3">
      <c r="G1016" s="51"/>
      <c r="I1016" s="97"/>
    </row>
    <row r="1017" spans="7:9" s="50" customFormat="1" x14ac:dyDescent="0.3">
      <c r="G1017" s="51"/>
      <c r="I1017" s="97"/>
    </row>
    <row r="1018" spans="7:9" s="50" customFormat="1" x14ac:dyDescent="0.3">
      <c r="G1018" s="51"/>
      <c r="I1018" s="97"/>
    </row>
    <row r="1019" spans="7:9" s="50" customFormat="1" x14ac:dyDescent="0.3">
      <c r="G1019" s="51"/>
      <c r="I1019" s="97"/>
    </row>
    <row r="1020" spans="7:9" s="50" customFormat="1" x14ac:dyDescent="0.3">
      <c r="G1020" s="51"/>
      <c r="I1020" s="97"/>
    </row>
    <row r="1021" spans="7:9" s="50" customFormat="1" x14ac:dyDescent="0.3">
      <c r="G1021" s="51"/>
      <c r="I1021" s="97"/>
    </row>
    <row r="1022" spans="7:9" s="50" customFormat="1" x14ac:dyDescent="0.3">
      <c r="G1022" s="51"/>
      <c r="I1022" s="97"/>
    </row>
    <row r="1023" spans="7:9" s="50" customFormat="1" x14ac:dyDescent="0.3">
      <c r="G1023" s="51"/>
      <c r="I1023" s="97"/>
    </row>
    <row r="1024" spans="7:9" s="50" customFormat="1" x14ac:dyDescent="0.3">
      <c r="G1024" s="51"/>
      <c r="I1024" s="97"/>
    </row>
    <row r="1025" spans="7:9" s="50" customFormat="1" x14ac:dyDescent="0.3">
      <c r="G1025" s="51"/>
      <c r="I1025" s="97"/>
    </row>
    <row r="1026" spans="7:9" s="50" customFormat="1" x14ac:dyDescent="0.3">
      <c r="G1026" s="51"/>
      <c r="I1026" s="97"/>
    </row>
    <row r="1027" spans="7:9" s="50" customFormat="1" x14ac:dyDescent="0.3">
      <c r="G1027" s="51"/>
      <c r="I1027" s="97"/>
    </row>
    <row r="1028" spans="7:9" s="50" customFormat="1" x14ac:dyDescent="0.3">
      <c r="G1028" s="51"/>
      <c r="I1028" s="97"/>
    </row>
    <row r="1029" spans="7:9" s="50" customFormat="1" x14ac:dyDescent="0.3">
      <c r="G1029" s="51"/>
      <c r="I1029" s="97"/>
    </row>
    <row r="1030" spans="7:9" s="50" customFormat="1" x14ac:dyDescent="0.3">
      <c r="G1030" s="51"/>
      <c r="I1030" s="97"/>
    </row>
    <row r="1031" spans="7:9" s="50" customFormat="1" x14ac:dyDescent="0.3">
      <c r="G1031" s="51"/>
      <c r="I1031" s="97"/>
    </row>
    <row r="1032" spans="7:9" s="50" customFormat="1" x14ac:dyDescent="0.3">
      <c r="G1032" s="51"/>
      <c r="I1032" s="97"/>
    </row>
    <row r="1033" spans="7:9" s="50" customFormat="1" x14ac:dyDescent="0.3">
      <c r="G1033" s="51"/>
      <c r="I1033" s="97"/>
    </row>
    <row r="1034" spans="7:9" s="50" customFormat="1" x14ac:dyDescent="0.3">
      <c r="G1034" s="51"/>
      <c r="I1034" s="97"/>
    </row>
    <row r="1035" spans="7:9" s="50" customFormat="1" x14ac:dyDescent="0.3">
      <c r="G1035" s="51"/>
      <c r="I1035" s="97"/>
    </row>
    <row r="1036" spans="7:9" s="50" customFormat="1" x14ac:dyDescent="0.3">
      <c r="G1036" s="51"/>
      <c r="I1036" s="97"/>
    </row>
    <row r="1037" spans="7:9" s="50" customFormat="1" x14ac:dyDescent="0.3">
      <c r="G1037" s="51"/>
      <c r="I1037" s="97"/>
    </row>
    <row r="1038" spans="7:9" s="50" customFormat="1" x14ac:dyDescent="0.3">
      <c r="G1038" s="51"/>
      <c r="I1038" s="97"/>
    </row>
    <row r="1039" spans="7:9" s="50" customFormat="1" x14ac:dyDescent="0.3">
      <c r="G1039" s="51"/>
      <c r="I1039" s="97"/>
    </row>
    <row r="1040" spans="7:9" s="50" customFormat="1" x14ac:dyDescent="0.3">
      <c r="G1040" s="51"/>
      <c r="I1040" s="97"/>
    </row>
    <row r="1041" spans="2:9" s="50" customFormat="1" x14ac:dyDescent="0.3">
      <c r="G1041" s="51"/>
      <c r="I1041" s="97"/>
    </row>
    <row r="1042" spans="2:9" s="50" customFormat="1" x14ac:dyDescent="0.3">
      <c r="G1042" s="51"/>
      <c r="I1042" s="97"/>
    </row>
    <row r="1043" spans="2:9" s="50" customFormat="1" x14ac:dyDescent="0.3">
      <c r="G1043" s="51"/>
      <c r="I1043" s="97"/>
    </row>
    <row r="1044" spans="2:9" s="50" customFormat="1" x14ac:dyDescent="0.3">
      <c r="G1044" s="51"/>
      <c r="I1044" s="97"/>
    </row>
    <row r="1045" spans="2:9" s="50" customFormat="1" x14ac:dyDescent="0.3">
      <c r="G1045" s="51"/>
      <c r="I1045" s="97"/>
    </row>
    <row r="1046" spans="2:9" s="50" customFormat="1" x14ac:dyDescent="0.3">
      <c r="G1046" s="51"/>
      <c r="I1046" s="97"/>
    </row>
    <row r="1047" spans="2:9" s="50" customFormat="1" x14ac:dyDescent="0.3">
      <c r="G1047" s="51"/>
      <c r="I1047" s="97"/>
    </row>
    <row r="1048" spans="2:9" s="50" customFormat="1" x14ac:dyDescent="0.3">
      <c r="G1048" s="51"/>
      <c r="I1048" s="97"/>
    </row>
    <row r="1049" spans="2:9" s="50" customFormat="1" x14ac:dyDescent="0.3">
      <c r="G1049" s="51"/>
      <c r="I1049" s="97"/>
    </row>
    <row r="1050" spans="2:9" s="50" customFormat="1" x14ac:dyDescent="0.3">
      <c r="G1050" s="51"/>
      <c r="I1050" s="97"/>
    </row>
    <row r="1051" spans="2:9" s="50" customFormat="1" x14ac:dyDescent="0.3">
      <c r="G1051" s="51"/>
      <c r="I1051" s="97"/>
    </row>
    <row r="1052" spans="2:9" s="50" customFormat="1" x14ac:dyDescent="0.3">
      <c r="G1052" s="51"/>
      <c r="I1052" s="97"/>
    </row>
    <row r="1053" spans="2:9" s="50" customFormat="1" x14ac:dyDescent="0.3">
      <c r="G1053" s="51"/>
      <c r="I1053" s="97"/>
    </row>
    <row r="1054" spans="2:9" s="50" customFormat="1" x14ac:dyDescent="0.3">
      <c r="G1054" s="51"/>
      <c r="I1054" s="97"/>
    </row>
    <row r="1055" spans="2:9" s="50" customFormat="1" x14ac:dyDescent="0.3">
      <c r="G1055" s="51"/>
      <c r="I1055" s="97"/>
    </row>
    <row r="1056" spans="2:9" x14ac:dyDescent="0.3">
      <c r="B1056" s="34"/>
      <c r="C1056" s="34"/>
      <c r="D1056" s="34"/>
    </row>
    <row r="1057" spans="2:4" x14ac:dyDescent="0.3">
      <c r="B1057" s="34"/>
      <c r="C1057" s="34"/>
      <c r="D1057" s="34"/>
    </row>
    <row r="1058" spans="2:4" x14ac:dyDescent="0.3">
      <c r="B1058" s="34"/>
      <c r="C1058" s="34"/>
      <c r="D1058" s="34"/>
    </row>
    <row r="1059" spans="2:4" x14ac:dyDescent="0.3">
      <c r="B1059" s="34"/>
      <c r="C1059" s="34"/>
      <c r="D1059" s="34"/>
    </row>
    <row r="1060" spans="2:4" x14ac:dyDescent="0.3">
      <c r="B1060" s="34"/>
      <c r="C1060" s="34"/>
      <c r="D1060" s="34"/>
    </row>
    <row r="1061" spans="2:4" x14ac:dyDescent="0.3">
      <c r="B1061" s="34"/>
      <c r="C1061" s="34"/>
      <c r="D1061" s="34"/>
    </row>
    <row r="1062" spans="2:4" x14ac:dyDescent="0.3">
      <c r="B1062" s="34"/>
      <c r="C1062" s="34"/>
      <c r="D1062" s="34"/>
    </row>
    <row r="1063" spans="2:4" x14ac:dyDescent="0.3">
      <c r="B1063" s="34"/>
      <c r="C1063" s="34"/>
      <c r="D1063" s="34"/>
    </row>
    <row r="1064" spans="2:4" x14ac:dyDescent="0.3">
      <c r="B1064" s="34"/>
      <c r="C1064" s="34"/>
      <c r="D1064" s="34"/>
    </row>
    <row r="1065" spans="2:4" x14ac:dyDescent="0.3">
      <c r="B1065" s="34"/>
      <c r="C1065" s="34"/>
      <c r="D1065" s="34"/>
    </row>
    <row r="1066" spans="2:4" x14ac:dyDescent="0.3">
      <c r="B1066" s="34"/>
      <c r="C1066" s="34"/>
      <c r="D1066" s="34"/>
    </row>
    <row r="1067" spans="2:4" x14ac:dyDescent="0.3">
      <c r="B1067" s="34"/>
      <c r="C1067" s="34"/>
      <c r="D1067" s="34"/>
    </row>
    <row r="1068" spans="2:4" x14ac:dyDescent="0.3">
      <c r="B1068" s="34"/>
      <c r="C1068" s="34"/>
      <c r="D1068" s="34"/>
    </row>
    <row r="1069" spans="2:4" x14ac:dyDescent="0.3">
      <c r="B1069" s="34"/>
      <c r="C1069" s="34"/>
      <c r="D1069" s="34"/>
    </row>
    <row r="1070" spans="2:4" x14ac:dyDescent="0.3">
      <c r="B1070" s="34"/>
      <c r="C1070" s="34"/>
      <c r="D1070" s="34"/>
    </row>
    <row r="1071" spans="2:4" x14ac:dyDescent="0.3">
      <c r="B1071" s="34"/>
      <c r="C1071" s="34"/>
      <c r="D1071" s="34"/>
    </row>
    <row r="1072" spans="2:4" x14ac:dyDescent="0.3">
      <c r="B1072" s="34"/>
      <c r="C1072" s="34"/>
      <c r="D1072" s="34"/>
    </row>
    <row r="1073" spans="2:4" x14ac:dyDescent="0.3">
      <c r="B1073" s="34"/>
      <c r="C1073" s="34"/>
      <c r="D1073" s="34"/>
    </row>
    <row r="1074" spans="2:4" x14ac:dyDescent="0.3">
      <c r="B1074" s="34"/>
      <c r="C1074" s="34"/>
      <c r="D1074" s="34"/>
    </row>
    <row r="1075" spans="2:4" x14ac:dyDescent="0.3">
      <c r="B1075" s="34"/>
      <c r="C1075" s="34"/>
      <c r="D1075" s="34"/>
    </row>
    <row r="1076" spans="2:4" x14ac:dyDescent="0.3">
      <c r="B1076" s="34"/>
      <c r="C1076" s="34"/>
      <c r="D1076" s="34"/>
    </row>
    <row r="1077" spans="2:4" x14ac:dyDescent="0.3">
      <c r="B1077" s="34"/>
      <c r="C1077" s="34"/>
      <c r="D1077" s="34"/>
    </row>
    <row r="1078" spans="2:4" x14ac:dyDescent="0.3">
      <c r="B1078" s="34"/>
      <c r="C1078" s="34"/>
      <c r="D1078" s="34"/>
    </row>
    <row r="1079" spans="2:4" x14ac:dyDescent="0.3">
      <c r="B1079" s="34"/>
      <c r="C1079" s="34"/>
      <c r="D1079" s="34"/>
    </row>
    <row r="1080" spans="2:4" x14ac:dyDescent="0.3">
      <c r="B1080" s="34"/>
      <c r="C1080" s="34"/>
      <c r="D1080" s="34"/>
    </row>
    <row r="1081" spans="2:4" x14ac:dyDescent="0.3">
      <c r="B1081" s="34"/>
      <c r="C1081" s="34"/>
      <c r="D1081" s="34"/>
    </row>
    <row r="1082" spans="2:4" x14ac:dyDescent="0.3">
      <c r="B1082" s="34"/>
      <c r="C1082" s="34"/>
      <c r="D1082" s="34"/>
    </row>
    <row r="1083" spans="2:4" x14ac:dyDescent="0.3">
      <c r="B1083" s="34"/>
      <c r="C1083" s="34"/>
      <c r="D1083" s="34"/>
    </row>
    <row r="1084" spans="2:4" x14ac:dyDescent="0.3">
      <c r="B1084" s="34"/>
      <c r="C1084" s="34"/>
      <c r="D1084" s="34"/>
    </row>
    <row r="1085" spans="2:4" x14ac:dyDescent="0.3">
      <c r="B1085" s="34"/>
      <c r="C1085" s="34"/>
      <c r="D1085" s="34"/>
    </row>
    <row r="1086" spans="2:4" x14ac:dyDescent="0.3">
      <c r="B1086" s="34"/>
      <c r="C1086" s="34"/>
      <c r="D1086" s="34"/>
    </row>
    <row r="1087" spans="2:4" x14ac:dyDescent="0.3">
      <c r="B1087" s="34"/>
      <c r="C1087" s="34"/>
      <c r="D1087" s="34"/>
    </row>
    <row r="1088" spans="2:4" x14ac:dyDescent="0.3">
      <c r="B1088" s="34"/>
      <c r="C1088" s="34"/>
      <c r="D1088" s="34"/>
    </row>
    <row r="1089" spans="2:4" x14ac:dyDescent="0.3">
      <c r="B1089" s="34"/>
      <c r="C1089" s="34"/>
      <c r="D1089" s="34"/>
    </row>
    <row r="1090" spans="2:4" x14ac:dyDescent="0.3">
      <c r="B1090" s="34"/>
      <c r="C1090" s="34"/>
      <c r="D1090" s="34"/>
    </row>
    <row r="1091" spans="2:4" x14ac:dyDescent="0.3">
      <c r="B1091" s="34"/>
      <c r="C1091" s="34"/>
      <c r="D1091" s="34"/>
    </row>
    <row r="1092" spans="2:4" x14ac:dyDescent="0.3">
      <c r="B1092" s="34"/>
      <c r="C1092" s="34"/>
      <c r="D1092" s="34"/>
    </row>
    <row r="1093" spans="2:4" x14ac:dyDescent="0.3">
      <c r="B1093" s="34"/>
      <c r="C1093" s="34"/>
      <c r="D1093" s="34"/>
    </row>
    <row r="1094" spans="2:4" x14ac:dyDescent="0.3">
      <c r="B1094" s="34"/>
      <c r="C1094" s="34"/>
      <c r="D1094" s="34"/>
    </row>
    <row r="1095" spans="2:4" x14ac:dyDescent="0.3">
      <c r="B1095" s="34"/>
      <c r="C1095" s="34"/>
      <c r="D1095" s="34"/>
    </row>
    <row r="1096" spans="2:4" x14ac:dyDescent="0.3">
      <c r="B1096" s="34"/>
      <c r="C1096" s="34"/>
      <c r="D1096" s="34"/>
    </row>
    <row r="1097" spans="2:4" x14ac:dyDescent="0.3">
      <c r="B1097" s="34"/>
      <c r="C1097" s="34"/>
      <c r="D1097" s="34"/>
    </row>
    <row r="1098" spans="2:4" x14ac:dyDescent="0.3">
      <c r="B1098" s="34"/>
      <c r="C1098" s="34"/>
      <c r="D1098" s="34"/>
    </row>
    <row r="1099" spans="2:4" x14ac:dyDescent="0.3">
      <c r="B1099" s="34"/>
      <c r="C1099" s="34"/>
      <c r="D1099" s="34"/>
    </row>
    <row r="1100" spans="2:4" x14ac:dyDescent="0.3">
      <c r="B1100" s="34"/>
      <c r="C1100" s="34"/>
      <c r="D1100" s="34"/>
    </row>
    <row r="1101" spans="2:4" x14ac:dyDescent="0.3">
      <c r="B1101" s="34"/>
      <c r="C1101" s="34"/>
      <c r="D1101" s="34"/>
    </row>
    <row r="1102" spans="2:4" x14ac:dyDescent="0.3">
      <c r="B1102" s="34"/>
      <c r="C1102" s="34"/>
      <c r="D1102" s="34"/>
    </row>
    <row r="1103" spans="2:4" x14ac:dyDescent="0.3">
      <c r="B1103" s="34"/>
      <c r="C1103" s="34"/>
      <c r="D1103" s="34"/>
    </row>
    <row r="1104" spans="2:4" x14ac:dyDescent="0.3">
      <c r="B1104" s="34"/>
      <c r="C1104" s="34"/>
      <c r="D1104" s="34"/>
    </row>
    <row r="1105" spans="2:4" x14ac:dyDescent="0.3">
      <c r="B1105" s="34"/>
      <c r="C1105" s="34"/>
      <c r="D1105" s="34"/>
    </row>
    <row r="1106" spans="2:4" x14ac:dyDescent="0.3">
      <c r="B1106" s="34"/>
      <c r="C1106" s="34"/>
      <c r="D1106" s="34"/>
    </row>
    <row r="1107" spans="2:4" x14ac:dyDescent="0.3">
      <c r="B1107" s="34"/>
      <c r="C1107" s="34"/>
      <c r="D1107" s="34"/>
    </row>
    <row r="1108" spans="2:4" x14ac:dyDescent="0.3">
      <c r="B1108" s="34"/>
      <c r="C1108" s="34"/>
      <c r="D1108" s="34"/>
    </row>
    <row r="1109" spans="2:4" x14ac:dyDescent="0.3">
      <c r="B1109" s="34"/>
      <c r="C1109" s="34"/>
      <c r="D1109" s="34"/>
    </row>
    <row r="1110" spans="2:4" x14ac:dyDescent="0.3">
      <c r="B1110" s="34"/>
      <c r="C1110" s="34"/>
      <c r="D1110" s="34"/>
    </row>
    <row r="1111" spans="2:4" x14ac:dyDescent="0.3">
      <c r="B1111" s="34"/>
      <c r="C1111" s="34"/>
      <c r="D1111" s="34"/>
    </row>
    <row r="1112" spans="2:4" x14ac:dyDescent="0.3">
      <c r="B1112" s="34"/>
      <c r="C1112" s="34"/>
      <c r="D1112" s="34"/>
    </row>
    <row r="1113" spans="2:4" x14ac:dyDescent="0.3">
      <c r="B1113" s="34"/>
      <c r="C1113" s="34"/>
      <c r="D1113" s="34"/>
    </row>
    <row r="1114" spans="2:4" x14ac:dyDescent="0.3">
      <c r="B1114" s="34"/>
      <c r="C1114" s="34"/>
      <c r="D1114" s="34"/>
    </row>
    <row r="1115" spans="2:4" x14ac:dyDescent="0.3">
      <c r="B1115" s="34"/>
      <c r="C1115" s="34"/>
      <c r="D1115" s="34"/>
    </row>
    <row r="1116" spans="2:4" x14ac:dyDescent="0.3">
      <c r="B1116" s="34"/>
      <c r="C1116" s="34"/>
      <c r="D1116" s="34"/>
    </row>
    <row r="1117" spans="2:4" x14ac:dyDescent="0.3">
      <c r="B1117" s="34"/>
      <c r="C1117" s="34"/>
      <c r="D1117" s="34"/>
    </row>
    <row r="1118" spans="2:4" x14ac:dyDescent="0.3">
      <c r="B1118" s="34"/>
      <c r="C1118" s="34"/>
      <c r="D1118" s="34"/>
    </row>
    <row r="1119" spans="2:4" x14ac:dyDescent="0.3">
      <c r="B1119" s="34"/>
      <c r="C1119" s="34"/>
      <c r="D1119" s="34"/>
    </row>
    <row r="1120" spans="2:4" x14ac:dyDescent="0.3">
      <c r="B1120" s="34"/>
      <c r="C1120" s="34"/>
      <c r="D1120" s="34"/>
    </row>
    <row r="1121" spans="2:4" x14ac:dyDescent="0.3">
      <c r="B1121" s="34"/>
      <c r="C1121" s="34"/>
      <c r="D1121" s="34"/>
    </row>
    <row r="1122" spans="2:4" x14ac:dyDescent="0.3">
      <c r="B1122" s="34"/>
      <c r="C1122" s="34"/>
      <c r="D1122" s="34"/>
    </row>
    <row r="1123" spans="2:4" x14ac:dyDescent="0.3">
      <c r="B1123" s="34"/>
      <c r="C1123" s="34"/>
      <c r="D1123" s="34"/>
    </row>
    <row r="1124" spans="2:4" x14ac:dyDescent="0.3">
      <c r="B1124" s="34"/>
      <c r="C1124" s="34"/>
      <c r="D1124" s="34"/>
    </row>
    <row r="1125" spans="2:4" x14ac:dyDescent="0.3">
      <c r="B1125" s="34"/>
      <c r="C1125" s="34"/>
      <c r="D1125" s="34"/>
    </row>
    <row r="1126" spans="2:4" x14ac:dyDescent="0.3">
      <c r="B1126" s="34"/>
      <c r="C1126" s="34"/>
      <c r="D1126" s="34"/>
    </row>
    <row r="1127" spans="2:4" x14ac:dyDescent="0.3">
      <c r="B1127" s="34"/>
      <c r="C1127" s="34"/>
      <c r="D1127" s="34"/>
    </row>
    <row r="1128" spans="2:4" x14ac:dyDescent="0.3">
      <c r="B1128" s="34"/>
      <c r="C1128" s="34"/>
      <c r="D1128" s="34"/>
    </row>
    <row r="1129" spans="2:4" x14ac:dyDescent="0.3">
      <c r="B1129" s="34"/>
      <c r="C1129" s="34"/>
      <c r="D1129" s="34"/>
    </row>
    <row r="1130" spans="2:4" x14ac:dyDescent="0.3">
      <c r="B1130" s="34"/>
      <c r="C1130" s="34"/>
      <c r="D1130" s="34"/>
    </row>
  </sheetData>
  <sheetProtection password="E1A4" sheet="1" objects="1" scenarios="1" selectLockedCells="1"/>
  <protectedRanges>
    <protectedRange sqref="G7:G15 G27:G28 G33:G37 G40 G43:G44 G48 G53 G57:G58 G76 G87 G90:G91 G97 G100 G102 G105" name="Range1"/>
    <protectedRange sqref="G51" name="Range3"/>
  </protectedRanges>
  <mergeCells count="2">
    <mergeCell ref="A1:Q1"/>
    <mergeCell ref="O3:P3"/>
  </mergeCells>
  <conditionalFormatting sqref="G7">
    <cfRule type="expression" dxfId="22" priority="24">
      <formula>$I$7&lt;1.5</formula>
    </cfRule>
    <cfRule type="expression" dxfId="21" priority="25">
      <formula>$I$7&gt;$I$8</formula>
    </cfRule>
  </conditionalFormatting>
  <conditionalFormatting sqref="G8">
    <cfRule type="expression" dxfId="20" priority="23">
      <formula>$I$8&gt;$I$9</formula>
    </cfRule>
  </conditionalFormatting>
  <conditionalFormatting sqref="G9">
    <cfRule type="expression" dxfId="19" priority="22">
      <formula>$I$9&gt;42</formula>
    </cfRule>
  </conditionalFormatting>
  <conditionalFormatting sqref="G14">
    <cfRule type="expression" dxfId="18" priority="3">
      <formula>$G$14&lt;110</formula>
    </cfRule>
    <cfRule type="expression" dxfId="17" priority="4">
      <formula>$G$14&gt;2300</formula>
    </cfRule>
    <cfRule type="expression" dxfId="16" priority="5">
      <formula>$G$14&gt;$G$13*1.15</formula>
    </cfRule>
    <cfRule type="expression" dxfId="15" priority="6">
      <formula>$G$14&lt;$G$13*0.75</formula>
    </cfRule>
  </conditionalFormatting>
  <conditionalFormatting sqref="G27">
    <cfRule type="expression" dxfId="14" priority="20">
      <formula>$G$27&gt;0.95</formula>
    </cfRule>
  </conditionalFormatting>
  <conditionalFormatting sqref="G33">
    <cfRule type="expression" dxfId="13" priority="2">
      <formula>Ivcc&gt;0.075</formula>
    </cfRule>
  </conditionalFormatting>
  <conditionalFormatting sqref="G43">
    <cfRule type="expression" dxfId="12" priority="19">
      <formula>$G$48&lt;$G$47</formula>
    </cfRule>
  </conditionalFormatting>
  <conditionalFormatting sqref="G48">
    <cfRule type="expression" dxfId="11" priority="1">
      <formula>$G$48&gt;1</formula>
    </cfRule>
    <cfRule type="expression" dxfId="10" priority="18">
      <formula>$G$48&lt;$G$47</formula>
    </cfRule>
  </conditionalFormatting>
  <conditionalFormatting sqref="G53">
    <cfRule type="expression" dxfId="9" priority="16">
      <formula>$G$53&gt;$G$52</formula>
    </cfRule>
  </conditionalFormatting>
  <conditionalFormatting sqref="G57">
    <cfRule type="expression" dxfId="8" priority="15">
      <formula>$G$57&lt;30</formula>
    </cfRule>
  </conditionalFormatting>
  <conditionalFormatting sqref="G58">
    <cfRule type="expression" dxfId="7" priority="14">
      <formula>$G$58&lt;1000</formula>
    </cfRule>
  </conditionalFormatting>
  <conditionalFormatting sqref="G69">
    <cfRule type="expression" dxfId="6" priority="26">
      <formula>$G$69&gt;$G$68</formula>
    </cfRule>
  </conditionalFormatting>
  <conditionalFormatting sqref="G71">
    <cfRule type="expression" dxfId="5" priority="7">
      <formula>$I$71&lt;2*$I$57*$I$58</formula>
    </cfRule>
  </conditionalFormatting>
  <conditionalFormatting sqref="G72">
    <cfRule type="expression" dxfId="4" priority="13">
      <formula>$G$72&gt;$G$7</formula>
    </cfRule>
  </conditionalFormatting>
  <conditionalFormatting sqref="G76">
    <cfRule type="expression" dxfId="3" priority="12">
      <formula>$G$76&lt;$G$75</formula>
    </cfRule>
  </conditionalFormatting>
  <conditionalFormatting sqref="G87">
    <cfRule type="expression" dxfId="2" priority="11">
      <formula>$G$87&gt;0.2</formula>
    </cfRule>
  </conditionalFormatting>
  <conditionalFormatting sqref="G90">
    <cfRule type="expression" dxfId="1" priority="10">
      <formula>$G$90&lt;$G$89*0.9</formula>
    </cfRule>
  </conditionalFormatting>
  <conditionalFormatting sqref="G97">
    <cfRule type="expression" dxfId="0" priority="9">
      <formula>$G$97&gt;4</formula>
    </cfRule>
  </conditionalFormatting>
  <pageMargins left="0.7" right="0.7" top="0.75" bottom="0.75" header="0.3" footer="0.3"/>
  <pageSetup scale="56" fitToHeight="0" orientation="portrait" r:id="rId1"/>
  <rowBreaks count="1" manualBreakCount="1">
    <brk id="77" max="15" man="1"/>
  </rowBreaks>
  <ignoredErrors>
    <ignoredError sqref="I10 G17 G107 I34" formula="1"/>
  </ignoredErrors>
  <drawing r:id="rId2"/>
  <legacyDrawing r:id="rId3"/>
  <oleObjects>
    <mc:AlternateContent xmlns:mc="http://schemas.openxmlformats.org/markup-compatibility/2006">
      <mc:Choice Requires="x14">
        <oleObject progId="Visio.Drawing.11" shapeId="1044" r:id="rId4">
          <objectPr defaultSize="0" autoPict="0" r:id="rId5">
            <anchor moveWithCells="1">
              <from>
                <xdr:col>9</xdr:col>
                <xdr:colOff>190500</xdr:colOff>
                <xdr:row>5</xdr:row>
                <xdr:rowOff>45720</xdr:rowOff>
              </from>
              <to>
                <xdr:col>15</xdr:col>
                <xdr:colOff>556260</xdr:colOff>
                <xdr:row>24</xdr:row>
                <xdr:rowOff>0</xdr:rowOff>
              </to>
            </anchor>
          </objectPr>
        </oleObject>
      </mc:Choice>
      <mc:Fallback>
        <oleObject progId="Visio.Drawing.11" shapeId="1044" r:id="rId4"/>
      </mc:Fallback>
    </mc:AlternateContent>
  </oleObjects>
  <mc:AlternateContent xmlns:mc="http://schemas.openxmlformats.org/markup-compatibility/2006">
    <mc:Choice Requires="x14">
      <controls>
        <mc:AlternateContent xmlns:mc="http://schemas.openxmlformats.org/markup-compatibility/2006">
          <mc:Choice Requires="x14">
            <control shapeId="1184" r:id="rId6" name="Drop Down 160">
              <controlPr locked="0" defaultSize="0" autoLine="0" autoPict="0" altText="">
                <anchor moveWithCells="1">
                  <from>
                    <xdr:col>6</xdr:col>
                    <xdr:colOff>137160</xdr:colOff>
                    <xdr:row>9</xdr:row>
                    <xdr:rowOff>7620</xdr:rowOff>
                  </from>
                  <to>
                    <xdr:col>7</xdr:col>
                    <xdr:colOff>0</xdr:colOff>
                    <xdr:row>9</xdr:row>
                    <xdr:rowOff>175260</xdr:rowOff>
                  </to>
                </anchor>
              </controlPr>
            </control>
          </mc:Choice>
        </mc:AlternateContent>
        <mc:AlternateContent xmlns:mc="http://schemas.openxmlformats.org/markup-compatibility/2006">
          <mc:Choice Requires="x14">
            <control shapeId="1185" r:id="rId7" name="Drop Down 161">
              <controlPr defaultSize="0" autoLine="0" autoPict="0">
                <anchor moveWithCells="1">
                  <from>
                    <xdr:col>6</xdr:col>
                    <xdr:colOff>137160</xdr:colOff>
                    <xdr:row>11</xdr:row>
                    <xdr:rowOff>0</xdr:rowOff>
                  </from>
                  <to>
                    <xdr:col>6</xdr:col>
                    <xdr:colOff>655320</xdr:colOff>
                    <xdr:row>12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Q750"/>
  <sheetViews>
    <sheetView workbookViewId="0">
      <selection activeCell="P32" sqref="P32"/>
    </sheetView>
  </sheetViews>
  <sheetFormatPr defaultColWidth="9.109375" defaultRowHeight="14.4" x14ac:dyDescent="0.3"/>
  <cols>
    <col min="1" max="2" width="9.109375" style="55"/>
    <col min="3" max="3" width="9.33203125" style="55" bestFit="1" customWidth="1"/>
    <col min="4" max="4" width="11" style="55" bestFit="1" customWidth="1"/>
    <col min="5" max="15" width="9.33203125" style="55" bestFit="1" customWidth="1"/>
    <col min="16" max="16384" width="9.109375" style="55"/>
  </cols>
  <sheetData>
    <row r="1" spans="2:17" x14ac:dyDescent="0.3">
      <c r="B1" s="76">
        <v>6.8</v>
      </c>
    </row>
    <row r="2" spans="2:17" x14ac:dyDescent="0.3">
      <c r="B2" s="76">
        <v>7.5</v>
      </c>
      <c r="C2" s="46"/>
      <c r="D2" s="17"/>
      <c r="E2" s="46"/>
      <c r="F2" s="46"/>
      <c r="G2" s="59"/>
      <c r="H2" s="60"/>
      <c r="I2" s="46"/>
      <c r="J2" s="45"/>
      <c r="K2" s="46"/>
      <c r="L2" s="46"/>
      <c r="M2" s="46"/>
      <c r="N2" s="46"/>
      <c r="O2" s="46"/>
      <c r="P2" s="46"/>
      <c r="Q2" s="46"/>
    </row>
    <row r="3" spans="2:17" x14ac:dyDescent="0.3">
      <c r="B3" s="76">
        <v>8.5</v>
      </c>
      <c r="C3" s="17"/>
      <c r="D3" s="17"/>
      <c r="E3" s="46"/>
      <c r="F3" s="46"/>
      <c r="G3" s="59"/>
      <c r="H3" s="60"/>
      <c r="I3" s="46"/>
      <c r="J3" s="45"/>
      <c r="K3" s="46"/>
      <c r="L3" s="46"/>
      <c r="M3" s="46"/>
      <c r="N3" s="46"/>
      <c r="O3" s="46"/>
      <c r="P3" s="46"/>
      <c r="Q3" s="17"/>
    </row>
    <row r="4" spans="2:17" x14ac:dyDescent="0.3">
      <c r="B4" s="76">
        <v>10.5</v>
      </c>
      <c r="C4" s="17"/>
      <c r="D4" s="43">
        <f>IF(E4=1,6.8,IF(E4=2,7.5,IF(E4=3,8.5,10.5)))</f>
        <v>6.8</v>
      </c>
      <c r="E4" s="46">
        <v>1</v>
      </c>
      <c r="F4" s="46"/>
      <c r="G4" s="59"/>
      <c r="H4" s="60"/>
      <c r="I4" s="46"/>
      <c r="J4" s="45"/>
      <c r="K4" s="46"/>
      <c r="L4" s="46"/>
      <c r="M4" s="46"/>
      <c r="N4" s="46"/>
      <c r="O4" s="46"/>
      <c r="P4" s="46"/>
      <c r="Q4" s="17"/>
    </row>
    <row r="5" spans="2:17" x14ac:dyDescent="0.3">
      <c r="B5" s="76"/>
      <c r="C5" s="17"/>
      <c r="E5" s="46"/>
      <c r="F5" s="46"/>
      <c r="G5" s="59"/>
      <c r="H5" s="60"/>
      <c r="I5" s="46"/>
      <c r="J5" s="45"/>
      <c r="K5" s="46"/>
      <c r="L5" s="46"/>
      <c r="M5" s="46"/>
      <c r="N5" s="46"/>
      <c r="O5" s="46"/>
      <c r="P5" s="46"/>
      <c r="Q5" s="17"/>
    </row>
    <row r="6" spans="2:17" x14ac:dyDescent="0.3">
      <c r="B6" s="76" t="s">
        <v>23</v>
      </c>
      <c r="C6" s="62"/>
      <c r="D6" s="44" t="str">
        <f>IF(E6=1,"SS","EC")</f>
        <v>EC</v>
      </c>
      <c r="E6" s="63">
        <v>2</v>
      </c>
      <c r="F6" s="63"/>
      <c r="G6" s="61"/>
      <c r="H6" s="64"/>
      <c r="I6" s="63"/>
      <c r="J6" s="65"/>
      <c r="K6" s="63"/>
      <c r="L6" s="63"/>
      <c r="M6" s="63"/>
      <c r="N6" s="63"/>
      <c r="O6" s="63"/>
      <c r="P6" s="63"/>
      <c r="Q6" s="17"/>
    </row>
    <row r="7" spans="2:17" x14ac:dyDescent="0.3">
      <c r="B7" s="76" t="s">
        <v>24</v>
      </c>
      <c r="C7" s="62"/>
      <c r="D7" s="62"/>
      <c r="E7" s="63"/>
      <c r="F7" s="63"/>
      <c r="G7" s="61"/>
      <c r="H7" s="64"/>
      <c r="I7" s="63"/>
      <c r="J7" s="65"/>
      <c r="K7" s="63"/>
      <c r="L7" s="63"/>
      <c r="M7" s="63"/>
      <c r="N7" s="63"/>
      <c r="O7" s="63"/>
      <c r="P7" s="63"/>
      <c r="Q7" s="17"/>
    </row>
    <row r="8" spans="2:17" x14ac:dyDescent="0.3">
      <c r="B8" s="61"/>
      <c r="C8" s="62" t="s">
        <v>32</v>
      </c>
      <c r="D8" s="62">
        <v>0.83</v>
      </c>
      <c r="E8" s="63"/>
      <c r="F8" s="63"/>
      <c r="G8" s="61"/>
      <c r="H8" s="64"/>
      <c r="I8" s="63"/>
      <c r="J8" s="65"/>
      <c r="K8" s="63"/>
      <c r="L8" s="63"/>
      <c r="M8" s="63"/>
      <c r="N8" s="63"/>
      <c r="O8" s="63"/>
      <c r="P8" s="63"/>
      <c r="Q8" s="17"/>
    </row>
    <row r="9" spans="2:17" x14ac:dyDescent="0.3">
      <c r="B9" s="61"/>
      <c r="C9" s="62" t="s">
        <v>33</v>
      </c>
      <c r="D9" s="62">
        <f>50*10^-9</f>
        <v>5.0000000000000004E-8</v>
      </c>
      <c r="E9" s="63"/>
      <c r="F9" s="63"/>
      <c r="G9" s="61"/>
      <c r="H9" s="64"/>
      <c r="I9" s="63"/>
      <c r="J9" s="65"/>
      <c r="K9" s="63"/>
      <c r="L9" s="63"/>
      <c r="M9" s="63"/>
      <c r="N9" s="63"/>
      <c r="O9" s="63"/>
      <c r="P9" s="63"/>
      <c r="Q9" s="17"/>
    </row>
    <row r="10" spans="2:17" x14ac:dyDescent="0.3">
      <c r="B10" s="61"/>
      <c r="C10" s="63"/>
      <c r="D10" s="63"/>
      <c r="E10" s="63"/>
      <c r="F10" s="63"/>
      <c r="G10" s="61"/>
      <c r="H10" s="64"/>
      <c r="I10" s="63"/>
      <c r="J10" s="65"/>
      <c r="K10" s="63"/>
      <c r="L10" s="63"/>
      <c r="M10" s="63"/>
      <c r="N10" s="63"/>
      <c r="O10" s="63"/>
      <c r="P10" s="63"/>
      <c r="Q10" s="17"/>
    </row>
    <row r="11" spans="2:17" x14ac:dyDescent="0.3">
      <c r="B11" s="61"/>
      <c r="C11" s="63"/>
      <c r="D11" s="63"/>
      <c r="E11" s="63"/>
      <c r="F11" s="63"/>
      <c r="G11" s="61"/>
      <c r="H11" s="64"/>
      <c r="I11" s="63"/>
      <c r="J11" s="65"/>
      <c r="K11" s="63"/>
      <c r="L11" s="63"/>
      <c r="M11" s="63"/>
      <c r="N11" s="63"/>
      <c r="O11" s="63"/>
      <c r="P11" s="63"/>
      <c r="Q11" s="17"/>
    </row>
    <row r="12" spans="2:17" x14ac:dyDescent="0.3">
      <c r="B12" s="61"/>
      <c r="C12" s="63"/>
      <c r="D12" s="63"/>
      <c r="E12" s="63"/>
      <c r="F12" s="63"/>
      <c r="G12" s="61"/>
      <c r="H12" s="64"/>
      <c r="I12" s="63"/>
      <c r="J12" s="65"/>
      <c r="K12" s="63"/>
      <c r="L12" s="63"/>
      <c r="M12" s="63"/>
      <c r="N12" s="63"/>
      <c r="O12" s="63"/>
      <c r="P12" s="63"/>
      <c r="Q12" s="17"/>
    </row>
    <row r="13" spans="2:17" x14ac:dyDescent="0.3">
      <c r="B13" s="61"/>
      <c r="C13" s="63" t="s">
        <v>100</v>
      </c>
      <c r="D13" s="63"/>
      <c r="E13" s="63"/>
      <c r="F13" s="63"/>
      <c r="G13" s="61"/>
      <c r="H13" s="64"/>
      <c r="I13" s="63"/>
      <c r="J13" s="65"/>
      <c r="K13" s="63"/>
      <c r="L13" s="63"/>
      <c r="M13" s="63"/>
      <c r="N13" s="63"/>
      <c r="O13" s="63"/>
      <c r="P13" s="63"/>
      <c r="Q13" s="17"/>
    </row>
    <row r="14" spans="2:17" x14ac:dyDescent="0.3">
      <c r="B14" s="61"/>
      <c r="C14" s="63"/>
      <c r="D14" s="63"/>
      <c r="E14" s="63"/>
      <c r="F14" s="63"/>
      <c r="G14" s="61"/>
      <c r="H14" s="64"/>
      <c r="I14" s="63"/>
      <c r="J14" s="65"/>
      <c r="K14" s="63"/>
      <c r="L14" s="63"/>
      <c r="M14" s="63"/>
      <c r="N14" s="63"/>
      <c r="O14" s="63"/>
      <c r="P14" s="63"/>
      <c r="Q14" s="17"/>
    </row>
    <row r="15" spans="2:17" x14ac:dyDescent="0.3">
      <c r="B15" s="61"/>
      <c r="C15" s="62" t="s">
        <v>81</v>
      </c>
      <c r="D15" s="62" t="s">
        <v>82</v>
      </c>
      <c r="E15" s="62" t="s">
        <v>83</v>
      </c>
      <c r="F15" s="62" t="s">
        <v>84</v>
      </c>
      <c r="G15" s="62" t="s">
        <v>85</v>
      </c>
      <c r="H15" s="62" t="s">
        <v>86</v>
      </c>
      <c r="I15" s="62" t="s">
        <v>87</v>
      </c>
      <c r="J15" s="62" t="s">
        <v>88</v>
      </c>
      <c r="K15" s="62" t="s">
        <v>89</v>
      </c>
      <c r="L15" s="62" t="s">
        <v>90</v>
      </c>
      <c r="M15" s="62" t="s">
        <v>92</v>
      </c>
      <c r="N15" s="62" t="s">
        <v>93</v>
      </c>
      <c r="O15" s="62" t="s">
        <v>94</v>
      </c>
      <c r="P15" s="63"/>
      <c r="Q15" s="17"/>
    </row>
    <row r="16" spans="2:17" x14ac:dyDescent="0.3">
      <c r="B16" s="61"/>
      <c r="C16" s="66">
        <f>0.1*Iload</f>
        <v>5.000000000000001E-3</v>
      </c>
      <c r="D16" s="62">
        <f t="shared" ref="D16:D25" si="0">Qg*Vouttarget*Fsync</f>
        <v>2.9185600000000003E-2</v>
      </c>
      <c r="E16" s="62">
        <f t="shared" ref="E16:E25" si="1">Vouttarget*0.0018+Vsupplytyp*0.000045</f>
        <v>1.2406499999999999E-2</v>
      </c>
      <c r="F16" s="62">
        <f t="shared" ref="F16:F25" si="2">0.5*(Vouttarget+Vf)*C16*Vouttarget/Vsupplytyp*(Tr+Tf)*Fsync</f>
        <v>1.1672108108108112E-3</v>
      </c>
      <c r="G16" s="62">
        <f t="shared" ref="G16:G25" si="3">(1-Vsupplytyp/Vouttarget)*(C16*Vouttarget/Vsupplytyp)^2*Rdson</f>
        <v>1.054769905040175E-6</v>
      </c>
      <c r="H16" s="62">
        <f t="shared" ref="H16:H25" si="4">Vsupplytyp/Vouttarget*Vf*C16*Vouttarget/Vsupplytyp</f>
        <v>2.5000000000000001E-3</v>
      </c>
      <c r="I16" s="62">
        <f t="shared" ref="I16:I25" si="5">Vouttarget*Qrr*Fsync</f>
        <v>0.11832000000000002</v>
      </c>
      <c r="J16" s="62">
        <f t="shared" ref="J16:J25" si="6">(C16*Vouttarget/Vsupplytyp)^2*Rdcr</f>
        <v>3.8842951059167271E-5</v>
      </c>
      <c r="K16" s="62">
        <f t="shared" ref="K16:K25" si="7">J16</f>
        <v>3.8842951059167271E-5</v>
      </c>
      <c r="L16" s="62">
        <f t="shared" ref="L16:L25" si="8">(1-Vsupplytyp/Vouttarget)*(C16*Vouttarget/Vsupplytyp)^2*Rs</f>
        <v>2.6176771365960554E-6</v>
      </c>
      <c r="M16" s="62">
        <f t="shared" ref="M16:M25" si="9">SUM(D16:L16)</f>
        <v>0.1636606691599708</v>
      </c>
      <c r="N16" s="62">
        <f t="shared" ref="N16:N25" si="10">Vouttarget*C16</f>
        <v>3.4000000000000002E-2</v>
      </c>
      <c r="O16" s="62">
        <f>IF(Vsupplytyp&gt;Vouttarget, 0, N16/(N16+M16)*100)</f>
        <v>17.201196446665428</v>
      </c>
      <c r="P16" s="63"/>
      <c r="Q16" s="17"/>
    </row>
    <row r="17" spans="2:17" x14ac:dyDescent="0.3">
      <c r="B17" s="61"/>
      <c r="C17" s="66">
        <f>0.2*Iload</f>
        <v>1.0000000000000002E-2</v>
      </c>
      <c r="D17" s="62">
        <f t="shared" si="0"/>
        <v>2.9185600000000003E-2</v>
      </c>
      <c r="E17" s="62">
        <f t="shared" si="1"/>
        <v>1.2406499999999999E-2</v>
      </c>
      <c r="F17" s="62">
        <f t="shared" si="2"/>
        <v>2.3344216216216224E-3</v>
      </c>
      <c r="G17" s="62">
        <f t="shared" si="3"/>
        <v>4.2190796201607001E-6</v>
      </c>
      <c r="H17" s="62">
        <f t="shared" si="4"/>
        <v>5.0000000000000001E-3</v>
      </c>
      <c r="I17" s="62">
        <f t="shared" si="5"/>
        <v>0.11832000000000002</v>
      </c>
      <c r="J17" s="62">
        <f t="shared" si="6"/>
        <v>1.5537180423666908E-4</v>
      </c>
      <c r="K17" s="62">
        <f t="shared" si="7"/>
        <v>1.5537180423666908E-4</v>
      </c>
      <c r="L17" s="62">
        <f t="shared" si="8"/>
        <v>1.0470708546384222E-5</v>
      </c>
      <c r="M17" s="62">
        <f t="shared" si="9"/>
        <v>0.1675719550182615</v>
      </c>
      <c r="N17" s="62">
        <f t="shared" si="10"/>
        <v>6.8000000000000005E-2</v>
      </c>
      <c r="O17" s="62">
        <f t="shared" ref="O17:O25" si="11">N17/(N17+M17)*100</f>
        <v>28.865914872901001</v>
      </c>
      <c r="P17" s="63"/>
      <c r="Q17" s="17"/>
    </row>
    <row r="18" spans="2:17" x14ac:dyDescent="0.3">
      <c r="B18" s="61"/>
      <c r="C18" s="66">
        <f>0.3*Iload</f>
        <v>1.4999999999999999E-2</v>
      </c>
      <c r="D18" s="62">
        <f t="shared" si="0"/>
        <v>2.9185600000000003E-2</v>
      </c>
      <c r="E18" s="62">
        <f t="shared" si="1"/>
        <v>1.2406499999999999E-2</v>
      </c>
      <c r="F18" s="62">
        <f t="shared" si="2"/>
        <v>3.5016324324324325E-3</v>
      </c>
      <c r="G18" s="62">
        <f t="shared" si="3"/>
        <v>9.4929291453615716E-6</v>
      </c>
      <c r="H18" s="62">
        <f t="shared" si="4"/>
        <v>7.5000000000000006E-3</v>
      </c>
      <c r="I18" s="62">
        <f t="shared" si="5"/>
        <v>0.11832000000000002</v>
      </c>
      <c r="J18" s="62">
        <f t="shared" si="6"/>
        <v>3.4958655953250538E-4</v>
      </c>
      <c r="K18" s="62">
        <f t="shared" si="7"/>
        <v>3.4958655953250538E-4</v>
      </c>
      <c r="L18" s="62">
        <f t="shared" si="8"/>
        <v>2.3559094229364491E-5</v>
      </c>
      <c r="M18" s="62">
        <f t="shared" si="9"/>
        <v>0.17164595757487222</v>
      </c>
      <c r="N18" s="62">
        <f t="shared" si="10"/>
        <v>0.10199999999999999</v>
      </c>
      <c r="O18" s="62">
        <f t="shared" si="11"/>
        <v>37.274440632689334</v>
      </c>
      <c r="P18" s="63"/>
      <c r="Q18" s="17"/>
    </row>
    <row r="19" spans="2:17" x14ac:dyDescent="0.3">
      <c r="B19" s="61"/>
      <c r="C19" s="66">
        <f>0.4*Iload</f>
        <v>2.0000000000000004E-2</v>
      </c>
      <c r="D19" s="62">
        <f t="shared" si="0"/>
        <v>2.9185600000000003E-2</v>
      </c>
      <c r="E19" s="62">
        <f t="shared" si="1"/>
        <v>1.2406499999999999E-2</v>
      </c>
      <c r="F19" s="62">
        <f t="shared" si="2"/>
        <v>4.6688432432432448E-3</v>
      </c>
      <c r="G19" s="62">
        <f t="shared" si="3"/>
        <v>1.68763184806428E-5</v>
      </c>
      <c r="H19" s="62">
        <f t="shared" si="4"/>
        <v>0.01</v>
      </c>
      <c r="I19" s="62">
        <f t="shared" si="5"/>
        <v>0.11832000000000002</v>
      </c>
      <c r="J19" s="62">
        <f t="shared" si="6"/>
        <v>6.2148721694667633E-4</v>
      </c>
      <c r="K19" s="62">
        <f t="shared" si="7"/>
        <v>6.2148721694667633E-4</v>
      </c>
      <c r="L19" s="62">
        <f t="shared" si="8"/>
        <v>4.1882834185536886E-5</v>
      </c>
      <c r="M19" s="62">
        <f t="shared" si="9"/>
        <v>0.17588267682980283</v>
      </c>
      <c r="N19" s="62">
        <f t="shared" si="10"/>
        <v>0.13600000000000001</v>
      </c>
      <c r="O19" s="62">
        <f t="shared" si="11"/>
        <v>43.606141059965445</v>
      </c>
      <c r="P19" s="63"/>
      <c r="Q19" s="17"/>
    </row>
    <row r="20" spans="2:17" x14ac:dyDescent="0.3">
      <c r="B20" s="61"/>
      <c r="C20" s="66">
        <f>0.5*Iload</f>
        <v>2.5000000000000001E-2</v>
      </c>
      <c r="D20" s="62">
        <f t="shared" si="0"/>
        <v>2.9185600000000003E-2</v>
      </c>
      <c r="E20" s="62">
        <f t="shared" si="1"/>
        <v>1.2406499999999999E-2</v>
      </c>
      <c r="F20" s="62">
        <f t="shared" si="2"/>
        <v>5.8360540540540549E-3</v>
      </c>
      <c r="G20" s="62">
        <f t="shared" si="3"/>
        <v>2.6369247626004379E-5</v>
      </c>
      <c r="H20" s="62">
        <f t="shared" si="4"/>
        <v>1.2500000000000001E-2</v>
      </c>
      <c r="I20" s="62">
        <f t="shared" si="5"/>
        <v>0.11832000000000002</v>
      </c>
      <c r="J20" s="62">
        <f t="shared" si="6"/>
        <v>9.7107377647918198E-4</v>
      </c>
      <c r="K20" s="62">
        <f t="shared" si="7"/>
        <v>9.7107377647918198E-4</v>
      </c>
      <c r="L20" s="62">
        <f t="shared" si="8"/>
        <v>6.544192841490138E-5</v>
      </c>
      <c r="M20" s="62">
        <f t="shared" si="9"/>
        <v>0.18028211278305334</v>
      </c>
      <c r="N20" s="62">
        <f t="shared" si="10"/>
        <v>0.17</v>
      </c>
      <c r="O20" s="62">
        <f t="shared" si="11"/>
        <v>48.532309757218243</v>
      </c>
      <c r="P20" s="63"/>
      <c r="Q20" s="17"/>
    </row>
    <row r="21" spans="2:17" x14ac:dyDescent="0.3">
      <c r="B21" s="61"/>
      <c r="C21" s="66">
        <f>0.6*Iload</f>
        <v>0.03</v>
      </c>
      <c r="D21" s="62">
        <f t="shared" si="0"/>
        <v>2.9185600000000003E-2</v>
      </c>
      <c r="E21" s="62">
        <f t="shared" si="1"/>
        <v>1.2406499999999999E-2</v>
      </c>
      <c r="F21" s="62">
        <f t="shared" si="2"/>
        <v>7.003264864864865E-3</v>
      </c>
      <c r="G21" s="62">
        <f t="shared" si="3"/>
        <v>3.7971716581446286E-5</v>
      </c>
      <c r="H21" s="62">
        <f t="shared" si="4"/>
        <v>1.5000000000000001E-2</v>
      </c>
      <c r="I21" s="62">
        <f t="shared" si="5"/>
        <v>0.11832000000000002</v>
      </c>
      <c r="J21" s="62">
        <f t="shared" si="6"/>
        <v>1.3983462381300215E-3</v>
      </c>
      <c r="K21" s="62">
        <f t="shared" si="7"/>
        <v>1.3983462381300215E-3</v>
      </c>
      <c r="L21" s="62">
        <f t="shared" si="8"/>
        <v>9.4236376917457962E-5</v>
      </c>
      <c r="M21" s="62">
        <f t="shared" si="9"/>
        <v>0.18484426543462382</v>
      </c>
      <c r="N21" s="62">
        <f t="shared" si="10"/>
        <v>0.20399999999999999</v>
      </c>
      <c r="O21" s="62">
        <f t="shared" si="11"/>
        <v>52.463162796545959</v>
      </c>
      <c r="P21" s="63"/>
      <c r="Q21" s="17"/>
    </row>
    <row r="22" spans="2:17" x14ac:dyDescent="0.3">
      <c r="B22" s="61"/>
      <c r="C22" s="66">
        <f>0.7*Iload</f>
        <v>3.4999999999999996E-2</v>
      </c>
      <c r="D22" s="62">
        <f t="shared" si="0"/>
        <v>2.9185600000000003E-2</v>
      </c>
      <c r="E22" s="62">
        <f t="shared" si="1"/>
        <v>1.2406499999999999E-2</v>
      </c>
      <c r="F22" s="62">
        <f t="shared" si="2"/>
        <v>8.1704756756756751E-3</v>
      </c>
      <c r="G22" s="62">
        <f t="shared" si="3"/>
        <v>5.1683725346968544E-5</v>
      </c>
      <c r="H22" s="62">
        <f t="shared" si="4"/>
        <v>1.7499999999999995E-2</v>
      </c>
      <c r="I22" s="62">
        <f t="shared" si="5"/>
        <v>0.11832000000000002</v>
      </c>
      <c r="J22" s="62">
        <f t="shared" si="6"/>
        <v>1.9033046018991954E-3</v>
      </c>
      <c r="K22" s="62">
        <f t="shared" si="7"/>
        <v>1.9033046018991954E-3</v>
      </c>
      <c r="L22" s="62">
        <f t="shared" si="8"/>
        <v>1.2826617969320661E-4</v>
      </c>
      <c r="M22" s="62">
        <f t="shared" si="9"/>
        <v>0.18956913478451423</v>
      </c>
      <c r="N22" s="62">
        <f t="shared" si="10"/>
        <v>0.23799999999999996</v>
      </c>
      <c r="O22" s="62">
        <f t="shared" si="11"/>
        <v>55.663512783715532</v>
      </c>
      <c r="P22" s="63"/>
      <c r="Q22" s="17"/>
    </row>
    <row r="23" spans="2:17" x14ac:dyDescent="0.3">
      <c r="B23" s="61"/>
      <c r="C23" s="66">
        <f>0.8*Iload</f>
        <v>4.0000000000000008E-2</v>
      </c>
      <c r="D23" s="62">
        <f t="shared" si="0"/>
        <v>2.9185600000000003E-2</v>
      </c>
      <c r="E23" s="62">
        <f t="shared" si="1"/>
        <v>1.2406499999999999E-2</v>
      </c>
      <c r="F23" s="62">
        <f t="shared" si="2"/>
        <v>9.3376864864864895E-3</v>
      </c>
      <c r="G23" s="62">
        <f t="shared" si="3"/>
        <v>6.7505273922571202E-5</v>
      </c>
      <c r="H23" s="62">
        <f t="shared" si="4"/>
        <v>0.02</v>
      </c>
      <c r="I23" s="62">
        <f t="shared" si="5"/>
        <v>0.11832000000000002</v>
      </c>
      <c r="J23" s="62">
        <f t="shared" si="6"/>
        <v>2.4859488677867053E-3</v>
      </c>
      <c r="K23" s="62">
        <f t="shared" si="7"/>
        <v>2.4859488677867053E-3</v>
      </c>
      <c r="L23" s="62">
        <f t="shared" si="8"/>
        <v>1.6753133674214755E-4</v>
      </c>
      <c r="M23" s="62">
        <f t="shared" si="9"/>
        <v>0.19445672083272461</v>
      </c>
      <c r="N23" s="62">
        <f t="shared" si="10"/>
        <v>0.27200000000000002</v>
      </c>
      <c r="O23" s="62">
        <f t="shared" si="11"/>
        <v>58.311947893991558</v>
      </c>
      <c r="P23" s="63"/>
      <c r="Q23" s="17"/>
    </row>
    <row r="24" spans="2:17" x14ac:dyDescent="0.3">
      <c r="B24" s="61"/>
      <c r="C24" s="66">
        <f>0.9*Iload</f>
        <v>4.5000000000000005E-2</v>
      </c>
      <c r="D24" s="62">
        <f t="shared" si="0"/>
        <v>2.9185600000000003E-2</v>
      </c>
      <c r="E24" s="62">
        <f t="shared" si="1"/>
        <v>1.2406499999999999E-2</v>
      </c>
      <c r="F24" s="62">
        <f t="shared" si="2"/>
        <v>1.0504897297297299E-2</v>
      </c>
      <c r="G24" s="62">
        <f t="shared" si="3"/>
        <v>8.5436362308254212E-5</v>
      </c>
      <c r="H24" s="62">
        <f t="shared" si="4"/>
        <v>2.2500000000000003E-2</v>
      </c>
      <c r="I24" s="62">
        <f t="shared" si="5"/>
        <v>0.11832000000000002</v>
      </c>
      <c r="J24" s="62">
        <f t="shared" si="6"/>
        <v>3.1462790357925504E-3</v>
      </c>
      <c r="K24" s="62">
        <f t="shared" si="7"/>
        <v>3.1462790357925504E-3</v>
      </c>
      <c r="L24" s="62">
        <f t="shared" si="8"/>
        <v>2.1203184806428056E-4</v>
      </c>
      <c r="M24" s="62">
        <f t="shared" si="9"/>
        <v>0.19950702357925493</v>
      </c>
      <c r="N24" s="62">
        <f t="shared" si="10"/>
        <v>0.30600000000000005</v>
      </c>
      <c r="O24" s="62">
        <f t="shared" si="11"/>
        <v>60.533283560208432</v>
      </c>
      <c r="P24" s="63"/>
      <c r="Q24" s="17"/>
    </row>
    <row r="25" spans="2:17" x14ac:dyDescent="0.3">
      <c r="B25" s="61"/>
      <c r="C25" s="66">
        <f>1*Iload</f>
        <v>0.05</v>
      </c>
      <c r="D25" s="62">
        <f t="shared" si="0"/>
        <v>2.9185600000000003E-2</v>
      </c>
      <c r="E25" s="62">
        <f t="shared" si="1"/>
        <v>1.2406499999999999E-2</v>
      </c>
      <c r="F25" s="62">
        <f t="shared" si="2"/>
        <v>1.167210810810811E-2</v>
      </c>
      <c r="G25" s="62">
        <f t="shared" si="3"/>
        <v>1.0547699050401752E-4</v>
      </c>
      <c r="H25" s="62">
        <f t="shared" si="4"/>
        <v>2.5000000000000001E-2</v>
      </c>
      <c r="I25" s="62">
        <f t="shared" si="5"/>
        <v>0.11832000000000002</v>
      </c>
      <c r="J25" s="62">
        <f t="shared" si="6"/>
        <v>3.8842951059167279E-3</v>
      </c>
      <c r="K25" s="62">
        <f t="shared" si="7"/>
        <v>3.8842951059167279E-3</v>
      </c>
      <c r="L25" s="62">
        <f t="shared" si="8"/>
        <v>2.6176771365960552E-4</v>
      </c>
      <c r="M25" s="62">
        <f t="shared" si="9"/>
        <v>0.20472004302410524</v>
      </c>
      <c r="N25" s="62">
        <f t="shared" si="10"/>
        <v>0.34</v>
      </c>
      <c r="O25" s="62">
        <f t="shared" si="11"/>
        <v>62.417383820215719</v>
      </c>
      <c r="P25" s="63"/>
      <c r="Q25" s="17"/>
    </row>
    <row r="26" spans="2:17" x14ac:dyDescent="0.3">
      <c r="B26" s="61"/>
      <c r="C26" s="62"/>
      <c r="D26" s="62"/>
      <c r="E26" s="62"/>
      <c r="F26" s="62"/>
      <c r="G26" s="62"/>
      <c r="H26" s="62"/>
      <c r="I26" s="62"/>
      <c r="J26" s="62"/>
      <c r="K26" s="62"/>
      <c r="L26" s="62"/>
      <c r="M26" s="62"/>
      <c r="N26" s="62"/>
      <c r="O26" s="62"/>
      <c r="P26" s="63"/>
      <c r="Q26" s="46"/>
    </row>
    <row r="27" spans="2:17" x14ac:dyDescent="0.3">
      <c r="B27" s="61"/>
      <c r="C27" s="62"/>
      <c r="D27" s="62"/>
      <c r="E27" s="62"/>
      <c r="F27" s="62"/>
      <c r="G27" s="62"/>
      <c r="H27" s="62" t="s">
        <v>95</v>
      </c>
      <c r="I27" s="62" t="s">
        <v>96</v>
      </c>
      <c r="J27" s="62" t="s">
        <v>97</v>
      </c>
      <c r="K27" s="62" t="s">
        <v>98</v>
      </c>
      <c r="L27" s="62" t="s">
        <v>90</v>
      </c>
      <c r="M27" s="62"/>
      <c r="N27" s="62"/>
      <c r="O27" s="62"/>
      <c r="P27" s="63"/>
      <c r="Q27" s="17"/>
    </row>
    <row r="28" spans="2:17" x14ac:dyDescent="0.3">
      <c r="B28" s="61"/>
      <c r="C28" s="62"/>
      <c r="D28" s="62"/>
      <c r="E28" s="62"/>
      <c r="F28" s="62"/>
      <c r="G28" s="62"/>
      <c r="H28" s="62">
        <f t="shared" ref="H28:H37" si="12">D16+E16</f>
        <v>4.15921E-2</v>
      </c>
      <c r="I28" s="62">
        <f t="shared" ref="I28:I37" si="13">F16+G16</f>
        <v>1.1682655807158514E-3</v>
      </c>
      <c r="J28" s="62">
        <f t="shared" ref="J28:J37" si="14">H16+I16</f>
        <v>0.12082000000000002</v>
      </c>
      <c r="K28" s="62">
        <f t="shared" ref="K28:K37" si="15">J16+K16</f>
        <v>7.7685902118334541E-5</v>
      </c>
      <c r="L28" s="62">
        <f t="shared" ref="L28:L37" si="16">L16</f>
        <v>2.6176771365960554E-6</v>
      </c>
      <c r="M28" s="62"/>
      <c r="N28" s="62"/>
      <c r="O28" s="62"/>
      <c r="P28" s="63"/>
      <c r="Q28" s="17"/>
    </row>
    <row r="29" spans="2:17" x14ac:dyDescent="0.3">
      <c r="B29" s="61"/>
      <c r="C29" s="62"/>
      <c r="D29" s="62"/>
      <c r="E29" s="62"/>
      <c r="F29" s="62"/>
      <c r="G29" s="62"/>
      <c r="H29" s="62">
        <f t="shared" si="12"/>
        <v>4.15921E-2</v>
      </c>
      <c r="I29" s="62">
        <f t="shared" si="13"/>
        <v>2.3386407012417833E-3</v>
      </c>
      <c r="J29" s="62">
        <f t="shared" si="14"/>
        <v>0.12332000000000003</v>
      </c>
      <c r="K29" s="62">
        <f t="shared" si="15"/>
        <v>3.1074360847333816E-4</v>
      </c>
      <c r="L29" s="62">
        <f t="shared" si="16"/>
        <v>1.0470708546384222E-5</v>
      </c>
      <c r="M29" s="62"/>
      <c r="N29" s="62"/>
      <c r="O29" s="62"/>
      <c r="P29" s="63"/>
      <c r="Q29" s="17"/>
    </row>
    <row r="30" spans="2:17" x14ac:dyDescent="0.3">
      <c r="B30" s="61"/>
      <c r="C30" s="62"/>
      <c r="D30" s="62"/>
      <c r="E30" s="62"/>
      <c r="F30" s="62"/>
      <c r="G30" s="62"/>
      <c r="H30" s="62">
        <f t="shared" si="12"/>
        <v>4.15921E-2</v>
      </c>
      <c r="I30" s="62">
        <f t="shared" si="13"/>
        <v>3.5111253615777941E-3</v>
      </c>
      <c r="J30" s="62">
        <f t="shared" si="14"/>
        <v>0.12582000000000002</v>
      </c>
      <c r="K30" s="62">
        <f t="shared" si="15"/>
        <v>6.9917311906501076E-4</v>
      </c>
      <c r="L30" s="62">
        <f t="shared" si="16"/>
        <v>2.3559094229364491E-5</v>
      </c>
      <c r="M30" s="62"/>
      <c r="N30" s="62"/>
      <c r="O30" s="62"/>
      <c r="P30" s="63"/>
      <c r="Q30" s="17"/>
    </row>
    <row r="31" spans="2:17" x14ac:dyDescent="0.3">
      <c r="B31" s="61"/>
      <c r="C31" s="62"/>
      <c r="D31" s="62"/>
      <c r="E31" s="62"/>
      <c r="F31" s="62"/>
      <c r="G31" s="62"/>
      <c r="H31" s="62">
        <f t="shared" si="12"/>
        <v>4.15921E-2</v>
      </c>
      <c r="I31" s="62">
        <f t="shared" si="13"/>
        <v>4.6857195617238875E-3</v>
      </c>
      <c r="J31" s="62">
        <f t="shared" si="14"/>
        <v>0.12832000000000002</v>
      </c>
      <c r="K31" s="62">
        <f t="shared" si="15"/>
        <v>1.2429744338933527E-3</v>
      </c>
      <c r="L31" s="62">
        <f t="shared" si="16"/>
        <v>4.1882834185536886E-5</v>
      </c>
      <c r="M31" s="62"/>
      <c r="N31" s="62"/>
      <c r="O31" s="62"/>
      <c r="P31" s="63"/>
      <c r="Q31" s="17"/>
    </row>
    <row r="32" spans="2:17" x14ac:dyDescent="0.3">
      <c r="B32" s="61"/>
      <c r="C32" s="62"/>
      <c r="D32" s="62"/>
      <c r="E32" s="62"/>
      <c r="F32" s="62"/>
      <c r="G32" s="62"/>
      <c r="H32" s="62">
        <f t="shared" si="12"/>
        <v>4.15921E-2</v>
      </c>
      <c r="I32" s="62">
        <f t="shared" si="13"/>
        <v>5.8624233016800588E-3</v>
      </c>
      <c r="J32" s="62">
        <f t="shared" si="14"/>
        <v>0.13082000000000002</v>
      </c>
      <c r="K32" s="62">
        <f t="shared" si="15"/>
        <v>1.942147552958364E-3</v>
      </c>
      <c r="L32" s="62">
        <f t="shared" si="16"/>
        <v>6.544192841490138E-5</v>
      </c>
      <c r="M32" s="62"/>
      <c r="N32" s="62"/>
      <c r="O32" s="62"/>
      <c r="P32" s="63"/>
      <c r="Q32" s="17"/>
    </row>
    <row r="33" spans="2:17" x14ac:dyDescent="0.3">
      <c r="B33" s="61"/>
      <c r="C33" s="62"/>
      <c r="D33" s="62"/>
      <c r="E33" s="62"/>
      <c r="F33" s="62"/>
      <c r="G33" s="62"/>
      <c r="H33" s="62">
        <f t="shared" si="12"/>
        <v>4.15921E-2</v>
      </c>
      <c r="I33" s="62">
        <f t="shared" si="13"/>
        <v>7.0412365814463114E-3</v>
      </c>
      <c r="J33" s="62">
        <f t="shared" si="14"/>
        <v>0.13332000000000002</v>
      </c>
      <c r="K33" s="62">
        <f t="shared" si="15"/>
        <v>2.796692476260043E-3</v>
      </c>
      <c r="L33" s="62">
        <f t="shared" si="16"/>
        <v>9.4236376917457962E-5</v>
      </c>
      <c r="M33" s="62"/>
      <c r="N33" s="62"/>
      <c r="O33" s="62"/>
      <c r="P33" s="63"/>
      <c r="Q33" s="17"/>
    </row>
    <row r="34" spans="2:17" x14ac:dyDescent="0.3">
      <c r="B34" s="61"/>
      <c r="C34" s="62"/>
      <c r="D34" s="62"/>
      <c r="E34" s="62"/>
      <c r="F34" s="62"/>
      <c r="G34" s="62"/>
      <c r="H34" s="62">
        <f t="shared" si="12"/>
        <v>4.15921E-2</v>
      </c>
      <c r="I34" s="62">
        <f t="shared" si="13"/>
        <v>8.2221594010226436E-3</v>
      </c>
      <c r="J34" s="62">
        <f t="shared" si="14"/>
        <v>0.13582000000000002</v>
      </c>
      <c r="K34" s="62">
        <f t="shared" si="15"/>
        <v>3.8066092037983908E-3</v>
      </c>
      <c r="L34" s="62">
        <f t="shared" si="16"/>
        <v>1.2826617969320661E-4</v>
      </c>
      <c r="M34" s="62"/>
      <c r="N34" s="62"/>
      <c r="O34" s="62"/>
      <c r="P34" s="63"/>
      <c r="Q34" s="17"/>
    </row>
    <row r="35" spans="2:17" x14ac:dyDescent="0.3">
      <c r="B35" s="61"/>
      <c r="C35" s="62"/>
      <c r="D35" s="62"/>
      <c r="E35" s="62"/>
      <c r="F35" s="62"/>
      <c r="G35" s="62"/>
      <c r="H35" s="62">
        <f t="shared" si="12"/>
        <v>4.15921E-2</v>
      </c>
      <c r="I35" s="62">
        <f t="shared" si="13"/>
        <v>9.4051917604090606E-3</v>
      </c>
      <c r="J35" s="62">
        <f t="shared" si="14"/>
        <v>0.13832000000000003</v>
      </c>
      <c r="K35" s="62">
        <f t="shared" si="15"/>
        <v>4.9718977355734106E-3</v>
      </c>
      <c r="L35" s="62">
        <f t="shared" si="16"/>
        <v>1.6753133674214755E-4</v>
      </c>
      <c r="M35" s="62"/>
      <c r="N35" s="62"/>
      <c r="O35" s="62"/>
      <c r="P35" s="63"/>
      <c r="Q35" s="17"/>
    </row>
    <row r="36" spans="2:17" x14ac:dyDescent="0.3">
      <c r="B36" s="61"/>
      <c r="C36" s="62"/>
      <c r="D36" s="62"/>
      <c r="E36" s="62"/>
      <c r="F36" s="62"/>
      <c r="G36" s="62"/>
      <c r="H36" s="62">
        <f t="shared" si="12"/>
        <v>4.15921E-2</v>
      </c>
      <c r="I36" s="62">
        <f t="shared" si="13"/>
        <v>1.0590333659605553E-2</v>
      </c>
      <c r="J36" s="62">
        <f t="shared" si="14"/>
        <v>0.14082000000000003</v>
      </c>
      <c r="K36" s="62">
        <f t="shared" si="15"/>
        <v>6.2925580715851009E-3</v>
      </c>
      <c r="L36" s="62">
        <f t="shared" si="16"/>
        <v>2.1203184806428056E-4</v>
      </c>
      <c r="M36" s="62"/>
      <c r="N36" s="62"/>
      <c r="O36" s="62"/>
      <c r="P36" s="63"/>
      <c r="Q36" s="17"/>
    </row>
    <row r="37" spans="2:17" x14ac:dyDescent="0.3">
      <c r="B37" s="61"/>
      <c r="C37" s="62"/>
      <c r="D37" s="62"/>
      <c r="E37" s="62"/>
      <c r="F37" s="62"/>
      <c r="G37" s="62"/>
      <c r="H37" s="62">
        <f t="shared" si="12"/>
        <v>4.15921E-2</v>
      </c>
      <c r="I37" s="62">
        <f t="shared" si="13"/>
        <v>1.1777585098612127E-2</v>
      </c>
      <c r="J37" s="62">
        <f t="shared" si="14"/>
        <v>0.14332000000000003</v>
      </c>
      <c r="K37" s="62">
        <f t="shared" si="15"/>
        <v>7.7685902118334559E-3</v>
      </c>
      <c r="L37" s="62">
        <f t="shared" si="16"/>
        <v>2.6176771365960552E-4</v>
      </c>
      <c r="M37" s="62"/>
      <c r="N37" s="62"/>
      <c r="O37" s="62"/>
      <c r="P37" s="63"/>
      <c r="Q37" s="17"/>
    </row>
    <row r="38" spans="2:17" x14ac:dyDescent="0.3">
      <c r="B38" s="61"/>
      <c r="C38" s="63"/>
      <c r="D38" s="63"/>
      <c r="E38" s="63"/>
      <c r="F38" s="63"/>
      <c r="G38" s="61"/>
      <c r="H38" s="64"/>
      <c r="I38" s="63"/>
      <c r="J38" s="65"/>
      <c r="K38" s="63"/>
      <c r="L38" s="63"/>
      <c r="M38" s="63"/>
      <c r="N38" s="63"/>
      <c r="O38" s="63"/>
      <c r="P38" s="63"/>
      <c r="Q38" s="17"/>
    </row>
    <row r="39" spans="2:17" x14ac:dyDescent="0.3">
      <c r="B39" s="61"/>
      <c r="C39" s="63"/>
      <c r="D39" s="63"/>
      <c r="E39" s="63"/>
      <c r="F39" s="63"/>
      <c r="G39" s="61"/>
      <c r="H39" s="64"/>
      <c r="I39" s="63"/>
      <c r="J39" s="65"/>
      <c r="K39" s="63"/>
      <c r="L39" s="63"/>
      <c r="M39" s="63"/>
      <c r="N39" s="63"/>
      <c r="O39" s="63"/>
      <c r="P39" s="63"/>
      <c r="Q39" s="46"/>
    </row>
    <row r="40" spans="2:17" x14ac:dyDescent="0.3">
      <c r="B40" s="61"/>
      <c r="C40" s="63" t="s">
        <v>101</v>
      </c>
      <c r="D40" s="63"/>
      <c r="E40" s="63"/>
      <c r="F40" s="63"/>
      <c r="G40" s="63"/>
      <c r="H40" s="63"/>
      <c r="I40" s="63"/>
      <c r="J40" s="63"/>
      <c r="K40" s="63"/>
      <c r="L40" s="63"/>
      <c r="M40" s="63"/>
      <c r="N40" s="63"/>
      <c r="O40" s="63"/>
      <c r="P40" s="63"/>
      <c r="Q40" s="46"/>
    </row>
    <row r="41" spans="2:17" x14ac:dyDescent="0.3">
      <c r="B41" s="61"/>
      <c r="C41" s="63"/>
      <c r="D41" s="63"/>
      <c r="E41" s="63"/>
      <c r="F41" s="63"/>
      <c r="G41" s="63"/>
      <c r="H41" s="63"/>
      <c r="I41" s="63"/>
      <c r="J41" s="63"/>
      <c r="K41" s="63"/>
      <c r="L41" s="63"/>
      <c r="M41" s="63"/>
      <c r="N41" s="63"/>
      <c r="O41" s="63"/>
      <c r="P41" s="63"/>
      <c r="Q41" s="46"/>
    </row>
    <row r="42" spans="2:17" x14ac:dyDescent="0.3">
      <c r="B42" s="61"/>
      <c r="C42" s="62" t="s">
        <v>81</v>
      </c>
      <c r="D42" s="62" t="s">
        <v>82</v>
      </c>
      <c r="E42" s="62" t="s">
        <v>83</v>
      </c>
      <c r="F42" s="62" t="s">
        <v>84</v>
      </c>
      <c r="G42" s="62" t="s">
        <v>85</v>
      </c>
      <c r="H42" s="62" t="s">
        <v>86</v>
      </c>
      <c r="I42" s="62" t="s">
        <v>87</v>
      </c>
      <c r="J42" s="62" t="s">
        <v>88</v>
      </c>
      <c r="K42" s="62" t="s">
        <v>89</v>
      </c>
      <c r="L42" s="62" t="s">
        <v>90</v>
      </c>
      <c r="M42" s="62" t="s">
        <v>92</v>
      </c>
      <c r="N42" s="62" t="s">
        <v>93</v>
      </c>
      <c r="O42" s="62" t="s">
        <v>94</v>
      </c>
      <c r="P42" s="63"/>
      <c r="Q42" s="46"/>
    </row>
    <row r="43" spans="2:17" x14ac:dyDescent="0.3">
      <c r="B43" s="61"/>
      <c r="C43" s="66">
        <f>0.1*Iload</f>
        <v>5.000000000000001E-3</v>
      </c>
      <c r="D43" s="62">
        <f t="shared" ref="D43:D52" si="17">Qg*Vouttarget*Fsync</f>
        <v>2.9185600000000003E-2</v>
      </c>
      <c r="E43" s="62">
        <f t="shared" ref="E43:E52" si="18">Vouttarget*0.0018+Vsupplymin*0.000045</f>
        <v>1.2374999999999999E-2</v>
      </c>
      <c r="F43" s="62">
        <f t="shared" ref="F43:F52" si="19">0.5*(Vouttarget+Vf)*C43*Vouttarget/Vsupplymin*(Tr+Tf)*Fsync</f>
        <v>1.4395600000000001E-3</v>
      </c>
      <c r="G43" s="62">
        <f t="shared" ref="G43:G52" si="20">(1-Vsupplymin/Vouttarget)*(C43*Vouttarget/Vsupplymin)^2*Rdson</f>
        <v>1.9667111111111112E-6</v>
      </c>
      <c r="H43" s="62">
        <f t="shared" ref="H43:H52" si="21">Vsupplymin/Vouttarget*Vf*C43*Vouttarget/Vsupplymin</f>
        <v>2.5000000000000005E-3</v>
      </c>
      <c r="I43" s="62">
        <f t="shared" ref="I43:I52" si="22">Vouttarget*Qrr*Fsync</f>
        <v>0.11832000000000002</v>
      </c>
      <c r="J43" s="62">
        <f>(C43*Vouttarget/Vsupplymin)^2*Rdcr</f>
        <v>5.9084444444444449E-5</v>
      </c>
      <c r="K43" s="62">
        <f t="shared" ref="K43:K52" si="23">J43</f>
        <v>5.9084444444444449E-5</v>
      </c>
      <c r="L43" s="62">
        <f t="shared" ref="L43:L52" si="24">(1-Vsupplymin/Vouttarget)*(C43*Vouttarget/Vsupplymin)^2*Rs</f>
        <v>4.8808888888888896E-6</v>
      </c>
      <c r="M43" s="62">
        <f t="shared" ref="M43:M52" si="25">SUM(D43:L43)</f>
        <v>0.1639451764888889</v>
      </c>
      <c r="N43" s="62">
        <f t="shared" ref="N43:N52" si="26">Vouttarget*C43</f>
        <v>3.4000000000000002E-2</v>
      </c>
      <c r="O43" s="62">
        <f t="shared" ref="O43:O52" si="27">N43/(N43+M43)*100</f>
        <v>17.176473103858886</v>
      </c>
      <c r="P43" s="63"/>
      <c r="Q43" s="46"/>
    </row>
    <row r="44" spans="2:17" x14ac:dyDescent="0.3">
      <c r="B44" s="61"/>
      <c r="C44" s="66">
        <f>0.2*Iload</f>
        <v>1.0000000000000002E-2</v>
      </c>
      <c r="D44" s="62">
        <f t="shared" si="17"/>
        <v>2.9185600000000003E-2</v>
      </c>
      <c r="E44" s="62">
        <f t="shared" si="18"/>
        <v>1.2374999999999999E-2</v>
      </c>
      <c r="F44" s="62">
        <f t="shared" si="19"/>
        <v>2.8791200000000002E-3</v>
      </c>
      <c r="G44" s="62">
        <f t="shared" si="20"/>
        <v>7.8668444444444446E-6</v>
      </c>
      <c r="H44" s="62">
        <f t="shared" si="21"/>
        <v>5.000000000000001E-3</v>
      </c>
      <c r="I44" s="62">
        <f t="shared" si="22"/>
        <v>0.11832000000000002</v>
      </c>
      <c r="J44" s="62">
        <f t="shared" ref="J44:J52" si="28">(C44*Vouttarget/Vsupplytyp)^2*Rdcr</f>
        <v>1.5537180423666908E-4</v>
      </c>
      <c r="K44" s="62">
        <f t="shared" si="23"/>
        <v>1.5537180423666908E-4</v>
      </c>
      <c r="L44" s="62">
        <f t="shared" si="24"/>
        <v>1.9523555555555558E-5</v>
      </c>
      <c r="M44" s="62">
        <f t="shared" si="25"/>
        <v>0.16809785400847338</v>
      </c>
      <c r="N44" s="62">
        <f t="shared" si="26"/>
        <v>6.8000000000000005E-2</v>
      </c>
      <c r="O44" s="62">
        <f t="shared" si="27"/>
        <v>28.80161714538902</v>
      </c>
      <c r="P44" s="63"/>
      <c r="Q44" s="46"/>
    </row>
    <row r="45" spans="2:17" x14ac:dyDescent="0.3">
      <c r="B45" s="61"/>
      <c r="C45" s="66">
        <f>0.3*Iload</f>
        <v>1.4999999999999999E-2</v>
      </c>
      <c r="D45" s="62">
        <f t="shared" si="17"/>
        <v>2.9185600000000003E-2</v>
      </c>
      <c r="E45" s="62">
        <f t="shared" si="18"/>
        <v>1.2374999999999999E-2</v>
      </c>
      <c r="F45" s="62">
        <f t="shared" si="19"/>
        <v>4.3186800000000001E-3</v>
      </c>
      <c r="G45" s="62">
        <f t="shared" si="20"/>
        <v>1.7700399999999994E-5</v>
      </c>
      <c r="H45" s="62">
        <f t="shared" si="21"/>
        <v>7.4999999999999997E-3</v>
      </c>
      <c r="I45" s="62">
        <f t="shared" si="22"/>
        <v>0.11832000000000002</v>
      </c>
      <c r="J45" s="62">
        <f t="shared" si="28"/>
        <v>3.4958655953250538E-4</v>
      </c>
      <c r="K45" s="62">
        <f t="shared" si="23"/>
        <v>3.4958655953250538E-4</v>
      </c>
      <c r="L45" s="62">
        <f t="shared" si="24"/>
        <v>4.3927999999999997E-5</v>
      </c>
      <c r="M45" s="62">
        <f t="shared" si="25"/>
        <v>0.17246008151906506</v>
      </c>
      <c r="N45" s="62">
        <f t="shared" si="26"/>
        <v>0.10199999999999999</v>
      </c>
      <c r="O45" s="62">
        <f t="shared" si="27"/>
        <v>37.163874409515792</v>
      </c>
      <c r="P45" s="63"/>
      <c r="Q45" s="46"/>
    </row>
    <row r="46" spans="2:17" x14ac:dyDescent="0.3">
      <c r="B46" s="61"/>
      <c r="C46" s="66">
        <f>0.4*Iload</f>
        <v>2.0000000000000004E-2</v>
      </c>
      <c r="D46" s="62">
        <f t="shared" si="17"/>
        <v>2.9185600000000003E-2</v>
      </c>
      <c r="E46" s="62">
        <f t="shared" si="18"/>
        <v>1.2374999999999999E-2</v>
      </c>
      <c r="F46" s="62">
        <f t="shared" si="19"/>
        <v>5.7582400000000004E-3</v>
      </c>
      <c r="G46" s="62">
        <f t="shared" si="20"/>
        <v>3.1467377777777778E-5</v>
      </c>
      <c r="H46" s="62">
        <f t="shared" si="21"/>
        <v>1.0000000000000002E-2</v>
      </c>
      <c r="I46" s="62">
        <f t="shared" si="22"/>
        <v>0.11832000000000002</v>
      </c>
      <c r="J46" s="62">
        <f t="shared" si="28"/>
        <v>6.2148721694667633E-4</v>
      </c>
      <c r="K46" s="62">
        <f t="shared" si="23"/>
        <v>6.2148721694667633E-4</v>
      </c>
      <c r="L46" s="62">
        <f t="shared" si="24"/>
        <v>7.8094222222222233E-5</v>
      </c>
      <c r="M46" s="62">
        <f t="shared" si="25"/>
        <v>0.17699137603389339</v>
      </c>
      <c r="N46" s="62">
        <f t="shared" si="26"/>
        <v>0.13600000000000001</v>
      </c>
      <c r="O46" s="62">
        <f t="shared" si="27"/>
        <v>43.451676440207336</v>
      </c>
      <c r="P46" s="63"/>
      <c r="Q46" s="46"/>
    </row>
    <row r="47" spans="2:17" x14ac:dyDescent="0.3">
      <c r="B47" s="61"/>
      <c r="C47" s="66">
        <f>0.5*Iload</f>
        <v>2.5000000000000001E-2</v>
      </c>
      <c r="D47" s="62">
        <f t="shared" si="17"/>
        <v>2.9185600000000003E-2</v>
      </c>
      <c r="E47" s="62">
        <f t="shared" si="18"/>
        <v>1.2374999999999999E-2</v>
      </c>
      <c r="F47" s="62">
        <f t="shared" si="19"/>
        <v>7.1977999999999999E-3</v>
      </c>
      <c r="G47" s="62">
        <f t="shared" si="20"/>
        <v>4.9167777777777783E-5</v>
      </c>
      <c r="H47" s="62">
        <f t="shared" si="21"/>
        <v>1.2499999999999999E-2</v>
      </c>
      <c r="I47" s="62">
        <f t="shared" si="22"/>
        <v>0.11832000000000002</v>
      </c>
      <c r="J47" s="62">
        <f t="shared" si="28"/>
        <v>9.7107377647918198E-4</v>
      </c>
      <c r="K47" s="62">
        <f t="shared" si="23"/>
        <v>9.7107377647918198E-4</v>
      </c>
      <c r="L47" s="62">
        <f t="shared" si="24"/>
        <v>1.2202222222222226E-4</v>
      </c>
      <c r="M47" s="62">
        <f t="shared" si="25"/>
        <v>0.18169173755295837</v>
      </c>
      <c r="N47" s="62">
        <f t="shared" si="26"/>
        <v>0.17</v>
      </c>
      <c r="O47" s="62">
        <f t="shared" si="27"/>
        <v>48.337786148416725</v>
      </c>
      <c r="P47" s="63"/>
      <c r="Q47" s="46"/>
    </row>
    <row r="48" spans="2:17" x14ac:dyDescent="0.3">
      <c r="B48" s="61"/>
      <c r="C48" s="66">
        <f>0.6*Iload</f>
        <v>0.03</v>
      </c>
      <c r="D48" s="62">
        <f t="shared" si="17"/>
        <v>2.9185600000000003E-2</v>
      </c>
      <c r="E48" s="62">
        <f t="shared" si="18"/>
        <v>1.2374999999999999E-2</v>
      </c>
      <c r="F48" s="62">
        <f t="shared" si="19"/>
        <v>8.6373600000000002E-3</v>
      </c>
      <c r="G48" s="62">
        <f t="shared" si="20"/>
        <v>7.0801599999999976E-5</v>
      </c>
      <c r="H48" s="62">
        <f t="shared" si="21"/>
        <v>1.4999999999999999E-2</v>
      </c>
      <c r="I48" s="62">
        <f t="shared" si="22"/>
        <v>0.11832000000000002</v>
      </c>
      <c r="J48" s="62">
        <f t="shared" si="28"/>
        <v>1.3983462381300215E-3</v>
      </c>
      <c r="K48" s="62">
        <f t="shared" si="23"/>
        <v>1.3983462381300215E-3</v>
      </c>
      <c r="L48" s="62">
        <f t="shared" si="24"/>
        <v>1.7571199999999999E-4</v>
      </c>
      <c r="M48" s="62">
        <f t="shared" si="25"/>
        <v>0.18656116607626005</v>
      </c>
      <c r="N48" s="62">
        <f t="shared" si="26"/>
        <v>0.20399999999999999</v>
      </c>
      <c r="O48" s="62">
        <f t="shared" si="27"/>
        <v>52.232535571692615</v>
      </c>
      <c r="P48" s="63"/>
      <c r="Q48" s="46"/>
    </row>
    <row r="49" spans="2:17" x14ac:dyDescent="0.3">
      <c r="B49" s="61"/>
      <c r="C49" s="66">
        <f>0.7*Iload</f>
        <v>3.4999999999999996E-2</v>
      </c>
      <c r="D49" s="62">
        <f t="shared" si="17"/>
        <v>2.9185600000000003E-2</v>
      </c>
      <c r="E49" s="62">
        <f t="shared" si="18"/>
        <v>1.2374999999999999E-2</v>
      </c>
      <c r="F49" s="62">
        <f t="shared" si="19"/>
        <v>1.0076919999999998E-2</v>
      </c>
      <c r="G49" s="62">
        <f t="shared" si="20"/>
        <v>9.636884444444442E-5</v>
      </c>
      <c r="H49" s="62">
        <f t="shared" si="21"/>
        <v>1.7499999999999998E-2</v>
      </c>
      <c r="I49" s="62">
        <f t="shared" si="22"/>
        <v>0.11832000000000002</v>
      </c>
      <c r="J49" s="62">
        <f t="shared" si="28"/>
        <v>1.9033046018991954E-3</v>
      </c>
      <c r="K49" s="62">
        <f t="shared" si="23"/>
        <v>1.9033046018991954E-3</v>
      </c>
      <c r="L49" s="62">
        <f t="shared" si="24"/>
        <v>2.3916355555555553E-4</v>
      </c>
      <c r="M49" s="62">
        <f t="shared" si="25"/>
        <v>0.1915996616037984</v>
      </c>
      <c r="N49" s="62">
        <f t="shared" si="26"/>
        <v>0.23799999999999996</v>
      </c>
      <c r="O49" s="62">
        <f t="shared" si="27"/>
        <v>55.400416078422644</v>
      </c>
      <c r="P49" s="63"/>
      <c r="Q49" s="17"/>
    </row>
    <row r="50" spans="2:17" x14ac:dyDescent="0.3">
      <c r="B50" s="61"/>
      <c r="C50" s="66">
        <f>0.8*Iload</f>
        <v>4.0000000000000008E-2</v>
      </c>
      <c r="D50" s="62">
        <f t="shared" si="17"/>
        <v>2.9185600000000003E-2</v>
      </c>
      <c r="E50" s="62">
        <f t="shared" si="18"/>
        <v>1.2374999999999999E-2</v>
      </c>
      <c r="F50" s="62">
        <f t="shared" si="19"/>
        <v>1.1516480000000001E-2</v>
      </c>
      <c r="G50" s="62">
        <f t="shared" si="20"/>
        <v>1.2586951111111111E-4</v>
      </c>
      <c r="H50" s="62">
        <f t="shared" si="21"/>
        <v>2.0000000000000004E-2</v>
      </c>
      <c r="I50" s="62">
        <f t="shared" si="22"/>
        <v>0.11832000000000002</v>
      </c>
      <c r="J50" s="62">
        <f t="shared" si="28"/>
        <v>2.4859488677867053E-3</v>
      </c>
      <c r="K50" s="62">
        <f t="shared" si="23"/>
        <v>2.4859488677867053E-3</v>
      </c>
      <c r="L50" s="62">
        <f t="shared" si="24"/>
        <v>3.1237688888888893E-4</v>
      </c>
      <c r="M50" s="62">
        <f t="shared" si="25"/>
        <v>0.19680722413557342</v>
      </c>
      <c r="N50" s="62">
        <f t="shared" si="26"/>
        <v>0.27200000000000002</v>
      </c>
      <c r="O50" s="62">
        <f t="shared" si="27"/>
        <v>58.019583742877835</v>
      </c>
      <c r="P50" s="63"/>
      <c r="Q50" s="17"/>
    </row>
    <row r="51" spans="2:17" x14ac:dyDescent="0.3">
      <c r="B51" s="61"/>
      <c r="C51" s="66">
        <f>0.9*Iload</f>
        <v>4.5000000000000005E-2</v>
      </c>
      <c r="D51" s="62">
        <f t="shared" si="17"/>
        <v>2.9185600000000003E-2</v>
      </c>
      <c r="E51" s="62">
        <f t="shared" si="18"/>
        <v>1.2374999999999999E-2</v>
      </c>
      <c r="F51" s="62">
        <f t="shared" si="19"/>
        <v>1.2956040000000002E-2</v>
      </c>
      <c r="G51" s="62">
        <f t="shared" si="20"/>
        <v>1.5930360000000006E-4</v>
      </c>
      <c r="H51" s="62">
        <f t="shared" si="21"/>
        <v>2.2500000000000003E-2</v>
      </c>
      <c r="I51" s="62">
        <f t="shared" si="22"/>
        <v>0.11832000000000002</v>
      </c>
      <c r="J51" s="62">
        <f t="shared" si="28"/>
        <v>3.1462790357925504E-3</v>
      </c>
      <c r="K51" s="62">
        <f t="shared" si="23"/>
        <v>3.1462790357925504E-3</v>
      </c>
      <c r="L51" s="62">
        <f t="shared" si="24"/>
        <v>3.9535200000000018E-4</v>
      </c>
      <c r="M51" s="62">
        <f t="shared" si="25"/>
        <v>0.20218385367158509</v>
      </c>
      <c r="N51" s="62">
        <f t="shared" si="26"/>
        <v>0.30600000000000005</v>
      </c>
      <c r="O51" s="62">
        <f t="shared" si="27"/>
        <v>60.214427866839145</v>
      </c>
      <c r="P51" s="63"/>
      <c r="Q51" s="17"/>
    </row>
    <row r="52" spans="2:17" x14ac:dyDescent="0.3">
      <c r="B52" s="61"/>
      <c r="C52" s="66">
        <f>1*Iload</f>
        <v>0.05</v>
      </c>
      <c r="D52" s="62">
        <f t="shared" si="17"/>
        <v>2.9185600000000003E-2</v>
      </c>
      <c r="E52" s="62">
        <f t="shared" si="18"/>
        <v>1.2374999999999999E-2</v>
      </c>
      <c r="F52" s="62">
        <f t="shared" si="19"/>
        <v>1.43956E-2</v>
      </c>
      <c r="G52" s="62">
        <f t="shared" si="20"/>
        <v>1.9667111111111113E-4</v>
      </c>
      <c r="H52" s="62">
        <f t="shared" si="21"/>
        <v>2.4999999999999998E-2</v>
      </c>
      <c r="I52" s="62">
        <f t="shared" si="22"/>
        <v>0.11832000000000002</v>
      </c>
      <c r="J52" s="62">
        <f t="shared" si="28"/>
        <v>3.8842951059167279E-3</v>
      </c>
      <c r="K52" s="62">
        <f t="shared" si="23"/>
        <v>3.8842951059167279E-3</v>
      </c>
      <c r="L52" s="62">
        <f t="shared" si="24"/>
        <v>4.8808888888888906E-4</v>
      </c>
      <c r="M52" s="62">
        <f t="shared" si="25"/>
        <v>0.20772955021183345</v>
      </c>
      <c r="N52" s="62">
        <f t="shared" si="26"/>
        <v>0.34</v>
      </c>
      <c r="O52" s="62">
        <f t="shared" si="27"/>
        <v>62.074430687280902</v>
      </c>
      <c r="P52" s="63"/>
      <c r="Q52" s="17"/>
    </row>
    <row r="53" spans="2:17" x14ac:dyDescent="0.3">
      <c r="B53" s="61"/>
      <c r="C53" s="62"/>
      <c r="D53" s="62"/>
      <c r="E53" s="62"/>
      <c r="F53" s="62"/>
      <c r="G53" s="62"/>
      <c r="H53" s="62"/>
      <c r="I53" s="62"/>
      <c r="J53" s="62"/>
      <c r="K53" s="62"/>
      <c r="L53" s="62"/>
      <c r="M53" s="62"/>
      <c r="N53" s="62"/>
      <c r="O53" s="62"/>
      <c r="P53" s="63"/>
      <c r="Q53" s="17"/>
    </row>
    <row r="54" spans="2:17" x14ac:dyDescent="0.3">
      <c r="B54" s="61"/>
      <c r="C54" s="62"/>
      <c r="D54" s="62"/>
      <c r="E54" s="62"/>
      <c r="F54" s="62"/>
      <c r="G54" s="62"/>
      <c r="H54" s="62" t="s">
        <v>95</v>
      </c>
      <c r="I54" s="62" t="s">
        <v>96</v>
      </c>
      <c r="J54" s="62" t="s">
        <v>97</v>
      </c>
      <c r="K54" s="62" t="s">
        <v>98</v>
      </c>
      <c r="L54" s="62" t="s">
        <v>90</v>
      </c>
      <c r="M54" s="62"/>
      <c r="N54" s="62"/>
      <c r="O54" s="62"/>
      <c r="P54" s="63"/>
      <c r="Q54" s="17"/>
    </row>
    <row r="55" spans="2:17" x14ac:dyDescent="0.3">
      <c r="B55" s="61"/>
      <c r="C55" s="62"/>
      <c r="D55" s="62"/>
      <c r="E55" s="62"/>
      <c r="F55" s="62"/>
      <c r="G55" s="62"/>
      <c r="H55" s="62">
        <f t="shared" ref="H55:H64" si="29">D43+E43</f>
        <v>4.1560600000000003E-2</v>
      </c>
      <c r="I55" s="62">
        <f t="shared" ref="I55:I64" si="30">F43+G43</f>
        <v>1.4415267111111112E-3</v>
      </c>
      <c r="J55" s="62">
        <f t="shared" ref="J55:J64" si="31">H43+I43</f>
        <v>0.12082000000000002</v>
      </c>
      <c r="K55" s="62">
        <f t="shared" ref="K55:K64" si="32">J43+K43</f>
        <v>1.181688888888889E-4</v>
      </c>
      <c r="L55" s="62">
        <f t="shared" ref="L55:L64" si="33">L43</f>
        <v>4.8808888888888896E-6</v>
      </c>
      <c r="M55" s="62"/>
      <c r="N55" s="62"/>
      <c r="O55" s="62"/>
      <c r="P55" s="63"/>
      <c r="Q55" s="17"/>
    </row>
    <row r="56" spans="2:17" x14ac:dyDescent="0.3">
      <c r="B56" s="61"/>
      <c r="C56" s="62"/>
      <c r="D56" s="62"/>
      <c r="E56" s="62"/>
      <c r="F56" s="62"/>
      <c r="G56" s="62"/>
      <c r="H56" s="62">
        <f t="shared" si="29"/>
        <v>4.1560600000000003E-2</v>
      </c>
      <c r="I56" s="62">
        <f t="shared" si="30"/>
        <v>2.8869868444444447E-3</v>
      </c>
      <c r="J56" s="62">
        <f t="shared" si="31"/>
        <v>0.12332000000000003</v>
      </c>
      <c r="K56" s="62">
        <f t="shared" si="32"/>
        <v>3.1074360847333816E-4</v>
      </c>
      <c r="L56" s="62">
        <f t="shared" si="33"/>
        <v>1.9523555555555558E-5</v>
      </c>
      <c r="M56" s="62"/>
      <c r="N56" s="62"/>
      <c r="O56" s="62"/>
      <c r="P56" s="63"/>
      <c r="Q56" s="17"/>
    </row>
    <row r="57" spans="2:17" x14ac:dyDescent="0.3">
      <c r="B57" s="61"/>
      <c r="C57" s="62"/>
      <c r="D57" s="62"/>
      <c r="E57" s="62"/>
      <c r="F57" s="62"/>
      <c r="G57" s="62"/>
      <c r="H57" s="62">
        <f t="shared" si="29"/>
        <v>4.1560600000000003E-2</v>
      </c>
      <c r="I57" s="62">
        <f t="shared" si="30"/>
        <v>4.3363804000000001E-3</v>
      </c>
      <c r="J57" s="62">
        <f t="shared" si="31"/>
        <v>0.12582000000000002</v>
      </c>
      <c r="K57" s="62">
        <f t="shared" si="32"/>
        <v>6.9917311906501076E-4</v>
      </c>
      <c r="L57" s="62">
        <f t="shared" si="33"/>
        <v>4.3927999999999997E-5</v>
      </c>
      <c r="M57" s="62"/>
      <c r="N57" s="62"/>
      <c r="O57" s="62"/>
      <c r="P57" s="63"/>
      <c r="Q57" s="46"/>
    </row>
    <row r="58" spans="2:17" x14ac:dyDescent="0.3">
      <c r="B58" s="61"/>
      <c r="C58" s="62"/>
      <c r="D58" s="62"/>
      <c r="E58" s="62"/>
      <c r="F58" s="62"/>
      <c r="G58" s="62"/>
      <c r="H58" s="62">
        <f t="shared" si="29"/>
        <v>4.1560600000000003E-2</v>
      </c>
      <c r="I58" s="62">
        <f t="shared" si="30"/>
        <v>5.7897073777777785E-3</v>
      </c>
      <c r="J58" s="62">
        <f t="shared" si="31"/>
        <v>0.12832000000000002</v>
      </c>
      <c r="K58" s="62">
        <f t="shared" si="32"/>
        <v>1.2429744338933527E-3</v>
      </c>
      <c r="L58" s="62">
        <f t="shared" si="33"/>
        <v>7.8094222222222233E-5</v>
      </c>
      <c r="M58" s="62"/>
      <c r="N58" s="62"/>
      <c r="O58" s="62"/>
      <c r="P58" s="63"/>
      <c r="Q58" s="46"/>
    </row>
    <row r="59" spans="2:17" x14ac:dyDescent="0.3">
      <c r="B59" s="61"/>
      <c r="C59" s="62"/>
      <c r="D59" s="62"/>
      <c r="E59" s="62"/>
      <c r="F59" s="62"/>
      <c r="G59" s="62"/>
      <c r="H59" s="62">
        <f t="shared" si="29"/>
        <v>4.1560600000000003E-2</v>
      </c>
      <c r="I59" s="62">
        <f t="shared" si="30"/>
        <v>7.2469677777777779E-3</v>
      </c>
      <c r="J59" s="62">
        <f t="shared" si="31"/>
        <v>0.13082000000000002</v>
      </c>
      <c r="K59" s="62">
        <f t="shared" si="32"/>
        <v>1.942147552958364E-3</v>
      </c>
      <c r="L59" s="62">
        <f t="shared" si="33"/>
        <v>1.2202222222222226E-4</v>
      </c>
      <c r="M59" s="62"/>
      <c r="N59" s="62"/>
      <c r="O59" s="62"/>
      <c r="P59" s="63"/>
      <c r="Q59" s="46"/>
    </row>
    <row r="60" spans="2:17" x14ac:dyDescent="0.3">
      <c r="B60" s="61"/>
      <c r="C60" s="62"/>
      <c r="D60" s="62"/>
      <c r="E60" s="62"/>
      <c r="F60" s="62"/>
      <c r="G60" s="62"/>
      <c r="H60" s="62">
        <f t="shared" si="29"/>
        <v>4.1560600000000003E-2</v>
      </c>
      <c r="I60" s="62">
        <f t="shared" si="30"/>
        <v>8.7081616000000001E-3</v>
      </c>
      <c r="J60" s="62">
        <f t="shared" si="31"/>
        <v>0.13332000000000002</v>
      </c>
      <c r="K60" s="62">
        <f t="shared" si="32"/>
        <v>2.796692476260043E-3</v>
      </c>
      <c r="L60" s="62">
        <f t="shared" si="33"/>
        <v>1.7571199999999999E-4</v>
      </c>
      <c r="M60" s="62"/>
      <c r="N60" s="62"/>
      <c r="O60" s="62"/>
      <c r="P60" s="63"/>
      <c r="Q60" s="46"/>
    </row>
    <row r="61" spans="2:17" x14ac:dyDescent="0.3">
      <c r="B61" s="61"/>
      <c r="C61" s="62"/>
      <c r="D61" s="62"/>
      <c r="E61" s="62"/>
      <c r="F61" s="62"/>
      <c r="G61" s="62"/>
      <c r="H61" s="62">
        <f t="shared" si="29"/>
        <v>4.1560600000000003E-2</v>
      </c>
      <c r="I61" s="62">
        <f t="shared" si="30"/>
        <v>1.0173288844444442E-2</v>
      </c>
      <c r="J61" s="62">
        <f t="shared" si="31"/>
        <v>0.13582000000000002</v>
      </c>
      <c r="K61" s="62">
        <f t="shared" si="32"/>
        <v>3.8066092037983908E-3</v>
      </c>
      <c r="L61" s="62">
        <f t="shared" si="33"/>
        <v>2.3916355555555553E-4</v>
      </c>
      <c r="M61" s="62"/>
      <c r="N61" s="62"/>
      <c r="O61" s="62"/>
      <c r="P61" s="63"/>
      <c r="Q61" s="46"/>
    </row>
    <row r="62" spans="2:17" x14ac:dyDescent="0.3">
      <c r="B62" s="61"/>
      <c r="C62" s="62"/>
      <c r="D62" s="62"/>
      <c r="E62" s="62"/>
      <c r="F62" s="62"/>
      <c r="G62" s="62"/>
      <c r="H62" s="62">
        <f t="shared" si="29"/>
        <v>4.1560600000000003E-2</v>
      </c>
      <c r="I62" s="62">
        <f t="shared" si="30"/>
        <v>1.1642349511111112E-2</v>
      </c>
      <c r="J62" s="62">
        <f t="shared" si="31"/>
        <v>0.13832000000000003</v>
      </c>
      <c r="K62" s="62">
        <f t="shared" si="32"/>
        <v>4.9718977355734106E-3</v>
      </c>
      <c r="L62" s="62">
        <f t="shared" si="33"/>
        <v>3.1237688888888893E-4</v>
      </c>
      <c r="M62" s="62"/>
      <c r="N62" s="62"/>
      <c r="O62" s="62"/>
      <c r="P62" s="63"/>
      <c r="Q62" s="46"/>
    </row>
    <row r="63" spans="2:17" x14ac:dyDescent="0.3">
      <c r="B63" s="61"/>
      <c r="C63" s="62"/>
      <c r="D63" s="62"/>
      <c r="E63" s="62"/>
      <c r="F63" s="62"/>
      <c r="G63" s="62"/>
      <c r="H63" s="62">
        <f t="shared" si="29"/>
        <v>4.1560600000000003E-2</v>
      </c>
      <c r="I63" s="62">
        <f t="shared" si="30"/>
        <v>1.3115343600000003E-2</v>
      </c>
      <c r="J63" s="62">
        <f t="shared" si="31"/>
        <v>0.14082000000000003</v>
      </c>
      <c r="K63" s="62">
        <f t="shared" si="32"/>
        <v>6.2925580715851009E-3</v>
      </c>
      <c r="L63" s="62">
        <f t="shared" si="33"/>
        <v>3.9535200000000018E-4</v>
      </c>
      <c r="M63" s="62"/>
      <c r="N63" s="62"/>
      <c r="O63" s="62"/>
      <c r="P63" s="63"/>
      <c r="Q63" s="46"/>
    </row>
    <row r="64" spans="2:17" x14ac:dyDescent="0.3">
      <c r="B64" s="61"/>
      <c r="C64" s="62"/>
      <c r="D64" s="62"/>
      <c r="E64" s="62"/>
      <c r="F64" s="62"/>
      <c r="G64" s="62"/>
      <c r="H64" s="62">
        <f t="shared" si="29"/>
        <v>4.1560600000000003E-2</v>
      </c>
      <c r="I64" s="62">
        <f t="shared" si="30"/>
        <v>1.459227111111111E-2</v>
      </c>
      <c r="J64" s="62">
        <f t="shared" si="31"/>
        <v>0.14332000000000003</v>
      </c>
      <c r="K64" s="62">
        <f t="shared" si="32"/>
        <v>7.7685902118334559E-3</v>
      </c>
      <c r="L64" s="62">
        <f t="shared" si="33"/>
        <v>4.8808888888888906E-4</v>
      </c>
      <c r="M64" s="62"/>
      <c r="N64" s="62"/>
      <c r="O64" s="62"/>
      <c r="P64" s="63"/>
      <c r="Q64" s="46"/>
    </row>
    <row r="65" spans="2:17" x14ac:dyDescent="0.3">
      <c r="B65" s="61"/>
      <c r="C65" s="63"/>
      <c r="D65" s="63"/>
      <c r="E65" s="63"/>
      <c r="F65" s="63"/>
      <c r="G65" s="61"/>
      <c r="H65" s="64"/>
      <c r="I65" s="63"/>
      <c r="J65" s="65"/>
      <c r="K65" s="63"/>
      <c r="L65" s="63"/>
      <c r="M65" s="63"/>
      <c r="N65" s="63"/>
      <c r="O65" s="63"/>
      <c r="P65" s="63"/>
      <c r="Q65" s="46"/>
    </row>
    <row r="66" spans="2:17" x14ac:dyDescent="0.3">
      <c r="B66" s="61"/>
      <c r="C66" s="63"/>
      <c r="D66" s="63"/>
      <c r="E66" s="63"/>
      <c r="F66" s="63"/>
      <c r="G66" s="61"/>
      <c r="H66" s="64"/>
      <c r="I66" s="63"/>
      <c r="J66" s="65"/>
      <c r="K66" s="63"/>
      <c r="L66" s="63"/>
      <c r="M66" s="63"/>
      <c r="N66" s="63"/>
      <c r="O66" s="63"/>
      <c r="P66" s="63"/>
      <c r="Q66" s="46"/>
    </row>
    <row r="67" spans="2:17" x14ac:dyDescent="0.3">
      <c r="B67" s="61"/>
      <c r="C67" s="63"/>
      <c r="D67" s="63"/>
      <c r="E67" s="63"/>
      <c r="F67" s="63"/>
      <c r="G67" s="61"/>
      <c r="H67" s="64"/>
      <c r="I67" s="63"/>
      <c r="J67" s="65"/>
      <c r="K67" s="63"/>
      <c r="L67" s="63"/>
      <c r="M67" s="63"/>
      <c r="N67" s="63"/>
      <c r="O67" s="63"/>
      <c r="P67" s="63"/>
      <c r="Q67" s="46"/>
    </row>
    <row r="68" spans="2:17" x14ac:dyDescent="0.3">
      <c r="B68" s="61"/>
      <c r="C68" s="62"/>
      <c r="D68" s="62" t="s">
        <v>116</v>
      </c>
      <c r="E68" s="62">
        <v>3.1415920000000002</v>
      </c>
      <c r="F68" s="62"/>
      <c r="G68" s="67"/>
      <c r="H68" s="62"/>
      <c r="I68" s="68"/>
      <c r="J68" s="63"/>
      <c r="K68" s="63"/>
      <c r="L68" s="63"/>
      <c r="M68" s="63"/>
      <c r="N68" s="63"/>
      <c r="O68" s="63"/>
      <c r="P68" s="63"/>
      <c r="Q68" s="46"/>
    </row>
    <row r="69" spans="2:17" x14ac:dyDescent="0.3">
      <c r="B69" s="61"/>
      <c r="C69" s="62"/>
      <c r="D69" s="62"/>
      <c r="E69" s="62"/>
      <c r="F69" s="62"/>
      <c r="G69" s="67"/>
      <c r="H69" s="62"/>
      <c r="I69" s="68"/>
      <c r="J69" s="63"/>
      <c r="K69" s="63"/>
      <c r="L69" s="63"/>
      <c r="M69" s="63"/>
      <c r="N69" s="63"/>
      <c r="O69" s="63"/>
      <c r="P69" s="63"/>
      <c r="Q69" s="46"/>
    </row>
    <row r="70" spans="2:17" x14ac:dyDescent="0.3">
      <c r="B70" s="61"/>
      <c r="C70" s="62"/>
      <c r="D70" s="69" t="s">
        <v>115</v>
      </c>
      <c r="E70" s="70">
        <f>Rload*(1-Dmax_ideal)/Rs/10/2</f>
        <v>41.095890410958908</v>
      </c>
      <c r="F70" s="62"/>
      <c r="G70" s="62"/>
      <c r="H70" s="68" t="s">
        <v>127</v>
      </c>
      <c r="I70" s="62">
        <f>0.002*1.2/Vouttarget/(Ccomp+Chf)</f>
        <v>10621.242848817046</v>
      </c>
      <c r="J70" s="63"/>
      <c r="K70" s="63"/>
      <c r="L70" s="63"/>
      <c r="M70" s="63"/>
      <c r="N70" s="63"/>
      <c r="O70" s="63"/>
      <c r="P70" s="63"/>
      <c r="Q70" s="46"/>
    </row>
    <row r="71" spans="2:17" x14ac:dyDescent="0.3">
      <c r="B71" s="61"/>
      <c r="C71" s="69" t="s">
        <v>107</v>
      </c>
      <c r="D71" s="62" t="s">
        <v>120</v>
      </c>
      <c r="E71" s="70">
        <f>Frhp</f>
        <v>110831.22002463715</v>
      </c>
      <c r="F71" s="62"/>
      <c r="G71" s="62" t="s">
        <v>113</v>
      </c>
      <c r="H71" s="68" t="s">
        <v>125</v>
      </c>
      <c r="I71" s="62">
        <f>Fzea</f>
        <v>3709.9062052015834</v>
      </c>
      <c r="J71" s="63"/>
      <c r="K71" s="63"/>
      <c r="L71" s="63"/>
      <c r="M71" s="63"/>
      <c r="N71" s="63"/>
      <c r="O71" s="63"/>
      <c r="P71" s="63"/>
      <c r="Q71" s="46"/>
    </row>
    <row r="72" spans="2:17" x14ac:dyDescent="0.3">
      <c r="B72" s="61"/>
      <c r="C72" s="69" t="s">
        <v>108</v>
      </c>
      <c r="D72" s="62" t="s">
        <v>130</v>
      </c>
      <c r="E72" s="70">
        <f>Fzesr</f>
        <v>533155.14103730663</v>
      </c>
      <c r="F72" s="62"/>
      <c r="G72" s="62" t="s">
        <v>114</v>
      </c>
      <c r="H72" s="68" t="s">
        <v>126</v>
      </c>
      <c r="I72" s="62">
        <f>Fpea</f>
        <v>536594.87117109867</v>
      </c>
      <c r="J72" s="63"/>
      <c r="K72" s="63"/>
      <c r="L72" s="63"/>
      <c r="M72" s="63"/>
      <c r="N72" s="63"/>
      <c r="O72" s="63"/>
      <c r="P72" s="63"/>
      <c r="Q72" s="46"/>
    </row>
    <row r="73" spans="2:17" x14ac:dyDescent="0.3">
      <c r="B73" s="61"/>
      <c r="C73" s="69" t="s">
        <v>109</v>
      </c>
      <c r="D73" s="62" t="s">
        <v>121</v>
      </c>
      <c r="E73" s="70" t="e">
        <f>1/ESR/(Cout1*Cout2/(Cout1+Cout2))/2/pi</f>
        <v>#DIV/0!</v>
      </c>
      <c r="F73" s="62"/>
      <c r="G73" s="67"/>
      <c r="H73" s="62"/>
      <c r="I73" s="68"/>
      <c r="J73" s="63"/>
      <c r="K73" s="63"/>
      <c r="L73" s="63"/>
      <c r="M73" s="63"/>
      <c r="N73" s="63"/>
      <c r="O73" s="63"/>
      <c r="P73" s="63"/>
      <c r="Q73" s="46"/>
    </row>
    <row r="74" spans="2:17" x14ac:dyDescent="0.3">
      <c r="B74" s="61"/>
      <c r="C74" s="69" t="s">
        <v>110</v>
      </c>
      <c r="D74" s="62" t="s">
        <v>122</v>
      </c>
      <c r="E74" s="70">
        <f>Flp</f>
        <v>1662.4683003695573</v>
      </c>
      <c r="F74" s="62"/>
      <c r="G74" s="67"/>
      <c r="H74" s="62"/>
      <c r="I74" s="68"/>
      <c r="J74" s="63"/>
      <c r="K74" s="63"/>
      <c r="L74" s="63"/>
      <c r="M74" s="63"/>
      <c r="N74" s="63"/>
      <c r="O74" s="63"/>
      <c r="P74" s="63"/>
      <c r="Q74" s="46"/>
    </row>
    <row r="75" spans="2:17" x14ac:dyDescent="0.3">
      <c r="B75" s="61"/>
      <c r="C75" s="69"/>
      <c r="D75" s="62" t="s">
        <v>119</v>
      </c>
      <c r="E75" s="71">
        <f>(1+Lm*Fsync*0.00003*(2000+Rsl)/Vsupplymin/Rs)*(1-Dmax_ideal)</f>
        <v>5.0378726833199039</v>
      </c>
      <c r="F75" s="62"/>
      <c r="G75" s="67"/>
      <c r="H75" s="62"/>
      <c r="I75" s="68"/>
      <c r="J75" s="63"/>
      <c r="K75" s="63"/>
      <c r="L75" s="63"/>
      <c r="M75" s="63"/>
      <c r="N75" s="63"/>
      <c r="O75" s="63"/>
      <c r="P75" s="63"/>
      <c r="Q75" s="46"/>
    </row>
    <row r="76" spans="2:17" x14ac:dyDescent="0.3">
      <c r="B76" s="61"/>
      <c r="C76" s="69" t="s">
        <v>111</v>
      </c>
      <c r="D76" s="62" t="s">
        <v>123</v>
      </c>
      <c r="E76" s="70">
        <f>Fsync/(2*pi*(Kfactor-0.5))</f>
        <v>40684.211585368663</v>
      </c>
      <c r="F76" s="62"/>
      <c r="G76" s="67"/>
      <c r="H76" s="62"/>
      <c r="I76" s="68"/>
      <c r="J76" s="63"/>
      <c r="K76" s="63"/>
      <c r="L76" s="63"/>
      <c r="M76" s="63"/>
      <c r="N76" s="63"/>
      <c r="O76" s="63"/>
      <c r="P76" s="63"/>
      <c r="Q76" s="46"/>
    </row>
    <row r="77" spans="2:17" x14ac:dyDescent="0.3">
      <c r="B77" s="61"/>
      <c r="C77" s="69" t="s">
        <v>112</v>
      </c>
      <c r="D77" s="62" t="s">
        <v>124</v>
      </c>
      <c r="E77" s="70">
        <f>Fsync/2</f>
        <v>580000</v>
      </c>
      <c r="F77" s="62"/>
      <c r="G77" s="67"/>
      <c r="H77" s="62"/>
      <c r="I77" s="68"/>
      <c r="J77" s="63"/>
      <c r="K77" s="63"/>
      <c r="L77" s="63"/>
      <c r="M77" s="63"/>
      <c r="N77" s="63"/>
      <c r="O77" s="63"/>
      <c r="P77" s="63"/>
      <c r="Q77" s="46"/>
    </row>
    <row r="78" spans="2:17" x14ac:dyDescent="0.3">
      <c r="B78" s="61"/>
      <c r="C78" s="63"/>
      <c r="D78" s="63"/>
      <c r="E78" s="63"/>
      <c r="F78" s="63"/>
      <c r="G78" s="63"/>
      <c r="H78" s="64"/>
      <c r="I78" s="63"/>
      <c r="J78" s="65"/>
      <c r="K78" s="63"/>
      <c r="L78" s="63"/>
      <c r="M78" s="63"/>
      <c r="N78" s="63"/>
      <c r="O78" s="63"/>
      <c r="P78" s="63"/>
      <c r="Q78" s="46"/>
    </row>
    <row r="79" spans="2:17" x14ac:dyDescent="0.3">
      <c r="B79" s="61"/>
      <c r="C79" s="63"/>
      <c r="D79" s="62"/>
      <c r="E79" s="62"/>
      <c r="F79" s="63"/>
      <c r="G79" s="63"/>
      <c r="H79" s="64"/>
      <c r="I79" s="63"/>
      <c r="J79" s="65"/>
      <c r="K79" s="63"/>
      <c r="L79" s="63"/>
      <c r="M79" s="63"/>
      <c r="N79" s="63"/>
      <c r="O79" s="63"/>
      <c r="P79" s="63"/>
      <c r="Q79" s="46"/>
    </row>
    <row r="80" spans="2:17" x14ac:dyDescent="0.3">
      <c r="B80" s="61"/>
      <c r="C80" s="62"/>
      <c r="D80" s="62" t="s">
        <v>102</v>
      </c>
      <c r="E80" s="62"/>
      <c r="F80" s="62" t="s">
        <v>105</v>
      </c>
      <c r="G80" s="67"/>
      <c r="H80" s="62" t="s">
        <v>106</v>
      </c>
      <c r="I80" s="68"/>
      <c r="J80" s="63"/>
      <c r="K80" s="63"/>
      <c r="L80" s="63"/>
      <c r="M80" s="63"/>
      <c r="N80" s="63"/>
      <c r="O80" s="63"/>
      <c r="P80" s="63"/>
      <c r="Q80" s="46"/>
    </row>
    <row r="81" spans="2:17" x14ac:dyDescent="0.3">
      <c r="B81" s="63"/>
      <c r="C81" s="72" t="s">
        <v>99</v>
      </c>
      <c r="D81" s="62" t="s">
        <v>103</v>
      </c>
      <c r="E81" s="62" t="s">
        <v>104</v>
      </c>
      <c r="F81" s="62" t="s">
        <v>103</v>
      </c>
      <c r="G81" s="67" t="s">
        <v>104</v>
      </c>
      <c r="H81" s="62" t="s">
        <v>103</v>
      </c>
      <c r="I81" s="68" t="s">
        <v>104</v>
      </c>
      <c r="J81" s="63"/>
      <c r="K81" s="63"/>
      <c r="L81" s="63"/>
      <c r="M81" s="63"/>
      <c r="N81" s="63"/>
      <c r="O81" s="63"/>
      <c r="P81" s="63"/>
      <c r="Q81" s="46"/>
    </row>
    <row r="82" spans="2:17" x14ac:dyDescent="0.3">
      <c r="B82" s="63"/>
      <c r="C82" s="73">
        <v>1</v>
      </c>
      <c r="D82" s="62" t="e">
        <f t="shared" ref="D82:D145" si="34">20*LOG(Am*IMABS(IMDIV(IMDIV(IMDIV(IMPRODUCT( COMPLEX(1,C82/Fzesr),COMPLEX(1,-C82/Frhp) ),COMPLEX(1,C82/Flp) ),COMPLEX(1,C82/Fesrp) ),COMPLEX(1-C82^2/(Fdp^2),C82/Fsp) )))</f>
        <v>#DIV/0!</v>
      </c>
      <c r="E82" s="62" t="e">
        <f t="shared" ref="E82:E145" si="35">IMARGUMENT(IMDIV(IMDIV(IMDIV(IMPRODUCT( COMPLEX(1,C82/Fzesr),COMPLEX(1,-C82/Frhp) ),COMPLEX(1,C82/Flp) ),COMPLEX(1,C82/Fesrp) ),COMPLEX(1-C82^2/(Fdp^2),C82/Fsp) ))*180/pi</f>
        <v>#DIV/0!</v>
      </c>
      <c r="F82" s="62">
        <f t="shared" ref="F82:F145" si="36">20*LOG(Afb*IMABS(IMDIV(IMDIV(COMPLEX(1,C82/Fzea),COMPLEX(1,C82/Fpea)),COMPLEX(0,2*3.14*C82))))</f>
        <v>64.564314217880494</v>
      </c>
      <c r="G82" s="67">
        <f t="shared" ref="G82:G145" si="37">IMARGUMENT(IMDIV(IMDIV(COMPLEX(1,C82/Fzea),COMPLEX(1,C82/Fpea)),COMPLEX(0,2*3.14*C82)))*180/pi</f>
        <v>-89.984681500975171</v>
      </c>
      <c r="H82" s="62" t="e">
        <f t="shared" ref="H82:H145" si="38">D82+F82</f>
        <v>#DIV/0!</v>
      </c>
      <c r="I82" s="62" t="e">
        <f t="shared" ref="I82:I145" si="39">E82+G82</f>
        <v>#DIV/0!</v>
      </c>
      <c r="J82" s="63"/>
      <c r="K82" s="63"/>
      <c r="L82" s="63"/>
      <c r="M82" s="63"/>
      <c r="N82" s="63"/>
      <c r="O82" s="63"/>
      <c r="P82" s="63"/>
      <c r="Q82" s="46"/>
    </row>
    <row r="83" spans="2:17" x14ac:dyDescent="0.3">
      <c r="B83" s="63"/>
      <c r="C83" s="73">
        <v>2</v>
      </c>
      <c r="D83" s="62" t="e">
        <f t="shared" si="34"/>
        <v>#DIV/0!</v>
      </c>
      <c r="E83" s="62" t="e">
        <f t="shared" si="35"/>
        <v>#DIV/0!</v>
      </c>
      <c r="F83" s="62">
        <f t="shared" si="36"/>
        <v>58.543715251184196</v>
      </c>
      <c r="G83" s="67">
        <f t="shared" si="37"/>
        <v>-89.969344280222344</v>
      </c>
      <c r="H83" s="62" t="e">
        <f t="shared" si="38"/>
        <v>#DIV/0!</v>
      </c>
      <c r="I83" s="62" t="e">
        <f t="shared" si="39"/>
        <v>#DIV/0!</v>
      </c>
      <c r="J83" s="63"/>
      <c r="K83" s="63"/>
      <c r="L83" s="63"/>
      <c r="M83" s="63"/>
      <c r="N83" s="63"/>
      <c r="O83" s="63"/>
      <c r="P83" s="63"/>
      <c r="Q83" s="46"/>
    </row>
    <row r="84" spans="2:17" x14ac:dyDescent="0.3">
      <c r="B84" s="63"/>
      <c r="C84" s="73">
        <v>3</v>
      </c>
      <c r="D84" s="62" t="e">
        <f t="shared" si="34"/>
        <v>#DIV/0!</v>
      </c>
      <c r="E84" s="62" t="e">
        <f t="shared" si="35"/>
        <v>#DIV/0!</v>
      </c>
      <c r="F84" s="62">
        <f t="shared" si="36"/>
        <v>55.021891647709097</v>
      </c>
      <c r="G84" s="67">
        <f t="shared" si="37"/>
        <v>-89.954007063957903</v>
      </c>
      <c r="H84" s="62" t="e">
        <f t="shared" si="38"/>
        <v>#DIV/0!</v>
      </c>
      <c r="I84" s="62" t="e">
        <f t="shared" si="39"/>
        <v>#DIV/0!</v>
      </c>
      <c r="J84" s="63"/>
      <c r="K84" s="63"/>
      <c r="L84" s="63"/>
      <c r="M84" s="63"/>
      <c r="N84" s="63"/>
      <c r="O84" s="63"/>
      <c r="P84" s="63"/>
      <c r="Q84" s="46"/>
    </row>
    <row r="85" spans="2:17" x14ac:dyDescent="0.3">
      <c r="B85" s="63"/>
      <c r="C85" s="73">
        <v>4</v>
      </c>
      <c r="D85" s="62" t="e">
        <f t="shared" si="34"/>
        <v>#DIV/0!</v>
      </c>
      <c r="E85" s="62" t="e">
        <f t="shared" si="35"/>
        <v>#DIV/0!</v>
      </c>
      <c r="F85" s="62">
        <f t="shared" si="36"/>
        <v>52.523119124235997</v>
      </c>
      <c r="G85" s="67">
        <f t="shared" si="37"/>
        <v>-89.938669854426109</v>
      </c>
      <c r="H85" s="62" t="e">
        <f t="shared" si="38"/>
        <v>#DIV/0!</v>
      </c>
      <c r="I85" s="62" t="e">
        <f t="shared" si="39"/>
        <v>#DIV/0!</v>
      </c>
      <c r="J85" s="63"/>
      <c r="K85" s="63"/>
      <c r="L85" s="63"/>
      <c r="M85" s="63"/>
      <c r="N85" s="63"/>
      <c r="O85" s="63"/>
      <c r="P85" s="63"/>
      <c r="Q85" s="46"/>
    </row>
    <row r="86" spans="2:17" x14ac:dyDescent="0.3">
      <c r="B86" s="63"/>
      <c r="C86" s="73">
        <v>5</v>
      </c>
      <c r="D86" s="62" t="e">
        <f t="shared" si="34"/>
        <v>#DIV/0!</v>
      </c>
      <c r="E86" s="62" t="e">
        <f t="shared" si="35"/>
        <v>#DIV/0!</v>
      </c>
      <c r="F86" s="62">
        <f t="shared" si="36"/>
        <v>50.584921703821294</v>
      </c>
      <c r="G86" s="67">
        <f t="shared" si="37"/>
        <v>-89.923332653871128</v>
      </c>
      <c r="H86" s="62" t="e">
        <f t="shared" si="38"/>
        <v>#DIV/0!</v>
      </c>
      <c r="I86" s="62" t="e">
        <f t="shared" si="39"/>
        <v>#DIV/0!</v>
      </c>
      <c r="J86" s="63"/>
      <c r="K86" s="63"/>
      <c r="L86" s="63"/>
      <c r="M86" s="63"/>
      <c r="N86" s="63"/>
      <c r="O86" s="63"/>
      <c r="P86" s="63"/>
      <c r="Q86" s="46"/>
    </row>
    <row r="87" spans="2:17" x14ac:dyDescent="0.3">
      <c r="B87" s="63"/>
      <c r="C87" s="73">
        <v>6</v>
      </c>
      <c r="D87" s="62" t="e">
        <f t="shared" si="34"/>
        <v>#DIV/0!</v>
      </c>
      <c r="E87" s="62" t="e">
        <f t="shared" si="35"/>
        <v>#DIV/0!</v>
      </c>
      <c r="F87" s="62">
        <f t="shared" si="36"/>
        <v>49.001300253667338</v>
      </c>
      <c r="G87" s="67">
        <f t="shared" si="37"/>
        <v>-89.907995464537166</v>
      </c>
      <c r="H87" s="62" t="e">
        <f t="shared" si="38"/>
        <v>#DIV/0!</v>
      </c>
      <c r="I87" s="62" t="e">
        <f t="shared" si="39"/>
        <v>#DIV/0!</v>
      </c>
      <c r="J87" s="63"/>
      <c r="K87" s="63"/>
      <c r="L87" s="63"/>
      <c r="M87" s="63"/>
      <c r="N87" s="63"/>
      <c r="O87" s="63"/>
      <c r="P87" s="63"/>
      <c r="Q87" s="46"/>
    </row>
    <row r="88" spans="2:17" x14ac:dyDescent="0.3">
      <c r="B88" s="63"/>
      <c r="C88" s="73">
        <v>7</v>
      </c>
      <c r="D88" s="62" t="e">
        <f t="shared" si="34"/>
        <v>#DIV/0!</v>
      </c>
      <c r="E88" s="62" t="e">
        <f t="shared" si="35"/>
        <v>#DIV/0!</v>
      </c>
      <c r="F88" s="62">
        <f t="shared" si="36"/>
        <v>47.662368562904398</v>
      </c>
      <c r="G88" s="67">
        <f t="shared" si="37"/>
        <v>-89.892658288668414</v>
      </c>
      <c r="H88" s="62" t="e">
        <f t="shared" si="38"/>
        <v>#DIV/0!</v>
      </c>
      <c r="I88" s="62" t="e">
        <f t="shared" si="39"/>
        <v>#DIV/0!</v>
      </c>
      <c r="J88" s="63"/>
      <c r="K88" s="63"/>
      <c r="L88" s="63"/>
      <c r="M88" s="63"/>
      <c r="N88" s="63"/>
      <c r="O88" s="63"/>
      <c r="P88" s="63"/>
      <c r="Q88" s="46"/>
    </row>
    <row r="89" spans="2:17" x14ac:dyDescent="0.3">
      <c r="B89" s="63"/>
      <c r="C89" s="73">
        <v>8</v>
      </c>
      <c r="D89" s="62" t="e">
        <f t="shared" si="34"/>
        <v>#DIV/0!</v>
      </c>
      <c r="E89" s="62" t="e">
        <f t="shared" si="35"/>
        <v>#DIV/0!</v>
      </c>
      <c r="F89" s="62">
        <f t="shared" si="36"/>
        <v>46.502534356248908</v>
      </c>
      <c r="G89" s="67">
        <f t="shared" si="37"/>
        <v>-89.877321128509024</v>
      </c>
      <c r="H89" s="62" t="e">
        <f t="shared" si="38"/>
        <v>#DIV/0!</v>
      </c>
      <c r="I89" s="62" t="e">
        <f t="shared" si="39"/>
        <v>#DIV/0!</v>
      </c>
      <c r="J89" s="63"/>
      <c r="K89" s="63"/>
      <c r="L89" s="63"/>
      <c r="M89" s="63"/>
      <c r="N89" s="63"/>
      <c r="O89" s="63"/>
      <c r="P89" s="63"/>
      <c r="Q89" s="46"/>
    </row>
    <row r="90" spans="2:17" x14ac:dyDescent="0.3">
      <c r="B90" s="63"/>
      <c r="C90" s="73">
        <v>9</v>
      </c>
      <c r="D90" s="62" t="e">
        <f t="shared" si="34"/>
        <v>#DIV/0!</v>
      </c>
      <c r="E90" s="62" t="e">
        <f t="shared" si="35"/>
        <v>#DIV/0!</v>
      </c>
      <c r="F90" s="62">
        <f t="shared" si="36"/>
        <v>45.479489271246436</v>
      </c>
      <c r="G90" s="67">
        <f t="shared" si="37"/>
        <v>-89.861983986303144</v>
      </c>
      <c r="H90" s="62" t="e">
        <f t="shared" si="38"/>
        <v>#DIV/0!</v>
      </c>
      <c r="I90" s="62" t="e">
        <f t="shared" si="39"/>
        <v>#DIV/0!</v>
      </c>
      <c r="J90" s="63"/>
      <c r="K90" s="63"/>
      <c r="L90" s="63"/>
      <c r="M90" s="63"/>
      <c r="N90" s="63"/>
      <c r="O90" s="63"/>
      <c r="P90" s="63"/>
      <c r="Q90" s="46"/>
    </row>
    <row r="91" spans="2:17" x14ac:dyDescent="0.3">
      <c r="B91" s="63"/>
      <c r="C91" s="73">
        <v>10</v>
      </c>
      <c r="D91" s="62" t="e">
        <f t="shared" si="34"/>
        <v>#DIV/0!</v>
      </c>
      <c r="E91" s="62" t="e">
        <f t="shared" si="35"/>
        <v>#DIV/0!</v>
      </c>
      <c r="F91" s="62">
        <f t="shared" si="36"/>
        <v>44.564345455022504</v>
      </c>
      <c r="G91" s="67">
        <f t="shared" si="37"/>
        <v>-89.846646864294939</v>
      </c>
      <c r="H91" s="62" t="e">
        <f t="shared" si="38"/>
        <v>#DIV/0!</v>
      </c>
      <c r="I91" s="62" t="e">
        <f t="shared" si="39"/>
        <v>#DIV/0!</v>
      </c>
      <c r="J91" s="63"/>
      <c r="K91" s="63"/>
      <c r="L91" s="63"/>
      <c r="M91" s="63"/>
      <c r="N91" s="63"/>
      <c r="O91" s="63"/>
      <c r="P91" s="63"/>
      <c r="Q91" s="46"/>
    </row>
    <row r="92" spans="2:17" x14ac:dyDescent="0.3">
      <c r="B92" s="63"/>
      <c r="C92" s="73">
        <f t="shared" ref="C92:C109" si="40">C83*10</f>
        <v>20</v>
      </c>
      <c r="D92" s="62" t="e">
        <f t="shared" si="34"/>
        <v>#DIV/0!</v>
      </c>
      <c r="E92" s="62" t="e">
        <f t="shared" si="35"/>
        <v>#DIV/0!</v>
      </c>
      <c r="F92" s="62">
        <f t="shared" si="36"/>
        <v>38.54384019837709</v>
      </c>
      <c r="G92" s="67">
        <f t="shared" si="37"/>
        <v>-89.693277248780234</v>
      </c>
      <c r="H92" s="62" t="e">
        <f t="shared" si="38"/>
        <v>#DIV/0!</v>
      </c>
      <c r="I92" s="62" t="e">
        <f t="shared" si="39"/>
        <v>#DIV/0!</v>
      </c>
      <c r="J92" s="63"/>
      <c r="K92" s="63"/>
      <c r="L92" s="63"/>
      <c r="M92" s="63"/>
      <c r="N92" s="63"/>
      <c r="O92" s="63"/>
      <c r="P92" s="63"/>
      <c r="Q92" s="46"/>
    </row>
    <row r="93" spans="2:17" x14ac:dyDescent="0.3">
      <c r="B93" s="63"/>
      <c r="C93" s="73">
        <f t="shared" si="40"/>
        <v>30</v>
      </c>
      <c r="D93" s="62" t="e">
        <f t="shared" si="34"/>
        <v>#DIV/0!</v>
      </c>
      <c r="E93" s="62" t="e">
        <f t="shared" si="35"/>
        <v>#DIV/0!</v>
      </c>
      <c r="F93" s="62">
        <f t="shared" si="36"/>
        <v>35.022172773735441</v>
      </c>
      <c r="G93" s="67">
        <f t="shared" si="37"/>
        <v>-89.539912121395062</v>
      </c>
      <c r="H93" s="62" t="e">
        <f t="shared" si="38"/>
        <v>#DIV/0!</v>
      </c>
      <c r="I93" s="62" t="e">
        <f t="shared" si="39"/>
        <v>#DIV/0!</v>
      </c>
      <c r="J93" s="63"/>
      <c r="K93" s="63"/>
      <c r="L93" s="63"/>
      <c r="M93" s="63"/>
      <c r="N93" s="63"/>
      <c r="O93" s="63"/>
      <c r="P93" s="63"/>
      <c r="Q93" s="46"/>
    </row>
    <row r="94" spans="2:17" x14ac:dyDescent="0.3">
      <c r="B94" s="63"/>
      <c r="C94" s="73">
        <f t="shared" si="40"/>
        <v>40</v>
      </c>
      <c r="D94" s="62" t="e">
        <f t="shared" si="34"/>
        <v>#DIV/0!</v>
      </c>
      <c r="E94" s="62" t="e">
        <f t="shared" si="35"/>
        <v>#DIV/0!</v>
      </c>
      <c r="F94" s="62">
        <f t="shared" si="36"/>
        <v>32.523618891002556</v>
      </c>
      <c r="G94" s="67">
        <f t="shared" si="37"/>
        <v>-89.386553725715117</v>
      </c>
      <c r="H94" s="62" t="e">
        <f t="shared" si="38"/>
        <v>#DIV/0!</v>
      </c>
      <c r="I94" s="62" t="e">
        <f t="shared" si="39"/>
        <v>#DIV/0!</v>
      </c>
      <c r="J94" s="63"/>
      <c r="K94" s="63"/>
      <c r="L94" s="63"/>
      <c r="M94" s="63"/>
      <c r="N94" s="63"/>
      <c r="O94" s="63"/>
      <c r="P94" s="63"/>
      <c r="Q94" s="46"/>
    </row>
    <row r="95" spans="2:17" x14ac:dyDescent="0.3">
      <c r="B95" s="63"/>
      <c r="C95" s="73">
        <f t="shared" si="40"/>
        <v>50</v>
      </c>
      <c r="D95" s="62" t="e">
        <f t="shared" si="34"/>
        <v>#DIV/0!</v>
      </c>
      <c r="E95" s="62" t="e">
        <f t="shared" si="35"/>
        <v>#DIV/0!</v>
      </c>
      <c r="F95" s="62">
        <f t="shared" si="36"/>
        <v>30.585702563609662</v>
      </c>
      <c r="G95" s="67">
        <f t="shared" si="37"/>
        <v>-89.233204304729256</v>
      </c>
      <c r="H95" s="62" t="e">
        <f t="shared" si="38"/>
        <v>#DIV/0!</v>
      </c>
      <c r="I95" s="62" t="e">
        <f t="shared" si="39"/>
        <v>#DIV/0!</v>
      </c>
      <c r="J95" s="63"/>
      <c r="K95" s="63"/>
      <c r="L95" s="63"/>
      <c r="M95" s="63"/>
      <c r="N95" s="63"/>
      <c r="O95" s="63"/>
      <c r="P95" s="63"/>
      <c r="Q95" s="46"/>
    </row>
    <row r="96" spans="2:17" x14ac:dyDescent="0.3">
      <c r="B96" s="63"/>
      <c r="C96" s="73">
        <f t="shared" si="40"/>
        <v>60</v>
      </c>
      <c r="D96" s="62" t="e">
        <f t="shared" si="34"/>
        <v>#DIV/0!</v>
      </c>
      <c r="E96" s="62" t="e">
        <f t="shared" si="35"/>
        <v>#DIV/0!</v>
      </c>
      <c r="F96" s="62">
        <f t="shared" si="36"/>
        <v>29.0024246463867</v>
      </c>
      <c r="G96" s="67">
        <f t="shared" si="37"/>
        <v>-89.079866100644196</v>
      </c>
      <c r="H96" s="62" t="e">
        <f t="shared" si="38"/>
        <v>#DIV/0!</v>
      </c>
      <c r="I96" s="62" t="e">
        <f t="shared" si="39"/>
        <v>#DIV/0!</v>
      </c>
      <c r="J96" s="63"/>
      <c r="K96" s="63"/>
      <c r="L96" s="63"/>
      <c r="M96" s="63"/>
      <c r="N96" s="63"/>
      <c r="O96" s="63"/>
      <c r="P96" s="63"/>
      <c r="Q96" s="46"/>
    </row>
    <row r="97" spans="2:17" x14ac:dyDescent="0.3">
      <c r="B97" s="63"/>
      <c r="C97" s="73">
        <f t="shared" si="40"/>
        <v>70</v>
      </c>
      <c r="D97" s="62" t="e">
        <f t="shared" si="34"/>
        <v>#DIV/0!</v>
      </c>
      <c r="E97" s="62" t="e">
        <f t="shared" si="35"/>
        <v>#DIV/0!</v>
      </c>
      <c r="F97" s="62">
        <f t="shared" si="36"/>
        <v>27.663898913345317</v>
      </c>
      <c r="G97" s="67">
        <f t="shared" si="37"/>
        <v>-88.92654135468922</v>
      </c>
      <c r="H97" s="62" t="e">
        <f t="shared" si="38"/>
        <v>#DIV/0!</v>
      </c>
      <c r="I97" s="62" t="e">
        <f t="shared" si="39"/>
        <v>#DIV/0!</v>
      </c>
      <c r="J97" s="63"/>
      <c r="K97" s="63"/>
      <c r="L97" s="63"/>
      <c r="M97" s="63"/>
      <c r="N97" s="63"/>
      <c r="O97" s="63"/>
      <c r="P97" s="63"/>
      <c r="Q97" s="46"/>
    </row>
    <row r="98" spans="2:17" x14ac:dyDescent="0.3">
      <c r="B98" s="63"/>
      <c r="C98" s="73">
        <f t="shared" si="40"/>
        <v>80</v>
      </c>
      <c r="D98" s="62" t="e">
        <f t="shared" si="34"/>
        <v>#DIV/0!</v>
      </c>
      <c r="E98" s="62" t="e">
        <f t="shared" si="35"/>
        <v>#DIV/0!</v>
      </c>
      <c r="F98" s="62">
        <f t="shared" si="36"/>
        <v>26.5045330713399</v>
      </c>
      <c r="G98" s="67">
        <f t="shared" si="37"/>
        <v>-88.773232306921187</v>
      </c>
      <c r="H98" s="62" t="e">
        <f t="shared" si="38"/>
        <v>#DIV/0!</v>
      </c>
      <c r="I98" s="62" t="e">
        <f t="shared" si="39"/>
        <v>#DIV/0!</v>
      </c>
      <c r="J98" s="63"/>
      <c r="K98" s="63"/>
      <c r="L98" s="63"/>
      <c r="M98" s="63"/>
      <c r="N98" s="63"/>
      <c r="O98" s="63"/>
      <c r="P98" s="63"/>
      <c r="Q98" s="46"/>
    </row>
    <row r="99" spans="2:17" x14ac:dyDescent="0.3">
      <c r="B99" s="63"/>
      <c r="C99" s="73">
        <f t="shared" si="40"/>
        <v>90</v>
      </c>
      <c r="D99" s="62" t="e">
        <f t="shared" si="34"/>
        <v>#DIV/0!</v>
      </c>
      <c r="E99" s="62" t="e">
        <f t="shared" si="35"/>
        <v>#DIV/0!</v>
      </c>
      <c r="F99" s="62">
        <f t="shared" si="36"/>
        <v>25.48201873731292</v>
      </c>
      <c r="G99" s="67">
        <f t="shared" si="37"/>
        <v>-88.619941196029714</v>
      </c>
      <c r="H99" s="62" t="e">
        <f t="shared" si="38"/>
        <v>#DIV/0!</v>
      </c>
      <c r="I99" s="62" t="e">
        <f t="shared" si="39"/>
        <v>#DIV/0!</v>
      </c>
      <c r="J99" s="63"/>
      <c r="K99" s="63"/>
      <c r="L99" s="63"/>
      <c r="M99" s="63"/>
      <c r="N99" s="63"/>
      <c r="O99" s="63"/>
      <c r="P99" s="63"/>
      <c r="Q99" s="46"/>
    </row>
    <row r="100" spans="2:17" x14ac:dyDescent="0.3">
      <c r="B100" s="63"/>
      <c r="C100" s="73">
        <f t="shared" si="40"/>
        <v>100</v>
      </c>
      <c r="D100" s="62" t="e">
        <f t="shared" si="34"/>
        <v>#DIV/0!</v>
      </c>
      <c r="E100" s="62" t="e">
        <f t="shared" si="35"/>
        <v>#DIV/0!</v>
      </c>
      <c r="F100" s="62">
        <f t="shared" si="36"/>
        <v>24.567468035048901</v>
      </c>
      <c r="G100" s="67">
        <f t="shared" si="37"/>
        <v>-88.466670259142859</v>
      </c>
      <c r="H100" s="62" t="e">
        <f t="shared" si="38"/>
        <v>#DIV/0!</v>
      </c>
      <c r="I100" s="62" t="e">
        <f t="shared" si="39"/>
        <v>#DIV/0!</v>
      </c>
      <c r="J100" s="63"/>
      <c r="K100" s="63"/>
      <c r="L100" s="63"/>
      <c r="M100" s="63"/>
      <c r="N100" s="63"/>
      <c r="O100" s="63"/>
      <c r="P100" s="63"/>
      <c r="Q100" s="46"/>
    </row>
    <row r="101" spans="2:17" x14ac:dyDescent="0.3">
      <c r="B101" s="63"/>
      <c r="C101" s="73">
        <f t="shared" si="40"/>
        <v>200</v>
      </c>
      <c r="D101" s="62" t="e">
        <f t="shared" si="34"/>
        <v>#DIV/0!</v>
      </c>
      <c r="E101" s="62" t="e">
        <f t="shared" si="35"/>
        <v>#DIV/0!</v>
      </c>
      <c r="F101" s="62">
        <f t="shared" si="36"/>
        <v>18.556316797360566</v>
      </c>
      <c r="G101" s="67">
        <f t="shared" si="37"/>
        <v>-86.935561124767304</v>
      </c>
      <c r="H101" s="62" t="e">
        <f t="shared" si="38"/>
        <v>#DIV/0!</v>
      </c>
      <c r="I101" s="62" t="e">
        <f t="shared" si="39"/>
        <v>#DIV/0!</v>
      </c>
      <c r="J101" s="63"/>
      <c r="K101" s="63"/>
      <c r="L101" s="63"/>
      <c r="M101" s="63"/>
      <c r="N101" s="63"/>
      <c r="O101" s="63"/>
      <c r="P101" s="63"/>
      <c r="Q101" s="46"/>
    </row>
    <row r="102" spans="2:17" x14ac:dyDescent="0.3">
      <c r="B102" s="63"/>
      <c r="C102" s="73">
        <f t="shared" si="40"/>
        <v>300</v>
      </c>
      <c r="D102" s="62" t="e">
        <f t="shared" si="34"/>
        <v>#DIV/0!</v>
      </c>
      <c r="E102" s="62" t="e">
        <f t="shared" si="35"/>
        <v>#DIV/0!</v>
      </c>
      <c r="F102" s="62">
        <f t="shared" si="36"/>
        <v>15.050193865613277</v>
      </c>
      <c r="G102" s="67">
        <f t="shared" si="37"/>
        <v>-85.40891122584793</v>
      </c>
      <c r="H102" s="62" t="e">
        <f t="shared" si="38"/>
        <v>#DIV/0!</v>
      </c>
      <c r="I102" s="62" t="e">
        <f t="shared" si="39"/>
        <v>#DIV/0!</v>
      </c>
      <c r="J102" s="63"/>
      <c r="K102" s="63"/>
      <c r="L102" s="63"/>
      <c r="M102" s="63"/>
      <c r="N102" s="63"/>
      <c r="O102" s="63"/>
      <c r="P102" s="63"/>
      <c r="Q102" s="46"/>
    </row>
    <row r="103" spans="2:17" x14ac:dyDescent="0.3">
      <c r="B103" s="63"/>
      <c r="C103" s="73">
        <f t="shared" si="40"/>
        <v>400</v>
      </c>
      <c r="D103" s="62" t="e">
        <f t="shared" si="34"/>
        <v>#DIV/0!</v>
      </c>
      <c r="E103" s="62" t="e">
        <f t="shared" si="35"/>
        <v>#DIV/0!</v>
      </c>
      <c r="F103" s="62">
        <f t="shared" si="36"/>
        <v>12.573307329970504</v>
      </c>
      <c r="G103" s="67">
        <f t="shared" si="37"/>
        <v>-83.888902035838441</v>
      </c>
      <c r="H103" s="62" t="e">
        <f t="shared" si="38"/>
        <v>#DIV/0!</v>
      </c>
      <c r="I103" s="62" t="e">
        <f t="shared" si="39"/>
        <v>#DIV/0!</v>
      </c>
      <c r="J103" s="63"/>
      <c r="K103" s="63"/>
      <c r="L103" s="63"/>
      <c r="M103" s="63"/>
      <c r="N103" s="63"/>
      <c r="O103" s="63"/>
      <c r="P103" s="63"/>
      <c r="Q103" s="46"/>
    </row>
    <row r="104" spans="2:17" x14ac:dyDescent="0.3">
      <c r="B104" s="63"/>
      <c r="C104" s="73">
        <f t="shared" si="40"/>
        <v>500</v>
      </c>
      <c r="D104" s="62" t="e">
        <f t="shared" si="34"/>
        <v>#DIV/0!</v>
      </c>
      <c r="E104" s="62" t="e">
        <f t="shared" si="35"/>
        <v>#DIV/0!</v>
      </c>
      <c r="F104" s="62">
        <f t="shared" si="36"/>
        <v>10.663087891572562</v>
      </c>
      <c r="G104" s="67">
        <f t="shared" si="37"/>
        <v>-82.377658412456555</v>
      </c>
      <c r="H104" s="62" t="e">
        <f t="shared" si="38"/>
        <v>#DIV/0!</v>
      </c>
      <c r="I104" s="62" t="e">
        <f t="shared" si="39"/>
        <v>#DIV/0!</v>
      </c>
      <c r="J104" s="63"/>
      <c r="K104" s="63"/>
      <c r="L104" s="63"/>
      <c r="M104" s="63"/>
      <c r="N104" s="63"/>
      <c r="O104" s="63"/>
      <c r="P104" s="63"/>
      <c r="Q104" s="46"/>
    </row>
    <row r="105" spans="2:17" x14ac:dyDescent="0.3">
      <c r="B105" s="63"/>
      <c r="C105" s="73">
        <f t="shared" si="40"/>
        <v>600</v>
      </c>
      <c r="D105" s="62" t="e">
        <f t="shared" si="34"/>
        <v>#DIV/0!</v>
      </c>
      <c r="E105" s="62" t="e">
        <f t="shared" si="35"/>
        <v>#DIV/0!</v>
      </c>
      <c r="F105" s="62">
        <f t="shared" si="36"/>
        <v>9.1134187072289237</v>
      </c>
      <c r="G105" s="67">
        <f t="shared" si="37"/>
        <v>-80.877231605440201</v>
      </c>
      <c r="H105" s="62" t="e">
        <f t="shared" si="38"/>
        <v>#DIV/0!</v>
      </c>
      <c r="I105" s="62" t="e">
        <f t="shared" si="39"/>
        <v>#DIV/0!</v>
      </c>
      <c r="J105" s="63"/>
      <c r="K105" s="63"/>
      <c r="L105" s="63"/>
      <c r="M105" s="63"/>
      <c r="N105" s="63"/>
      <c r="O105" s="63"/>
      <c r="P105" s="63"/>
      <c r="Q105" s="46"/>
    </row>
    <row r="106" spans="2:17" x14ac:dyDescent="0.3">
      <c r="B106" s="63"/>
      <c r="C106" s="73">
        <f t="shared" si="40"/>
        <v>700</v>
      </c>
      <c r="D106" s="62" t="e">
        <f t="shared" si="34"/>
        <v>#DIV/0!</v>
      </c>
      <c r="E106" s="62" t="e">
        <f t="shared" si="35"/>
        <v>#DIV/0!</v>
      </c>
      <c r="F106" s="62">
        <f t="shared" si="36"/>
        <v>7.8142730808347363</v>
      </c>
      <c r="G106" s="67">
        <f t="shared" si="37"/>
        <v>-79.389583780078809</v>
      </c>
      <c r="H106" s="62" t="e">
        <f t="shared" si="38"/>
        <v>#DIV/0!</v>
      </c>
      <c r="I106" s="62" t="e">
        <f t="shared" si="39"/>
        <v>#DIV/0!</v>
      </c>
      <c r="J106" s="63"/>
      <c r="K106" s="63"/>
      <c r="L106" s="63"/>
      <c r="M106" s="63"/>
      <c r="N106" s="63"/>
      <c r="O106" s="63"/>
      <c r="P106" s="63"/>
      <c r="Q106" s="46"/>
    </row>
    <row r="107" spans="2:17" x14ac:dyDescent="0.3">
      <c r="B107" s="63"/>
      <c r="C107" s="73">
        <f t="shared" si="40"/>
        <v>800</v>
      </c>
      <c r="D107" s="62" t="e">
        <f t="shared" si="34"/>
        <v>#DIV/0!</v>
      </c>
      <c r="E107" s="62" t="e">
        <f t="shared" si="35"/>
        <v>#DIV/0!</v>
      </c>
      <c r="F107" s="62">
        <f t="shared" si="36"/>
        <v>6.6998973521611624</v>
      </c>
      <c r="G107" s="67">
        <f t="shared" si="37"/>
        <v>-77.916574323311636</v>
      </c>
      <c r="H107" s="62" t="e">
        <f t="shared" si="38"/>
        <v>#DIV/0!</v>
      </c>
      <c r="I107" s="62" t="e">
        <f t="shared" si="39"/>
        <v>#DIV/0!</v>
      </c>
      <c r="J107" s="63"/>
      <c r="K107" s="63"/>
      <c r="L107" s="63"/>
      <c r="M107" s="63"/>
      <c r="N107" s="63"/>
      <c r="O107" s="63"/>
      <c r="P107" s="63"/>
      <c r="Q107" s="46"/>
    </row>
    <row r="108" spans="2:17" x14ac:dyDescent="0.3">
      <c r="B108" s="63"/>
      <c r="C108" s="73">
        <f t="shared" si="40"/>
        <v>900</v>
      </c>
      <c r="D108" s="62" t="e">
        <f t="shared" si="34"/>
        <v>#DIV/0!</v>
      </c>
      <c r="E108" s="62" t="e">
        <f t="shared" si="35"/>
        <v>#DIV/0!</v>
      </c>
      <c r="F108" s="62">
        <f t="shared" si="36"/>
        <v>5.7278029600168132</v>
      </c>
      <c r="G108" s="67">
        <f t="shared" si="37"/>
        <v>-76.459948134661502</v>
      </c>
      <c r="H108" s="62" t="e">
        <f t="shared" si="38"/>
        <v>#DIV/0!</v>
      </c>
      <c r="I108" s="62" t="e">
        <f t="shared" si="39"/>
        <v>#DIV/0!</v>
      </c>
      <c r="J108" s="63"/>
      <c r="K108" s="63"/>
      <c r="L108" s="63"/>
      <c r="M108" s="63"/>
      <c r="N108" s="63"/>
      <c r="O108" s="63"/>
      <c r="P108" s="63"/>
      <c r="Q108" s="46"/>
    </row>
    <row r="109" spans="2:17" x14ac:dyDescent="0.3">
      <c r="B109" s="63"/>
      <c r="C109" s="73">
        <f t="shared" si="40"/>
        <v>1000</v>
      </c>
      <c r="D109" s="62" t="e">
        <f t="shared" si="34"/>
        <v>#DIV/0!</v>
      </c>
      <c r="E109" s="62" t="e">
        <f t="shared" si="35"/>
        <v>#DIV/0!</v>
      </c>
      <c r="F109" s="62">
        <f t="shared" si="36"/>
        <v>4.8689052818691794</v>
      </c>
      <c r="G109" s="67">
        <f t="shared" si="37"/>
        <v>-75.021326035914896</v>
      </c>
      <c r="H109" s="62" t="e">
        <f t="shared" si="38"/>
        <v>#DIV/0!</v>
      </c>
      <c r="I109" s="62" t="e">
        <f t="shared" si="39"/>
        <v>#DIV/0!</v>
      </c>
      <c r="J109" s="63"/>
      <c r="K109" s="63"/>
      <c r="L109" s="63"/>
      <c r="M109" s="63"/>
      <c r="N109" s="63"/>
      <c r="O109" s="63"/>
      <c r="P109" s="63"/>
      <c r="Q109" s="46"/>
    </row>
    <row r="110" spans="2:17" x14ac:dyDescent="0.3">
      <c r="B110" s="63"/>
      <c r="C110" s="73">
        <f t="shared" ref="C110:C141" si="41">C109+500</f>
        <v>1500</v>
      </c>
      <c r="D110" s="62" t="e">
        <f t="shared" si="34"/>
        <v>#DIV/0!</v>
      </c>
      <c r="E110" s="62" t="e">
        <f t="shared" si="35"/>
        <v>#DIV/0!</v>
      </c>
      <c r="F110" s="62">
        <f t="shared" si="36"/>
        <v>1.7000328075295297</v>
      </c>
      <c r="G110" s="67">
        <f t="shared" si="37"/>
        <v>-68.145567827222791</v>
      </c>
      <c r="H110" s="62" t="e">
        <f t="shared" si="38"/>
        <v>#DIV/0!</v>
      </c>
      <c r="I110" s="62" t="e">
        <f t="shared" si="39"/>
        <v>#DIV/0!</v>
      </c>
      <c r="J110" s="63"/>
      <c r="K110" s="63"/>
      <c r="L110" s="63"/>
      <c r="M110" s="63"/>
      <c r="N110" s="63"/>
      <c r="O110" s="63"/>
      <c r="P110" s="63"/>
      <c r="Q110" s="46"/>
    </row>
    <row r="111" spans="2:17" x14ac:dyDescent="0.3">
      <c r="B111" s="63"/>
      <c r="C111" s="73">
        <f t="shared" si="41"/>
        <v>2000</v>
      </c>
      <c r="D111" s="62" t="e">
        <f t="shared" si="34"/>
        <v>#DIV/0!</v>
      </c>
      <c r="E111" s="62" t="e">
        <f t="shared" si="35"/>
        <v>#DIV/0!</v>
      </c>
      <c r="F111" s="62">
        <f t="shared" si="36"/>
        <v>-0.34834299420532877</v>
      </c>
      <c r="G111" s="67">
        <f t="shared" si="37"/>
        <v>-61.884582979633983</v>
      </c>
      <c r="H111" s="62" t="e">
        <f t="shared" si="38"/>
        <v>#DIV/0!</v>
      </c>
      <c r="I111" s="62" t="e">
        <f t="shared" si="39"/>
        <v>#DIV/0!</v>
      </c>
      <c r="J111" s="63"/>
      <c r="K111" s="63"/>
      <c r="L111" s="63"/>
      <c r="M111" s="63"/>
      <c r="N111" s="63"/>
      <c r="O111" s="63"/>
      <c r="P111" s="63"/>
      <c r="Q111" s="46"/>
    </row>
    <row r="112" spans="2:17" x14ac:dyDescent="0.3">
      <c r="B112" s="63"/>
      <c r="C112" s="73">
        <f t="shared" si="41"/>
        <v>2500</v>
      </c>
      <c r="D112" s="62" t="e">
        <f t="shared" si="34"/>
        <v>#DIV/0!</v>
      </c>
      <c r="E112" s="62" t="e">
        <f t="shared" si="35"/>
        <v>#DIV/0!</v>
      </c>
      <c r="F112" s="62">
        <f t="shared" si="36"/>
        <v>-1.7686295012865014</v>
      </c>
      <c r="G112" s="67">
        <f t="shared" si="37"/>
        <v>-56.292044790234399</v>
      </c>
      <c r="H112" s="62" t="e">
        <f t="shared" si="38"/>
        <v>#DIV/0!</v>
      </c>
      <c r="I112" s="62" t="e">
        <f t="shared" si="39"/>
        <v>#DIV/0!</v>
      </c>
      <c r="J112" s="63"/>
      <c r="K112" s="63"/>
      <c r="L112" s="63"/>
      <c r="M112" s="63"/>
      <c r="N112" s="63"/>
      <c r="O112" s="63"/>
      <c r="P112" s="63"/>
      <c r="Q112" s="46"/>
    </row>
    <row r="113" spans="2:17" x14ac:dyDescent="0.3">
      <c r="B113" s="63"/>
      <c r="C113" s="73">
        <f t="shared" si="41"/>
        <v>3000</v>
      </c>
      <c r="D113" s="62" t="e">
        <f t="shared" si="34"/>
        <v>#DIV/0!</v>
      </c>
      <c r="E113" s="62" t="e">
        <f t="shared" si="35"/>
        <v>#DIV/0!</v>
      </c>
      <c r="F113" s="62">
        <f t="shared" si="36"/>
        <v>-2.793133462175923</v>
      </c>
      <c r="G113" s="67">
        <f t="shared" si="37"/>
        <v>-51.359747324262486</v>
      </c>
      <c r="H113" s="62" t="e">
        <f t="shared" si="38"/>
        <v>#DIV/0!</v>
      </c>
      <c r="I113" s="62" t="e">
        <f t="shared" si="39"/>
        <v>#DIV/0!</v>
      </c>
      <c r="J113" s="63"/>
      <c r="K113" s="63"/>
      <c r="L113" s="63"/>
      <c r="M113" s="63"/>
      <c r="N113" s="63"/>
      <c r="O113" s="63"/>
      <c r="P113" s="63"/>
      <c r="Q113" s="46"/>
    </row>
    <row r="114" spans="2:17" x14ac:dyDescent="0.3">
      <c r="B114" s="63"/>
      <c r="C114" s="73">
        <f t="shared" si="41"/>
        <v>3500</v>
      </c>
      <c r="D114" s="62" t="e">
        <f t="shared" si="34"/>
        <v>#DIV/0!</v>
      </c>
      <c r="E114" s="62" t="e">
        <f t="shared" si="35"/>
        <v>#DIV/0!</v>
      </c>
      <c r="F114" s="62">
        <f t="shared" si="36"/>
        <v>-3.5525184787290316</v>
      </c>
      <c r="G114" s="67">
        <f t="shared" si="37"/>
        <v>-47.041337011806554</v>
      </c>
      <c r="H114" s="62" t="e">
        <f t="shared" si="38"/>
        <v>#DIV/0!</v>
      </c>
      <c r="I114" s="62" t="e">
        <f t="shared" si="39"/>
        <v>#DIV/0!</v>
      </c>
      <c r="J114" s="63"/>
      <c r="K114" s="63"/>
      <c r="L114" s="63"/>
      <c r="M114" s="63"/>
      <c r="N114" s="63"/>
      <c r="O114" s="63"/>
      <c r="P114" s="63"/>
      <c r="Q114" s="46"/>
    </row>
    <row r="115" spans="2:17" x14ac:dyDescent="0.3">
      <c r="B115" s="63"/>
      <c r="C115" s="73">
        <f t="shared" si="41"/>
        <v>4000</v>
      </c>
      <c r="D115" s="62" t="e">
        <f t="shared" si="34"/>
        <v>#DIV/0!</v>
      </c>
      <c r="E115" s="62" t="e">
        <f t="shared" si="35"/>
        <v>#DIV/0!</v>
      </c>
      <c r="F115" s="62">
        <f t="shared" si="36"/>
        <v>-4.1275598423333557</v>
      </c>
      <c r="G115" s="67">
        <f t="shared" si="37"/>
        <v>-43.272306582660953</v>
      </c>
      <c r="H115" s="62" t="e">
        <f t="shared" si="38"/>
        <v>#DIV/0!</v>
      </c>
      <c r="I115" s="62" t="e">
        <f t="shared" si="39"/>
        <v>#DIV/0!</v>
      </c>
      <c r="J115" s="63"/>
      <c r="K115" s="63"/>
      <c r="L115" s="63"/>
      <c r="M115" s="63"/>
      <c r="N115" s="63"/>
      <c r="O115" s="63"/>
      <c r="P115" s="63"/>
      <c r="Q115" s="46"/>
    </row>
    <row r="116" spans="2:17" x14ac:dyDescent="0.3">
      <c r="B116" s="63"/>
      <c r="C116" s="73">
        <f t="shared" si="41"/>
        <v>4500</v>
      </c>
      <c r="D116" s="62" t="e">
        <f t="shared" si="34"/>
        <v>#DIV/0!</v>
      </c>
      <c r="E116" s="62" t="e">
        <f t="shared" si="35"/>
        <v>#DIV/0!</v>
      </c>
      <c r="F116" s="62">
        <f t="shared" si="36"/>
        <v>-4.5709994101414244</v>
      </c>
      <c r="G116" s="67">
        <f t="shared" si="37"/>
        <v>-39.983466935819251</v>
      </c>
      <c r="H116" s="62" t="e">
        <f t="shared" si="38"/>
        <v>#DIV/0!</v>
      </c>
      <c r="I116" s="62" t="e">
        <f t="shared" si="39"/>
        <v>#DIV/0!</v>
      </c>
      <c r="J116" s="63"/>
      <c r="K116" s="63"/>
      <c r="L116" s="63"/>
      <c r="M116" s="63"/>
      <c r="N116" s="63"/>
      <c r="O116" s="63"/>
      <c r="P116" s="63"/>
      <c r="Q116" s="46"/>
    </row>
    <row r="117" spans="2:17" x14ac:dyDescent="0.3">
      <c r="B117" s="63"/>
      <c r="C117" s="73">
        <f t="shared" si="41"/>
        <v>5000</v>
      </c>
      <c r="D117" s="62" t="e">
        <f t="shared" si="34"/>
        <v>#DIV/0!</v>
      </c>
      <c r="E117" s="62" t="e">
        <f t="shared" si="35"/>
        <v>#DIV/0!</v>
      </c>
      <c r="F117" s="62">
        <f t="shared" si="36"/>
        <v>-4.9185027612103527</v>
      </c>
      <c r="G117" s="67">
        <f t="shared" si="37"/>
        <v>-37.108597148259371</v>
      </c>
      <c r="H117" s="62" t="e">
        <f t="shared" si="38"/>
        <v>#DIV/0!</v>
      </c>
      <c r="I117" s="62" t="e">
        <f t="shared" si="39"/>
        <v>#DIV/0!</v>
      </c>
      <c r="J117" s="63"/>
      <c r="K117" s="63"/>
      <c r="L117" s="63"/>
      <c r="M117" s="63"/>
      <c r="N117" s="63"/>
      <c r="O117" s="63"/>
      <c r="P117" s="63"/>
      <c r="Q117" s="46"/>
    </row>
    <row r="118" spans="2:17" x14ac:dyDescent="0.3">
      <c r="B118" s="63"/>
      <c r="C118" s="73">
        <f t="shared" si="41"/>
        <v>5500</v>
      </c>
      <c r="D118" s="62" t="e">
        <f t="shared" si="34"/>
        <v>#DIV/0!</v>
      </c>
      <c r="E118" s="62" t="e">
        <f t="shared" si="35"/>
        <v>#DIV/0!</v>
      </c>
      <c r="F118" s="62">
        <f t="shared" si="36"/>
        <v>-5.1948051368617438</v>
      </c>
      <c r="G118" s="67">
        <f t="shared" si="37"/>
        <v>-34.588040988330519</v>
      </c>
      <c r="H118" s="62" t="e">
        <f t="shared" si="38"/>
        <v>#DIV/0!</v>
      </c>
      <c r="I118" s="62" t="e">
        <f t="shared" si="39"/>
        <v>#DIV/0!</v>
      </c>
      <c r="J118" s="63"/>
      <c r="K118" s="63"/>
      <c r="L118" s="63"/>
      <c r="M118" s="63"/>
      <c r="N118" s="63"/>
      <c r="O118" s="63"/>
      <c r="P118" s="63"/>
      <c r="Q118" s="46"/>
    </row>
    <row r="119" spans="2:17" x14ac:dyDescent="0.3">
      <c r="B119" s="63"/>
      <c r="C119" s="73">
        <f t="shared" si="41"/>
        <v>6000</v>
      </c>
      <c r="D119" s="62" t="e">
        <f t="shared" si="34"/>
        <v>#DIV/0!</v>
      </c>
      <c r="E119" s="62" t="e">
        <f t="shared" si="35"/>
        <v>#DIV/0!</v>
      </c>
      <c r="F119" s="62">
        <f t="shared" si="36"/>
        <v>-5.4174118551180515</v>
      </c>
      <c r="G119" s="67">
        <f t="shared" si="37"/>
        <v>-32.369875190606891</v>
      </c>
      <c r="H119" s="62" t="e">
        <f t="shared" si="38"/>
        <v>#DIV/0!</v>
      </c>
      <c r="I119" s="62" t="e">
        <f t="shared" si="39"/>
        <v>#DIV/0!</v>
      </c>
      <c r="J119" s="63"/>
      <c r="K119" s="63"/>
      <c r="L119" s="63"/>
      <c r="M119" s="63"/>
      <c r="N119" s="63"/>
      <c r="O119" s="63"/>
      <c r="P119" s="63"/>
      <c r="Q119" s="46"/>
    </row>
    <row r="120" spans="2:17" x14ac:dyDescent="0.3">
      <c r="B120" s="63"/>
      <c r="C120" s="73">
        <f t="shared" si="41"/>
        <v>6500</v>
      </c>
      <c r="D120" s="62" t="e">
        <f t="shared" si="34"/>
        <v>#DIV/0!</v>
      </c>
      <c r="E120" s="62" t="e">
        <f t="shared" si="35"/>
        <v>#DIV/0!</v>
      </c>
      <c r="F120" s="62">
        <f t="shared" si="36"/>
        <v>-5.5989293773763826</v>
      </c>
      <c r="G120" s="67">
        <f t="shared" si="37"/>
        <v>-30.40979153881807</v>
      </c>
      <c r="H120" s="62" t="e">
        <f t="shared" si="38"/>
        <v>#DIV/0!</v>
      </c>
      <c r="I120" s="62" t="e">
        <f t="shared" si="39"/>
        <v>#DIV/0!</v>
      </c>
      <c r="J120" s="63"/>
      <c r="K120" s="63"/>
      <c r="L120" s="63"/>
      <c r="M120" s="63"/>
      <c r="N120" s="63"/>
      <c r="O120" s="63"/>
      <c r="P120" s="63"/>
      <c r="Q120" s="46"/>
    </row>
    <row r="121" spans="2:17" x14ac:dyDescent="0.3">
      <c r="B121" s="63"/>
      <c r="C121" s="73">
        <f t="shared" si="41"/>
        <v>7000</v>
      </c>
      <c r="D121" s="62" t="e">
        <f t="shared" si="34"/>
        <v>#DIV/0!</v>
      </c>
      <c r="E121" s="62" t="e">
        <f t="shared" si="35"/>
        <v>#DIV/0!</v>
      </c>
      <c r="F121" s="62">
        <f t="shared" si="36"/>
        <v>-5.7485796037195929</v>
      </c>
      <c r="G121" s="67">
        <f t="shared" si="37"/>
        <v>-28.670390168171181</v>
      </c>
      <c r="H121" s="62" t="e">
        <f t="shared" si="38"/>
        <v>#DIV/0!</v>
      </c>
      <c r="I121" s="62" t="e">
        <f t="shared" si="39"/>
        <v>#DIV/0!</v>
      </c>
      <c r="J121" s="63"/>
      <c r="K121" s="63"/>
      <c r="L121" s="63"/>
      <c r="M121" s="63"/>
      <c r="N121" s="63"/>
      <c r="O121" s="63"/>
      <c r="P121" s="63"/>
      <c r="Q121" s="46"/>
    </row>
    <row r="122" spans="2:17" x14ac:dyDescent="0.3">
      <c r="B122" s="63"/>
      <c r="C122" s="73">
        <f t="shared" si="41"/>
        <v>7500</v>
      </c>
      <c r="D122" s="62" t="e">
        <f t="shared" si="34"/>
        <v>#DIV/0!</v>
      </c>
      <c r="E122" s="62" t="e">
        <f t="shared" si="35"/>
        <v>#DIV/0!</v>
      </c>
      <c r="F122" s="62">
        <f t="shared" si="36"/>
        <v>-5.8732063688765361</v>
      </c>
      <c r="G122" s="67">
        <f t="shared" si="37"/>
        <v>-27.120270415586194</v>
      </c>
      <c r="H122" s="62" t="e">
        <f t="shared" si="38"/>
        <v>#DIV/0!</v>
      </c>
      <c r="I122" s="62" t="e">
        <f t="shared" si="39"/>
        <v>#DIV/0!</v>
      </c>
      <c r="J122" s="63"/>
      <c r="K122" s="63"/>
      <c r="L122" s="63"/>
      <c r="M122" s="63"/>
      <c r="N122" s="63"/>
      <c r="O122" s="63"/>
      <c r="P122" s="63"/>
      <c r="Q122" s="46"/>
    </row>
    <row r="123" spans="2:17" x14ac:dyDescent="0.3">
      <c r="B123" s="63"/>
      <c r="C123" s="73">
        <f t="shared" si="41"/>
        <v>8000</v>
      </c>
      <c r="D123" s="62" t="e">
        <f t="shared" si="34"/>
        <v>#DIV/0!</v>
      </c>
      <c r="E123" s="62" t="e">
        <f t="shared" si="35"/>
        <v>#DIV/0!</v>
      </c>
      <c r="F123" s="62">
        <f t="shared" si="36"/>
        <v>-5.9779570128637047</v>
      </c>
      <c r="G123" s="67">
        <f t="shared" si="37"/>
        <v>-25.733114683658311</v>
      </c>
      <c r="H123" s="62" t="e">
        <f t="shared" si="38"/>
        <v>#DIV/0!</v>
      </c>
      <c r="I123" s="62" t="e">
        <f t="shared" si="39"/>
        <v>#DIV/0!</v>
      </c>
      <c r="J123" s="63"/>
      <c r="K123" s="63"/>
      <c r="L123" s="63"/>
      <c r="M123" s="63"/>
      <c r="N123" s="63"/>
      <c r="O123" s="63"/>
      <c r="P123" s="63"/>
      <c r="Q123" s="46"/>
    </row>
    <row r="124" spans="2:17" x14ac:dyDescent="0.3">
      <c r="B124" s="63"/>
      <c r="C124" s="73">
        <f t="shared" si="41"/>
        <v>8500</v>
      </c>
      <c r="D124" s="62" t="e">
        <f t="shared" si="34"/>
        <v>#DIV/0!</v>
      </c>
      <c r="E124" s="62" t="e">
        <f t="shared" si="35"/>
        <v>#DIV/0!</v>
      </c>
      <c r="F124" s="62">
        <f t="shared" si="36"/>
        <v>-6.0667514713854684</v>
      </c>
      <c r="G124" s="67">
        <f t="shared" si="37"/>
        <v>-24.486852979134682</v>
      </c>
      <c r="H124" s="62" t="e">
        <f t="shared" si="38"/>
        <v>#DIV/0!</v>
      </c>
      <c r="I124" s="62" t="e">
        <f t="shared" si="39"/>
        <v>#DIV/0!</v>
      </c>
      <c r="J124" s="63"/>
      <c r="K124" s="63"/>
      <c r="L124" s="63"/>
      <c r="M124" s="63"/>
      <c r="N124" s="63"/>
      <c r="O124" s="63"/>
      <c r="P124" s="63"/>
      <c r="Q124" s="46"/>
    </row>
    <row r="125" spans="2:17" x14ac:dyDescent="0.3">
      <c r="B125" s="63"/>
      <c r="C125" s="73">
        <f t="shared" si="41"/>
        <v>9000</v>
      </c>
      <c r="D125" s="62" t="e">
        <f t="shared" si="34"/>
        <v>#DIV/0!</v>
      </c>
      <c r="E125" s="62" t="e">
        <f t="shared" si="35"/>
        <v>#DIV/0!</v>
      </c>
      <c r="F125" s="62">
        <f t="shared" si="36"/>
        <v>-6.1426099150282623</v>
      </c>
      <c r="G125" s="67">
        <f t="shared" si="37"/>
        <v>-23.362938810606476</v>
      </c>
      <c r="H125" s="62" t="e">
        <f t="shared" si="38"/>
        <v>#DIV/0!</v>
      </c>
      <c r="I125" s="62" t="e">
        <f t="shared" si="39"/>
        <v>#DIV/0!</v>
      </c>
      <c r="J125" s="63"/>
      <c r="K125" s="63"/>
      <c r="L125" s="63"/>
      <c r="M125" s="63"/>
      <c r="N125" s="63"/>
      <c r="O125" s="63"/>
      <c r="P125" s="63"/>
      <c r="Q125" s="46"/>
    </row>
    <row r="126" spans="2:17" x14ac:dyDescent="0.3">
      <c r="B126" s="63"/>
      <c r="C126" s="73">
        <f t="shared" si="41"/>
        <v>9500</v>
      </c>
      <c r="D126" s="62" t="e">
        <f t="shared" si="34"/>
        <v>#DIV/0!</v>
      </c>
      <c r="E126" s="62" t="e">
        <f t="shared" si="35"/>
        <v>#DIV/0!</v>
      </c>
      <c r="F126" s="62">
        <f t="shared" si="36"/>
        <v>-6.2078847403497761</v>
      </c>
      <c r="G126" s="67">
        <f t="shared" si="37"/>
        <v>-22.345739097980246</v>
      </c>
      <c r="H126" s="62" t="e">
        <f t="shared" si="38"/>
        <v>#DIV/0!</v>
      </c>
      <c r="I126" s="62" t="e">
        <f t="shared" si="39"/>
        <v>#DIV/0!</v>
      </c>
      <c r="J126" s="63"/>
      <c r="K126" s="63"/>
      <c r="L126" s="63"/>
      <c r="M126" s="63"/>
      <c r="N126" s="63"/>
      <c r="O126" s="63"/>
      <c r="P126" s="63"/>
      <c r="Q126" s="46"/>
    </row>
    <row r="127" spans="2:17" x14ac:dyDescent="0.3">
      <c r="B127" s="63"/>
      <c r="C127" s="73">
        <f t="shared" si="41"/>
        <v>10000</v>
      </c>
      <c r="D127" s="62" t="e">
        <f t="shared" si="34"/>
        <v>#DIV/0!</v>
      </c>
      <c r="E127" s="62" t="e">
        <f t="shared" si="35"/>
        <v>#DIV/0!</v>
      </c>
      <c r="F127" s="62">
        <f t="shared" si="36"/>
        <v>-6.2644269580264531</v>
      </c>
      <c r="G127" s="67">
        <f t="shared" si="37"/>
        <v>-21.422028350355411</v>
      </c>
      <c r="H127" s="62" t="e">
        <f t="shared" si="38"/>
        <v>#DIV/0!</v>
      </c>
      <c r="I127" s="62" t="e">
        <f t="shared" si="39"/>
        <v>#DIV/0!</v>
      </c>
      <c r="J127" s="63"/>
      <c r="K127" s="63"/>
      <c r="L127" s="63"/>
      <c r="M127" s="63"/>
      <c r="N127" s="63"/>
      <c r="O127" s="63"/>
      <c r="P127" s="63"/>
      <c r="Q127" s="46"/>
    </row>
    <row r="128" spans="2:17" x14ac:dyDescent="0.3">
      <c r="B128" s="63"/>
      <c r="C128" s="73">
        <f t="shared" si="41"/>
        <v>10500</v>
      </c>
      <c r="D128" s="62" t="e">
        <f t="shared" si="34"/>
        <v>#DIV/0!</v>
      </c>
      <c r="E128" s="62" t="e">
        <f t="shared" si="35"/>
        <v>#DIV/0!</v>
      </c>
      <c r="F128" s="62">
        <f t="shared" si="36"/>
        <v>-6.313706984903817</v>
      </c>
      <c r="G128" s="67">
        <f t="shared" si="37"/>
        <v>-20.580573013479789</v>
      </c>
      <c r="H128" s="62" t="e">
        <f t="shared" si="38"/>
        <v>#DIV/0!</v>
      </c>
      <c r="I128" s="62" t="e">
        <f t="shared" si="39"/>
        <v>#DIV/0!</v>
      </c>
      <c r="J128" s="63"/>
      <c r="K128" s="63"/>
      <c r="L128" s="63"/>
      <c r="M128" s="63"/>
      <c r="N128" s="63"/>
      <c r="O128" s="63"/>
      <c r="P128" s="63"/>
      <c r="Q128" s="46"/>
    </row>
    <row r="129" spans="2:17" x14ac:dyDescent="0.3">
      <c r="B129" s="63"/>
      <c r="C129" s="73">
        <f t="shared" si="41"/>
        <v>11000</v>
      </c>
      <c r="D129" s="62" t="e">
        <f t="shared" si="34"/>
        <v>#DIV/0!</v>
      </c>
      <c r="E129" s="62" t="e">
        <f t="shared" si="35"/>
        <v>#DIV/0!</v>
      </c>
      <c r="F129" s="62">
        <f t="shared" si="36"/>
        <v>-6.3569033465978517</v>
      </c>
      <c r="G129" s="67">
        <f t="shared" si="37"/>
        <v>-19.811791421951014</v>
      </c>
      <c r="H129" s="62" t="e">
        <f t="shared" si="38"/>
        <v>#DIV/0!</v>
      </c>
      <c r="I129" s="62" t="e">
        <f t="shared" si="39"/>
        <v>#DIV/0!</v>
      </c>
      <c r="J129" s="63"/>
      <c r="K129" s="63"/>
      <c r="L129" s="63"/>
      <c r="M129" s="63"/>
      <c r="N129" s="63"/>
      <c r="O129" s="63"/>
      <c r="P129" s="63"/>
      <c r="Q129" s="46"/>
    </row>
    <row r="130" spans="2:17" x14ac:dyDescent="0.3">
      <c r="B130" s="63"/>
      <c r="C130" s="73">
        <f t="shared" si="41"/>
        <v>11500</v>
      </c>
      <c r="D130" s="62" t="e">
        <f t="shared" si="34"/>
        <v>#DIV/0!</v>
      </c>
      <c r="E130" s="62" t="e">
        <f t="shared" si="35"/>
        <v>#DIV/0!</v>
      </c>
      <c r="F130" s="62">
        <f t="shared" si="36"/>
        <v>-6.3949685268859664</v>
      </c>
      <c r="G130" s="67">
        <f t="shared" si="37"/>
        <v>-19.107476028067701</v>
      </c>
      <c r="H130" s="62" t="e">
        <f t="shared" si="38"/>
        <v>#DIV/0!</v>
      </c>
      <c r="I130" s="62" t="e">
        <f t="shared" si="39"/>
        <v>#DIV/0!</v>
      </c>
      <c r="J130" s="63"/>
      <c r="K130" s="63"/>
      <c r="L130" s="63"/>
      <c r="M130" s="63"/>
      <c r="N130" s="63"/>
      <c r="O130" s="63"/>
      <c r="P130" s="63"/>
      <c r="Q130" s="46"/>
    </row>
    <row r="131" spans="2:17" x14ac:dyDescent="0.3">
      <c r="B131" s="63"/>
      <c r="C131" s="73">
        <f t="shared" si="41"/>
        <v>12000</v>
      </c>
      <c r="D131" s="62" t="e">
        <f t="shared" si="34"/>
        <v>#DIV/0!</v>
      </c>
      <c r="E131" s="62" t="e">
        <f t="shared" si="35"/>
        <v>#DIV/0!</v>
      </c>
      <c r="F131" s="62">
        <f t="shared" si="36"/>
        <v>-6.428678357148419</v>
      </c>
      <c r="G131" s="67">
        <f t="shared" si="37"/>
        <v>-18.460566412161572</v>
      </c>
      <c r="H131" s="62" t="e">
        <f t="shared" si="38"/>
        <v>#DIV/0!</v>
      </c>
      <c r="I131" s="62" t="e">
        <f t="shared" si="39"/>
        <v>#DIV/0!</v>
      </c>
      <c r="J131" s="63"/>
      <c r="K131" s="63"/>
      <c r="L131" s="63"/>
      <c r="M131" s="63"/>
      <c r="N131" s="63"/>
      <c r="O131" s="63"/>
      <c r="P131" s="63"/>
      <c r="Q131" s="46"/>
    </row>
    <row r="132" spans="2:17" x14ac:dyDescent="0.3">
      <c r="B132" s="63"/>
      <c r="C132" s="73">
        <f t="shared" si="41"/>
        <v>12500</v>
      </c>
      <c r="D132" s="62" t="e">
        <f t="shared" si="34"/>
        <v>#DIV/0!</v>
      </c>
      <c r="E132" s="62" t="e">
        <f t="shared" si="35"/>
        <v>#DIV/0!</v>
      </c>
      <c r="F132" s="62">
        <f t="shared" si="36"/>
        <v>-6.4586694227469534</v>
      </c>
      <c r="G132" s="67">
        <f t="shared" si="37"/>
        <v>-17.864963478667132</v>
      </c>
      <c r="H132" s="62" t="e">
        <f t="shared" si="38"/>
        <v>#DIV/0!</v>
      </c>
      <c r="I132" s="62" t="e">
        <f t="shared" si="39"/>
        <v>#DIV/0!</v>
      </c>
      <c r="J132" s="63"/>
      <c r="K132" s="63"/>
      <c r="L132" s="63"/>
      <c r="M132" s="63"/>
      <c r="N132" s="63"/>
      <c r="O132" s="63"/>
      <c r="P132" s="63"/>
      <c r="Q132" s="46"/>
    </row>
    <row r="133" spans="2:17" x14ac:dyDescent="0.3">
      <c r="B133" s="63"/>
      <c r="C133" s="73">
        <f t="shared" si="41"/>
        <v>13000</v>
      </c>
      <c r="D133" s="62" t="e">
        <f t="shared" si="34"/>
        <v>#DIV/0!</v>
      </c>
      <c r="E133" s="62" t="e">
        <f t="shared" si="35"/>
        <v>#DIV/0!</v>
      </c>
      <c r="F133" s="62">
        <f t="shared" si="36"/>
        <v>-6.4854676561002202</v>
      </c>
      <c r="G133" s="67">
        <f t="shared" si="37"/>
        <v>-17.315376978088</v>
      </c>
      <c r="H133" s="62" t="e">
        <f t="shared" si="38"/>
        <v>#DIV/0!</v>
      </c>
      <c r="I133" s="62" t="e">
        <f t="shared" si="39"/>
        <v>#DIV/0!</v>
      </c>
      <c r="J133" s="63"/>
      <c r="K133" s="63"/>
      <c r="L133" s="63"/>
      <c r="M133" s="63"/>
      <c r="N133" s="63"/>
      <c r="O133" s="63"/>
      <c r="P133" s="63"/>
      <c r="Q133" s="46"/>
    </row>
    <row r="134" spans="2:17" x14ac:dyDescent="0.3">
      <c r="B134" s="63"/>
      <c r="C134" s="73">
        <f t="shared" si="41"/>
        <v>13500</v>
      </c>
      <c r="D134" s="62" t="e">
        <f t="shared" si="34"/>
        <v>#DIV/0!</v>
      </c>
      <c r="E134" s="62" t="e">
        <f t="shared" si="35"/>
        <v>#DIV/0!</v>
      </c>
      <c r="F134" s="62">
        <f t="shared" si="36"/>
        <v>-6.5095103845349254</v>
      </c>
      <c r="G134" s="67">
        <f t="shared" si="37"/>
        <v>-16.807199987544688</v>
      </c>
      <c r="H134" s="62" t="e">
        <f t="shared" si="38"/>
        <v>#DIV/0!</v>
      </c>
      <c r="I134" s="62" t="e">
        <f t="shared" si="39"/>
        <v>#DIV/0!</v>
      </c>
      <c r="J134" s="63"/>
      <c r="K134" s="63"/>
      <c r="L134" s="63"/>
      <c r="M134" s="63"/>
      <c r="N134" s="63"/>
      <c r="O134" s="63"/>
      <c r="P134" s="63"/>
      <c r="Q134" s="46"/>
    </row>
    <row r="135" spans="2:17" x14ac:dyDescent="0.3">
      <c r="B135" s="63"/>
      <c r="C135" s="73">
        <f t="shared" si="41"/>
        <v>14000</v>
      </c>
      <c r="D135" s="62" t="e">
        <f t="shared" si="34"/>
        <v>#DIV/0!</v>
      </c>
      <c r="E135" s="62" t="e">
        <f t="shared" si="35"/>
        <v>#DIV/0!</v>
      </c>
      <c r="F135" s="62">
        <f t="shared" si="36"/>
        <v>-6.5311634722386716</v>
      </c>
      <c r="G135" s="67">
        <f t="shared" si="37"/>
        <v>-16.336405223285734</v>
      </c>
      <c r="H135" s="62" t="e">
        <f t="shared" si="38"/>
        <v>#DIV/0!</v>
      </c>
      <c r="I135" s="62" t="e">
        <f t="shared" si="39"/>
        <v>#DIV/0!</v>
      </c>
      <c r="J135" s="63"/>
      <c r="K135" s="63"/>
      <c r="L135" s="63"/>
      <c r="M135" s="63"/>
      <c r="N135" s="63"/>
      <c r="O135" s="63"/>
      <c r="P135" s="63"/>
      <c r="Q135" s="46"/>
    </row>
    <row r="136" spans="2:17" x14ac:dyDescent="0.3">
      <c r="B136" s="63"/>
      <c r="C136" s="73">
        <f t="shared" si="41"/>
        <v>14500</v>
      </c>
      <c r="D136" s="62" t="e">
        <f t="shared" si="34"/>
        <v>#DIV/0!</v>
      </c>
      <c r="E136" s="62" t="e">
        <f t="shared" si="35"/>
        <v>#DIV/0!</v>
      </c>
      <c r="F136" s="62">
        <f t="shared" si="36"/>
        <v>-6.5507347526449822</v>
      </c>
      <c r="G136" s="67">
        <f t="shared" si="37"/>
        <v>-15.899459069722406</v>
      </c>
      <c r="H136" s="62" t="e">
        <f t="shared" si="38"/>
        <v>#DIV/0!</v>
      </c>
      <c r="I136" s="62" t="e">
        <f t="shared" si="39"/>
        <v>#DIV/0!</v>
      </c>
      <c r="J136" s="63"/>
      <c r="K136" s="63"/>
      <c r="L136" s="63"/>
      <c r="M136" s="63"/>
      <c r="N136" s="63"/>
      <c r="O136" s="63"/>
      <c r="P136" s="63"/>
      <c r="Q136" s="46"/>
    </row>
    <row r="137" spans="2:17" x14ac:dyDescent="0.3">
      <c r="B137" s="63"/>
      <c r="C137" s="73">
        <f t="shared" si="41"/>
        <v>15000</v>
      </c>
      <c r="D137" s="62" t="e">
        <f t="shared" si="34"/>
        <v>#DIV/0!</v>
      </c>
      <c r="E137" s="62" t="e">
        <f t="shared" si="35"/>
        <v>#DIV/0!</v>
      </c>
      <c r="F137" s="62">
        <f t="shared" si="36"/>
        <v>-6.5684846323502377</v>
      </c>
      <c r="G137" s="67">
        <f t="shared" si="37"/>
        <v>-15.493250024069313</v>
      </c>
      <c r="H137" s="62" t="e">
        <f t="shared" si="38"/>
        <v>#DIV/0!</v>
      </c>
      <c r="I137" s="62" t="e">
        <f t="shared" si="39"/>
        <v>#DIV/0!</v>
      </c>
      <c r="J137" s="63"/>
      <c r="K137" s="63"/>
      <c r="L137" s="63"/>
      <c r="M137" s="63"/>
      <c r="N137" s="63"/>
      <c r="O137" s="63"/>
      <c r="P137" s="63"/>
      <c r="Q137" s="46"/>
    </row>
    <row r="138" spans="2:17" x14ac:dyDescent="0.3">
      <c r="B138" s="63"/>
      <c r="C138" s="73">
        <f t="shared" si="41"/>
        <v>15500</v>
      </c>
      <c r="D138" s="62" t="e">
        <f t="shared" si="34"/>
        <v>#DIV/0!</v>
      </c>
      <c r="E138" s="62" t="e">
        <f t="shared" si="35"/>
        <v>#DIV/0!</v>
      </c>
      <c r="F138" s="62">
        <f t="shared" si="36"/>
        <v>-6.5846345212063317</v>
      </c>
      <c r="G138" s="67">
        <f t="shared" si="37"/>
        <v>-15.115028907387837</v>
      </c>
      <c r="H138" s="62" t="e">
        <f t="shared" si="38"/>
        <v>#DIV/0!</v>
      </c>
      <c r="I138" s="62" t="e">
        <f t="shared" si="39"/>
        <v>#DIV/0!</v>
      </c>
      <c r="J138" s="63"/>
      <c r="K138" s="63"/>
      <c r="L138" s="63"/>
      <c r="M138" s="63"/>
      <c r="N138" s="63"/>
      <c r="O138" s="63"/>
      <c r="P138" s="63"/>
      <c r="Q138" s="46"/>
    </row>
    <row r="139" spans="2:17" x14ac:dyDescent="0.3">
      <c r="B139" s="63"/>
      <c r="C139" s="73">
        <f t="shared" si="41"/>
        <v>16000</v>
      </c>
      <c r="D139" s="62" t="e">
        <f t="shared" si="34"/>
        <v>#DIV/0!</v>
      </c>
      <c r="E139" s="62" t="e">
        <f t="shared" si="35"/>
        <v>#DIV/0!</v>
      </c>
      <c r="F139" s="62">
        <f t="shared" si="36"/>
        <v>-6.5993735790646602</v>
      </c>
      <c r="G139" s="67">
        <f t="shared" si="37"/>
        <v>-14.762358712445526</v>
      </c>
      <c r="H139" s="62" t="e">
        <f t="shared" si="38"/>
        <v>#DIV/0!</v>
      </c>
      <c r="I139" s="62" t="e">
        <f t="shared" si="39"/>
        <v>#DIV/0!</v>
      </c>
      <c r="J139" s="63"/>
      <c r="K139" s="63"/>
      <c r="L139" s="63"/>
      <c r="M139" s="63"/>
      <c r="N139" s="63"/>
      <c r="O139" s="63"/>
      <c r="P139" s="63"/>
      <c r="Q139" s="46"/>
    </row>
    <row r="140" spans="2:17" x14ac:dyDescent="0.3">
      <c r="B140" s="63"/>
      <c r="C140" s="73">
        <f t="shared" si="41"/>
        <v>16500</v>
      </c>
      <c r="D140" s="62" t="e">
        <f t="shared" si="34"/>
        <v>#DIV/0!</v>
      </c>
      <c r="E140" s="62" t="e">
        <f t="shared" si="35"/>
        <v>#DIV/0!</v>
      </c>
      <c r="F140" s="62">
        <f t="shared" si="36"/>
        <v>-6.6128641495904139</v>
      </c>
      <c r="G140" s="67">
        <f t="shared" si="37"/>
        <v>-14.433072372559366</v>
      </c>
      <c r="H140" s="62" t="e">
        <f t="shared" si="38"/>
        <v>#DIV/0!</v>
      </c>
      <c r="I140" s="62" t="e">
        <f t="shared" si="39"/>
        <v>#DIV/0!</v>
      </c>
      <c r="J140" s="63"/>
      <c r="K140" s="63"/>
      <c r="L140" s="63"/>
      <c r="M140" s="63"/>
      <c r="N140" s="63"/>
      <c r="O140" s="63"/>
      <c r="P140" s="63"/>
      <c r="Q140" s="46"/>
    </row>
    <row r="141" spans="2:17" x14ac:dyDescent="0.3">
      <c r="B141" s="63"/>
      <c r="C141" s="73">
        <f t="shared" si="41"/>
        <v>17000</v>
      </c>
      <c r="D141" s="62" t="e">
        <f t="shared" si="34"/>
        <v>#DIV/0!</v>
      </c>
      <c r="E141" s="62" t="e">
        <f t="shared" si="35"/>
        <v>#DIV/0!</v>
      </c>
      <c r="F141" s="62">
        <f t="shared" si="36"/>
        <v>-6.6252461630364916</v>
      </c>
      <c r="G141" s="67">
        <f t="shared" si="37"/>
        <v>-14.12523706509069</v>
      </c>
      <c r="H141" s="62" t="e">
        <f t="shared" si="38"/>
        <v>#DIV/0!</v>
      </c>
      <c r="I141" s="62" t="e">
        <f t="shared" si="39"/>
        <v>#DIV/0!</v>
      </c>
      <c r="J141" s="63"/>
      <c r="K141" s="63"/>
      <c r="L141" s="63"/>
      <c r="M141" s="63"/>
      <c r="N141" s="63"/>
      <c r="O141" s="63"/>
      <c r="P141" s="63"/>
      <c r="Q141" s="46"/>
    </row>
    <row r="142" spans="2:17" x14ac:dyDescent="0.3">
      <c r="B142" s="63"/>
      <c r="C142" s="73">
        <f t="shared" ref="C142:C173" si="42">C141+500</f>
        <v>17500</v>
      </c>
      <c r="D142" s="62" t="e">
        <f t="shared" si="34"/>
        <v>#DIV/0!</v>
      </c>
      <c r="E142" s="62" t="e">
        <f t="shared" si="35"/>
        <v>#DIV/0!</v>
      </c>
      <c r="F142" s="62">
        <f t="shared" si="36"/>
        <v>-6.6366407240579006</v>
      </c>
      <c r="G142" s="67">
        <f t="shared" si="37"/>
        <v>-13.837123926003537</v>
      </c>
      <c r="H142" s="62" t="e">
        <f t="shared" si="38"/>
        <v>#DIV/0!</v>
      </c>
      <c r="I142" s="62" t="e">
        <f t="shared" si="39"/>
        <v>#DIV/0!</v>
      </c>
      <c r="J142" s="63"/>
      <c r="K142" s="63"/>
      <c r="L142" s="63"/>
      <c r="M142" s="63"/>
      <c r="N142" s="63"/>
      <c r="O142" s="63"/>
      <c r="P142" s="63"/>
      <c r="Q142" s="46"/>
    </row>
    <row r="143" spans="2:17" x14ac:dyDescent="0.3">
      <c r="B143" s="63"/>
      <c r="C143" s="73">
        <f t="shared" si="42"/>
        <v>18000</v>
      </c>
      <c r="D143" s="62" t="e">
        <f t="shared" si="34"/>
        <v>#DIV/0!</v>
      </c>
      <c r="E143" s="62" t="e">
        <f t="shared" si="35"/>
        <v>#DIV/0!</v>
      </c>
      <c r="F143" s="62">
        <f t="shared" si="36"/>
        <v>-6.6471530513564892</v>
      </c>
      <c r="G143" s="67">
        <f t="shared" si="37"/>
        <v>-13.567182261801909</v>
      </c>
      <c r="H143" s="62" t="e">
        <f t="shared" si="38"/>
        <v>#DIV/0!</v>
      </c>
      <c r="I143" s="62" t="e">
        <f t="shared" si="39"/>
        <v>#DIV/0!</v>
      </c>
      <c r="J143" s="63"/>
      <c r="K143" s="63"/>
      <c r="L143" s="63"/>
      <c r="M143" s="63"/>
      <c r="N143" s="63"/>
      <c r="O143" s="63"/>
      <c r="P143" s="63"/>
      <c r="Q143" s="46"/>
    </row>
    <row r="144" spans="2:17" x14ac:dyDescent="0.3">
      <c r="B144" s="63"/>
      <c r="C144" s="73">
        <f t="shared" si="42"/>
        <v>18500</v>
      </c>
      <c r="D144" s="62" t="e">
        <f t="shared" si="34"/>
        <v>#DIV/0!</v>
      </c>
      <c r="E144" s="62" t="e">
        <f t="shared" si="35"/>
        <v>#DIV/0!</v>
      </c>
      <c r="F144" s="62">
        <f t="shared" si="36"/>
        <v>-6.6568748987543636</v>
      </c>
      <c r="G144" s="67">
        <f t="shared" si="37"/>
        <v>-13.314017513274289</v>
      </c>
      <c r="H144" s="62" t="e">
        <f t="shared" si="38"/>
        <v>#DIV/0!</v>
      </c>
      <c r="I144" s="62" t="e">
        <f t="shared" si="39"/>
        <v>#DIV/0!</v>
      </c>
      <c r="J144" s="63"/>
      <c r="K144" s="63"/>
      <c r="L144" s="63"/>
      <c r="M144" s="63"/>
      <c r="N144" s="63"/>
      <c r="O144" s="63"/>
      <c r="P144" s="63"/>
      <c r="Q144" s="46"/>
    </row>
    <row r="145" spans="2:17" x14ac:dyDescent="0.3">
      <c r="B145" s="63"/>
      <c r="C145" s="73">
        <f t="shared" si="42"/>
        <v>19000</v>
      </c>
      <c r="D145" s="62" t="e">
        <f t="shared" si="34"/>
        <v>#DIV/0!</v>
      </c>
      <c r="E145" s="62" t="e">
        <f t="shared" si="35"/>
        <v>#DIV/0!</v>
      </c>
      <c r="F145" s="62">
        <f t="shared" si="36"/>
        <v>-6.6658865590356022</v>
      </c>
      <c r="G145" s="67">
        <f t="shared" si="37"/>
        <v>-13.07637236050026</v>
      </c>
      <c r="H145" s="62" t="e">
        <f t="shared" si="38"/>
        <v>#DIV/0!</v>
      </c>
      <c r="I145" s="62" t="e">
        <f t="shared" si="39"/>
        <v>#DIV/0!</v>
      </c>
      <c r="J145" s="63"/>
      <c r="K145" s="63"/>
      <c r="L145" s="63"/>
      <c r="M145" s="63"/>
      <c r="N145" s="63"/>
      <c r="O145" s="63"/>
      <c r="P145" s="63"/>
      <c r="Q145" s="46"/>
    </row>
    <row r="146" spans="2:17" x14ac:dyDescent="0.3">
      <c r="B146" s="63"/>
      <c r="C146" s="73">
        <f t="shared" si="42"/>
        <v>19500</v>
      </c>
      <c r="D146" s="62" t="e">
        <f t="shared" ref="D146:D209" si="43">20*LOG(Am*IMABS(IMDIV(IMDIV(IMDIV(IMPRODUCT( COMPLEX(1,C146/Fzesr),COMPLEX(1,-C146/Frhp) ),COMPLEX(1,C146/Flp) ),COMPLEX(1,C146/Fesrp) ),COMPLEX(1-C146^2/(Fdp^2),C146/Fsp) )))</f>
        <v>#DIV/0!</v>
      </c>
      <c r="E146" s="62" t="e">
        <f t="shared" ref="E146:E209" si="44">IMARGUMENT(IMDIV(IMDIV(IMDIV(IMPRODUCT( COMPLEX(1,C146/Fzesr),COMPLEX(1,-C146/Frhp) ),COMPLEX(1,C146/Flp) ),COMPLEX(1,C146/Fesrp) ),COMPLEX(1-C146^2/(Fdp^2),C146/Fsp) ))*180/pi</f>
        <v>#DIV/0!</v>
      </c>
      <c r="F146" s="62">
        <f t="shared" ref="F146:F209" si="45">20*LOG(Afb*IMABS(IMDIV(IMDIV(COMPLEX(1,C146/Fzea),COMPLEX(1,C146/Fpea)),COMPLEX(0,2*3.14*C146))))</f>
        <v>-6.6742585302798139</v>
      </c>
      <c r="G146" s="67">
        <f t="shared" ref="G146:G209" si="46">IMARGUMENT(IMDIV(IMDIV(COMPLEX(1,C146/Fzea),COMPLEX(1,C146/Fpea)),COMPLEX(0,2*3.14*C146)))*180/pi</f>
        <v>-12.853110467359222</v>
      </c>
      <c r="H146" s="62" t="e">
        <f t="shared" ref="H146:H209" si="47">D146+F146</f>
        <v>#DIV/0!</v>
      </c>
      <c r="I146" s="62" t="e">
        <f t="shared" ref="I146:I209" si="48">E146+G146</f>
        <v>#DIV/0!</v>
      </c>
      <c r="J146" s="63"/>
      <c r="K146" s="63"/>
      <c r="L146" s="63"/>
      <c r="M146" s="63"/>
      <c r="N146" s="63"/>
      <c r="O146" s="63"/>
      <c r="P146" s="63"/>
      <c r="Q146" s="46"/>
    </row>
    <row r="147" spans="2:17" x14ac:dyDescent="0.3">
      <c r="B147" s="63"/>
      <c r="C147" s="73">
        <f t="shared" si="42"/>
        <v>20000</v>
      </c>
      <c r="D147" s="62" t="e">
        <f t="shared" si="43"/>
        <v>#DIV/0!</v>
      </c>
      <c r="E147" s="62" t="e">
        <f t="shared" si="44"/>
        <v>#DIV/0!</v>
      </c>
      <c r="F147" s="62">
        <f t="shared" si="45"/>
        <v>-6.6820529077695898</v>
      </c>
      <c r="G147" s="67">
        <f t="shared" si="46"/>
        <v>-12.64320245170515</v>
      </c>
      <c r="H147" s="62" t="e">
        <f t="shared" si="47"/>
        <v>#DIV/0!</v>
      </c>
      <c r="I147" s="62" t="e">
        <f t="shared" si="48"/>
        <v>#DIV/0!</v>
      </c>
      <c r="J147" s="63"/>
      <c r="K147" s="63"/>
      <c r="L147" s="63"/>
      <c r="M147" s="63"/>
      <c r="N147" s="63"/>
      <c r="O147" s="63"/>
      <c r="P147" s="63"/>
      <c r="Q147" s="46"/>
    </row>
    <row r="148" spans="2:17" x14ac:dyDescent="0.3">
      <c r="B148" s="63"/>
      <c r="C148" s="73">
        <f t="shared" si="42"/>
        <v>20500</v>
      </c>
      <c r="D148" s="62" t="e">
        <f t="shared" si="43"/>
        <v>#DIV/0!</v>
      </c>
      <c r="E148" s="62" t="e">
        <f t="shared" si="44"/>
        <v>#DIV/0!</v>
      </c>
      <c r="F148" s="62">
        <f t="shared" si="45"/>
        <v>-6.6893245516645088</v>
      </c>
      <c r="G148" s="67">
        <f t="shared" si="46"/>
        <v>-12.44571373868385</v>
      </c>
      <c r="H148" s="62" t="e">
        <f t="shared" si="47"/>
        <v>#DIV/0!</v>
      </c>
      <c r="I148" s="62" t="e">
        <f t="shared" si="48"/>
        <v>#DIV/0!</v>
      </c>
      <c r="J148" s="63"/>
      <c r="K148" s="63"/>
      <c r="L148" s="63"/>
      <c r="M148" s="63"/>
      <c r="N148" s="63"/>
      <c r="O148" s="63"/>
      <c r="P148" s="63"/>
      <c r="Q148" s="46"/>
    </row>
    <row r="149" spans="2:17" x14ac:dyDescent="0.3">
      <c r="B149" s="63"/>
      <c r="C149" s="73">
        <f t="shared" si="42"/>
        <v>21000</v>
      </c>
      <c r="D149" s="62" t="e">
        <f t="shared" si="43"/>
        <v>#DIV/0!</v>
      </c>
      <c r="E149" s="62" t="e">
        <f t="shared" si="44"/>
        <v>#DIV/0!</v>
      </c>
      <c r="F149" s="62">
        <f t="shared" si="45"/>
        <v>-6.6961220705893023</v>
      </c>
      <c r="G149" s="67">
        <f t="shared" si="46"/>
        <v>-12.259794012694789</v>
      </c>
      <c r="H149" s="62" t="e">
        <f t="shared" si="47"/>
        <v>#DIV/0!</v>
      </c>
      <c r="I149" s="62" t="e">
        <f t="shared" si="48"/>
        <v>#DIV/0!</v>
      </c>
      <c r="J149" s="63"/>
      <c r="K149" s="63"/>
      <c r="L149" s="63"/>
      <c r="M149" s="63"/>
      <c r="N149" s="63"/>
      <c r="O149" s="63"/>
      <c r="P149" s="63"/>
      <c r="Q149" s="46"/>
    </row>
    <row r="150" spans="2:17" x14ac:dyDescent="0.3">
      <c r="B150" s="63"/>
      <c r="C150" s="73">
        <f t="shared" si="42"/>
        <v>21500</v>
      </c>
      <c r="D150" s="62" t="e">
        <f t="shared" si="43"/>
        <v>#DIV/0!</v>
      </c>
      <c r="E150" s="62" t="e">
        <f t="shared" si="44"/>
        <v>#DIV/0!</v>
      </c>
      <c r="F150" s="62">
        <f t="shared" si="45"/>
        <v>-6.7024886534143828</v>
      </c>
      <c r="G150" s="67">
        <f t="shared" si="46"/>
        <v>-12.084668030884451</v>
      </c>
      <c r="H150" s="62" t="e">
        <f t="shared" si="47"/>
        <v>#DIV/0!</v>
      </c>
      <c r="I150" s="62" t="e">
        <f t="shared" si="48"/>
        <v>#DIV/0!</v>
      </c>
      <c r="J150" s="63"/>
      <c r="K150" s="63"/>
      <c r="L150" s="63"/>
      <c r="M150" s="63"/>
      <c r="N150" s="63"/>
      <c r="O150" s="63"/>
      <c r="P150" s="63"/>
      <c r="Q150" s="63"/>
    </row>
    <row r="151" spans="2:17" x14ac:dyDescent="0.3">
      <c r="B151" s="63"/>
      <c r="C151" s="73">
        <f t="shared" si="42"/>
        <v>22000</v>
      </c>
      <c r="D151" s="62" t="e">
        <f t="shared" si="43"/>
        <v>#DIV/0!</v>
      </c>
      <c r="E151" s="62" t="e">
        <f t="shared" si="44"/>
        <v>#DIV/0!</v>
      </c>
      <c r="F151" s="62">
        <f t="shared" si="45"/>
        <v>-6.7084627753052972</v>
      </c>
      <c r="G151" s="67">
        <f t="shared" si="46"/>
        <v>-11.919627599880638</v>
      </c>
      <c r="H151" s="62" t="e">
        <f t="shared" si="47"/>
        <v>#DIV/0!</v>
      </c>
      <c r="I151" s="62" t="e">
        <f t="shared" si="48"/>
        <v>#DIV/0!</v>
      </c>
      <c r="J151" s="63"/>
      <c r="K151" s="63"/>
      <c r="L151" s="63"/>
      <c r="M151" s="63"/>
      <c r="N151" s="63"/>
      <c r="O151" s="63"/>
      <c r="P151" s="63"/>
      <c r="Q151" s="63"/>
    </row>
    <row r="152" spans="2:17" x14ac:dyDescent="0.3">
      <c r="B152" s="63"/>
      <c r="C152" s="73">
        <f t="shared" si="42"/>
        <v>22500</v>
      </c>
      <c r="D152" s="62" t="e">
        <f t="shared" si="43"/>
        <v>#DIV/0!</v>
      </c>
      <c r="E152" s="62" t="e">
        <f t="shared" si="44"/>
        <v>#DIV/0!</v>
      </c>
      <c r="F152" s="62">
        <f t="shared" si="45"/>
        <v>-6.7140787992074014</v>
      </c>
      <c r="G152" s="67">
        <f t="shared" si="46"/>
        <v>-11.764024549397835</v>
      </c>
      <c r="H152" s="62" t="e">
        <f t="shared" si="47"/>
        <v>#DIV/0!</v>
      </c>
      <c r="I152" s="62" t="e">
        <f t="shared" si="48"/>
        <v>#DIV/0!</v>
      </c>
      <c r="J152" s="63"/>
      <c r="K152" s="63"/>
      <c r="L152" s="63"/>
      <c r="M152" s="63"/>
      <c r="N152" s="63"/>
      <c r="O152" s="63"/>
      <c r="P152" s="63"/>
      <c r="Q152" s="63"/>
    </row>
    <row r="153" spans="2:17" x14ac:dyDescent="0.3">
      <c r="B153" s="63"/>
      <c r="C153" s="73">
        <f t="shared" si="42"/>
        <v>23000</v>
      </c>
      <c r="D153" s="62" t="e">
        <f t="shared" si="43"/>
        <v>#DIV/0!</v>
      </c>
      <c r="E153" s="62" t="e">
        <f t="shared" si="44"/>
        <v>#DIV/0!</v>
      </c>
      <c r="F153" s="62">
        <f t="shared" si="45"/>
        <v>-6.7193674900226474</v>
      </c>
      <c r="G153" s="67">
        <f t="shared" si="46"/>
        <v>-11.61726456267059</v>
      </c>
      <c r="H153" s="62" t="e">
        <f t="shared" si="47"/>
        <v>#DIV/0!</v>
      </c>
      <c r="I153" s="62" t="e">
        <f t="shared" si="48"/>
        <v>#DIV/0!</v>
      </c>
      <c r="J153" s="63"/>
      <c r="K153" s="63"/>
      <c r="L153" s="63"/>
      <c r="M153" s="63"/>
      <c r="N153" s="63"/>
      <c r="O153" s="63"/>
      <c r="P153" s="63"/>
      <c r="Q153" s="63"/>
    </row>
    <row r="154" spans="2:17" x14ac:dyDescent="0.3">
      <c r="B154" s="63"/>
      <c r="C154" s="73">
        <f t="shared" si="42"/>
        <v>23500</v>
      </c>
      <c r="D154" s="62" t="e">
        <f t="shared" si="43"/>
        <v>#DIV/0!</v>
      </c>
      <c r="E154" s="62" t="e">
        <f t="shared" si="44"/>
        <v>#DIV/0!</v>
      </c>
      <c r="F154" s="62">
        <f t="shared" si="45"/>
        <v>-6.7243564556097137</v>
      </c>
      <c r="G154" s="67">
        <f t="shared" si="46"/>
        <v>-11.478801745469726</v>
      </c>
      <c r="H154" s="62" t="e">
        <f t="shared" si="47"/>
        <v>#DIV/0!</v>
      </c>
      <c r="I154" s="62" t="e">
        <f t="shared" si="48"/>
        <v>#DIV/0!</v>
      </c>
      <c r="J154" s="63"/>
      <c r="K154" s="63"/>
      <c r="L154" s="63"/>
      <c r="M154" s="63"/>
      <c r="N154" s="63"/>
      <c r="O154" s="63"/>
      <c r="P154" s="63"/>
      <c r="Q154" s="63"/>
    </row>
    <row r="155" spans="2:17" x14ac:dyDescent="0.3">
      <c r="B155" s="63"/>
      <c r="C155" s="73">
        <f t="shared" si="42"/>
        <v>24000</v>
      </c>
      <c r="D155" s="62" t="e">
        <f t="shared" si="43"/>
        <v>#DIV/0!</v>
      </c>
      <c r="E155" s="62" t="e">
        <f t="shared" si="44"/>
        <v>#DIV/0!</v>
      </c>
      <c r="F155" s="62">
        <f t="shared" si="45"/>
        <v>-6.7290705262261525</v>
      </c>
      <c r="G155" s="67">
        <f t="shared" si="46"/>
        <v>-11.34813383354385</v>
      </c>
      <c r="H155" s="62" t="e">
        <f t="shared" si="47"/>
        <v>#DIV/0!</v>
      </c>
      <c r="I155" s="62" t="e">
        <f t="shared" si="48"/>
        <v>#DIV/0!</v>
      </c>
      <c r="J155" s="63"/>
      <c r="K155" s="63"/>
      <c r="L155" s="63"/>
      <c r="M155" s="63"/>
      <c r="N155" s="63"/>
      <c r="O155" s="63"/>
      <c r="P155" s="63"/>
      <c r="Q155" s="63"/>
    </row>
    <row r="156" spans="2:17" x14ac:dyDescent="0.3">
      <c r="B156" s="63"/>
      <c r="C156" s="73">
        <f t="shared" si="42"/>
        <v>24500</v>
      </c>
      <c r="D156" s="62" t="e">
        <f t="shared" si="43"/>
        <v>#DIV/0!</v>
      </c>
      <c r="E156" s="62" t="e">
        <f t="shared" si="44"/>
        <v>#DIV/0!</v>
      </c>
      <c r="F156" s="62">
        <f t="shared" si="45"/>
        <v>-6.7335320820047357</v>
      </c>
      <c r="G156" s="67">
        <f t="shared" si="46"/>
        <v>-11.224797953407617</v>
      </c>
      <c r="H156" s="62" t="e">
        <f t="shared" si="47"/>
        <v>#DIV/0!</v>
      </c>
      <c r="I156" s="62" t="e">
        <f t="shared" si="48"/>
        <v>#DIV/0!</v>
      </c>
      <c r="J156" s="63"/>
      <c r="K156" s="63"/>
      <c r="L156" s="63"/>
      <c r="M156" s="63"/>
      <c r="N156" s="63"/>
      <c r="O156" s="63"/>
      <c r="P156" s="63"/>
      <c r="Q156" s="63"/>
    </row>
    <row r="157" spans="2:17" x14ac:dyDescent="0.3">
      <c r="B157" s="63"/>
      <c r="C157" s="73">
        <f t="shared" si="42"/>
        <v>25000</v>
      </c>
      <c r="D157" s="62" t="e">
        <f t="shared" si="43"/>
        <v>#DIV/0!</v>
      </c>
      <c r="E157" s="62" t="e">
        <f t="shared" si="44"/>
        <v>#DIV/0!</v>
      </c>
      <c r="F157" s="62">
        <f t="shared" si="45"/>
        <v>-6.7377613364120634</v>
      </c>
      <c r="G157" s="67">
        <f t="shared" si="46"/>
        <v>-11.108366863988524</v>
      </c>
      <c r="H157" s="62" t="e">
        <f t="shared" si="47"/>
        <v>#DIV/0!</v>
      </c>
      <c r="I157" s="62" t="e">
        <f t="shared" si="48"/>
        <v>#DIV/0!</v>
      </c>
      <c r="J157" s="63"/>
      <c r="K157" s="63"/>
      <c r="L157" s="63"/>
      <c r="M157" s="63"/>
      <c r="N157" s="63"/>
      <c r="O157" s="63"/>
      <c r="P157" s="63"/>
      <c r="Q157" s="63"/>
    </row>
    <row r="158" spans="2:17" x14ac:dyDescent="0.3">
      <c r="B158" s="63"/>
      <c r="C158" s="73">
        <f t="shared" si="42"/>
        <v>25500</v>
      </c>
      <c r="D158" s="62" t="e">
        <f t="shared" si="43"/>
        <v>#DIV/0!</v>
      </c>
      <c r="E158" s="62" t="e">
        <f t="shared" si="44"/>
        <v>#DIV/0!</v>
      </c>
      <c r="F158" s="62">
        <f t="shared" si="45"/>
        <v>-6.7417765823011058</v>
      </c>
      <c r="G158" s="67">
        <f t="shared" si="46"/>
        <v>-10.998445617202407</v>
      </c>
      <c r="H158" s="62" t="e">
        <f t="shared" si="47"/>
        <v>#DIV/0!</v>
      </c>
      <c r="I158" s="62" t="e">
        <f t="shared" si="48"/>
        <v>#DIV/0!</v>
      </c>
      <c r="J158" s="63"/>
      <c r="K158" s="63"/>
      <c r="L158" s="63"/>
      <c r="M158" s="63"/>
      <c r="N158" s="63"/>
      <c r="O158" s="63"/>
      <c r="P158" s="63"/>
      <c r="Q158" s="63"/>
    </row>
    <row r="159" spans="2:17" x14ac:dyDescent="0.3">
      <c r="B159" s="63"/>
      <c r="C159" s="73">
        <f t="shared" si="42"/>
        <v>26000</v>
      </c>
      <c r="D159" s="62" t="e">
        <f t="shared" si="43"/>
        <v>#DIV/0!</v>
      </c>
      <c r="E159" s="62" t="e">
        <f t="shared" si="44"/>
        <v>#DIV/0!</v>
      </c>
      <c r="F159" s="62">
        <f t="shared" si="45"/>
        <v>-6.7455944060758144</v>
      </c>
      <c r="G159" s="67">
        <f t="shared" si="46"/>
        <v>-10.894668584400442</v>
      </c>
      <c r="H159" s="62" t="e">
        <f t="shared" si="47"/>
        <v>#DIV/0!</v>
      </c>
      <c r="I159" s="62" t="e">
        <f t="shared" si="48"/>
        <v>#DIV/0!</v>
      </c>
      <c r="J159" s="63"/>
      <c r="K159" s="63"/>
      <c r="L159" s="63"/>
      <c r="M159" s="63"/>
      <c r="N159" s="63"/>
      <c r="O159" s="63"/>
      <c r="P159" s="63"/>
      <c r="Q159" s="63"/>
    </row>
    <row r="160" spans="2:17" x14ac:dyDescent="0.3">
      <c r="B160" s="63"/>
      <c r="C160" s="73">
        <f t="shared" si="42"/>
        <v>26500</v>
      </c>
      <c r="D160" s="62" t="e">
        <f t="shared" si="43"/>
        <v>#DIV/0!</v>
      </c>
      <c r="E160" s="62" t="e">
        <f t="shared" si="44"/>
        <v>#DIV/0!</v>
      </c>
      <c r="F160" s="62">
        <f t="shared" si="45"/>
        <v>-6.7492298745900801</v>
      </c>
      <c r="G160" s="67">
        <f t="shared" si="46"/>
        <v>-10.796696803110759</v>
      </c>
      <c r="H160" s="62" t="e">
        <f t="shared" si="47"/>
        <v>#DIV/0!</v>
      </c>
      <c r="I160" s="62" t="e">
        <f t="shared" si="48"/>
        <v>#DIV/0!</v>
      </c>
      <c r="J160" s="63"/>
      <c r="K160" s="63"/>
      <c r="L160" s="63"/>
      <c r="M160" s="63"/>
      <c r="N160" s="63"/>
      <c r="O160" s="63"/>
      <c r="P160" s="63"/>
      <c r="Q160" s="63"/>
    </row>
    <row r="161" spans="2:17" x14ac:dyDescent="0.3">
      <c r="B161" s="63"/>
      <c r="C161" s="73">
        <f t="shared" si="42"/>
        <v>27000</v>
      </c>
      <c r="D161" s="62" t="e">
        <f t="shared" si="43"/>
        <v>#DIV/0!</v>
      </c>
      <c r="E161" s="62" t="e">
        <f t="shared" si="44"/>
        <v>#DIV/0!</v>
      </c>
      <c r="F161" s="62">
        <f t="shared" si="45"/>
        <v>-6.7526966986649093</v>
      </c>
      <c r="G161" s="67">
        <f t="shared" si="46"/>
        <v>-10.704215604825043</v>
      </c>
      <c r="H161" s="62" t="e">
        <f t="shared" si="47"/>
        <v>#DIV/0!</v>
      </c>
      <c r="I161" s="62" t="e">
        <f t="shared" si="48"/>
        <v>#DIV/0!</v>
      </c>
      <c r="J161" s="63"/>
      <c r="K161" s="63"/>
      <c r="L161" s="63"/>
      <c r="M161" s="63"/>
      <c r="N161" s="63"/>
      <c r="O161" s="63"/>
      <c r="P161" s="63"/>
      <c r="Q161" s="63"/>
    </row>
    <row r="162" spans="2:17" x14ac:dyDescent="0.3">
      <c r="B162" s="63"/>
      <c r="C162" s="73">
        <f t="shared" si="42"/>
        <v>27500</v>
      </c>
      <c r="D162" s="62" t="e">
        <f t="shared" si="43"/>
        <v>#DIV/0!</v>
      </c>
      <c r="E162" s="62" t="e">
        <f t="shared" si="44"/>
        <v>#DIV/0!</v>
      </c>
      <c r="F162" s="62">
        <f t="shared" si="45"/>
        <v>-6.7560073764987756</v>
      </c>
      <c r="G162" s="67">
        <f t="shared" si="46"/>
        <v>-10.616932489939398</v>
      </c>
      <c r="H162" s="62" t="e">
        <f t="shared" si="47"/>
        <v>#DIV/0!</v>
      </c>
      <c r="I162" s="62" t="e">
        <f t="shared" si="48"/>
        <v>#DIV/0!</v>
      </c>
      <c r="J162" s="63"/>
      <c r="K162" s="63"/>
      <c r="L162" s="63"/>
      <c r="M162" s="63"/>
      <c r="N162" s="63"/>
      <c r="O162" s="63"/>
      <c r="P162" s="63"/>
      <c r="Q162" s="63"/>
    </row>
    <row r="163" spans="2:17" x14ac:dyDescent="0.3">
      <c r="B163" s="63"/>
      <c r="C163" s="73">
        <f t="shared" si="42"/>
        <v>28000</v>
      </c>
      <c r="D163" s="62" t="e">
        <f t="shared" si="43"/>
        <v>#DIV/0!</v>
      </c>
      <c r="E163" s="62" t="e">
        <f t="shared" si="44"/>
        <v>#DIV/0!</v>
      </c>
      <c r="F163" s="62">
        <f t="shared" si="45"/>
        <v>-6.7591733197391255</v>
      </c>
      <c r="G163" s="67">
        <f t="shared" si="46"/>
        <v>-10.53457522052005</v>
      </c>
      <c r="H163" s="62" t="e">
        <f t="shared" si="47"/>
        <v>#DIV/0!</v>
      </c>
      <c r="I163" s="62" t="e">
        <f t="shared" si="48"/>
        <v>#DIV/0!</v>
      </c>
      <c r="J163" s="63"/>
      <c r="K163" s="63"/>
      <c r="L163" s="63"/>
      <c r="M163" s="63"/>
      <c r="N163" s="63"/>
      <c r="O163" s="63"/>
      <c r="P163" s="63"/>
      <c r="Q163" s="63"/>
    </row>
    <row r="164" spans="2:17" x14ac:dyDescent="0.3">
      <c r="B164" s="63"/>
      <c r="C164" s="73">
        <f t="shared" si="42"/>
        <v>28500</v>
      </c>
      <c r="D164" s="62" t="e">
        <f t="shared" si="43"/>
        <v>#DIV/0!</v>
      </c>
      <c r="E164" s="62" t="e">
        <f t="shared" si="44"/>
        <v>#DIV/0!</v>
      </c>
      <c r="F164" s="62">
        <f t="shared" si="45"/>
        <v>-6.7622049645644484</v>
      </c>
      <c r="G164" s="67">
        <f t="shared" si="46"/>
        <v>-10.456890105447822</v>
      </c>
      <c r="H164" s="62" t="e">
        <f t="shared" si="47"/>
        <v>#DIV/0!</v>
      </c>
      <c r="I164" s="62" t="e">
        <f t="shared" si="48"/>
        <v>#DIV/0!</v>
      </c>
      <c r="J164" s="63"/>
      <c r="K164" s="63"/>
      <c r="L164" s="63"/>
      <c r="M164" s="63"/>
      <c r="N164" s="63"/>
      <c r="O164" s="63"/>
      <c r="P164" s="63"/>
      <c r="Q164" s="63"/>
    </row>
    <row r="165" spans="2:17" x14ac:dyDescent="0.3">
      <c r="B165" s="63"/>
      <c r="C165" s="73">
        <f t="shared" si="42"/>
        <v>29000</v>
      </c>
      <c r="D165" s="62" t="e">
        <f t="shared" si="43"/>
        <v>#DIV/0!</v>
      </c>
      <c r="E165" s="62" t="e">
        <f t="shared" si="44"/>
        <v>#DIV/0!</v>
      </c>
      <c r="F165" s="62">
        <f t="shared" si="45"/>
        <v>-6.7651118697735857</v>
      </c>
      <c r="G165" s="67">
        <f t="shared" si="46"/>
        <v>-10.383640455814154</v>
      </c>
      <c r="H165" s="62" t="e">
        <f t="shared" si="47"/>
        <v>#DIV/0!</v>
      </c>
      <c r="I165" s="62" t="e">
        <f t="shared" si="48"/>
        <v>#DIV/0!</v>
      </c>
      <c r="J165" s="63"/>
      <c r="K165" s="63"/>
      <c r="L165" s="63"/>
      <c r="M165" s="63"/>
      <c r="N165" s="63"/>
      <c r="O165" s="63"/>
      <c r="P165" s="63"/>
      <c r="Q165" s="63"/>
    </row>
    <row r="166" spans="2:17" x14ac:dyDescent="0.3">
      <c r="B166" s="63"/>
      <c r="C166" s="73">
        <f t="shared" si="42"/>
        <v>29500</v>
      </c>
      <c r="D166" s="62" t="e">
        <f t="shared" si="43"/>
        <v>#DIV/0!</v>
      </c>
      <c r="E166" s="62" t="e">
        <f t="shared" si="44"/>
        <v>#DIV/0!</v>
      </c>
      <c r="F166" s="62">
        <f t="shared" si="45"/>
        <v>-6.7679028035864146</v>
      </c>
      <c r="G166" s="67">
        <f t="shared" si="46"/>
        <v>-10.314605191285963</v>
      </c>
      <c r="H166" s="62" t="e">
        <f t="shared" si="47"/>
        <v>#DIV/0!</v>
      </c>
      <c r="I166" s="62" t="e">
        <f t="shared" si="48"/>
        <v>#DIV/0!</v>
      </c>
      <c r="J166" s="63"/>
      <c r="K166" s="63"/>
      <c r="L166" s="63"/>
      <c r="M166" s="63"/>
      <c r="N166" s="63"/>
      <c r="O166" s="63"/>
      <c r="P166" s="63"/>
      <c r="Q166" s="63"/>
    </row>
    <row r="167" spans="2:17" x14ac:dyDescent="0.3">
      <c r="B167" s="63"/>
      <c r="C167" s="73">
        <f t="shared" si="42"/>
        <v>30000</v>
      </c>
      <c r="D167" s="62" t="e">
        <f t="shared" si="43"/>
        <v>#DIV/0!</v>
      </c>
      <c r="E167" s="62" t="e">
        <f t="shared" si="44"/>
        <v>#DIV/0!</v>
      </c>
      <c r="F167" s="62">
        <f t="shared" si="45"/>
        <v>-6.7705858206128475</v>
      </c>
      <c r="G167" s="67">
        <f t="shared" si="46"/>
        <v>-10.249577580598555</v>
      </c>
      <c r="H167" s="62" t="e">
        <f t="shared" si="47"/>
        <v>#DIV/0!</v>
      </c>
      <c r="I167" s="62" t="e">
        <f t="shared" si="48"/>
        <v>#DIV/0!</v>
      </c>
      <c r="J167" s="63"/>
      <c r="K167" s="63"/>
      <c r="L167" s="63"/>
      <c r="M167" s="63"/>
      <c r="N167" s="63"/>
      <c r="O167" s="63"/>
      <c r="P167" s="63"/>
      <c r="Q167" s="63"/>
    </row>
    <row r="168" spans="2:17" x14ac:dyDescent="0.3">
      <c r="B168" s="63"/>
      <c r="C168" s="73">
        <f t="shared" si="42"/>
        <v>30500</v>
      </c>
      <c r="D168" s="62" t="e">
        <f t="shared" si="43"/>
        <v>#DIV/0!</v>
      </c>
      <c r="E168" s="62" t="e">
        <f t="shared" si="44"/>
        <v>#DIV/0!</v>
      </c>
      <c r="F168" s="62">
        <f t="shared" si="45"/>
        <v>-6.7731683302395354</v>
      </c>
      <c r="G168" s="67">
        <f t="shared" si="46"/>
        <v>-10.188364101434615</v>
      </c>
      <c r="H168" s="62" t="e">
        <f t="shared" si="47"/>
        <v>#DIV/0!</v>
      </c>
      <c r="I168" s="62" t="e">
        <f t="shared" si="48"/>
        <v>#DIV/0!</v>
      </c>
      <c r="J168" s="63"/>
      <c r="K168" s="63"/>
      <c r="L168" s="63"/>
      <c r="M168" s="63"/>
      <c r="N168" s="63"/>
      <c r="O168" s="63"/>
      <c r="P168" s="63"/>
      <c r="Q168" s="63"/>
    </row>
    <row r="169" spans="2:17" x14ac:dyDescent="0.3">
      <c r="B169" s="63"/>
      <c r="C169" s="73">
        <f t="shared" si="42"/>
        <v>31000</v>
      </c>
      <c r="D169" s="62" t="e">
        <f t="shared" si="43"/>
        <v>#DIV/0!</v>
      </c>
      <c r="E169" s="62" t="e">
        <f t="shared" si="44"/>
        <v>#DIV/0!</v>
      </c>
      <c r="F169" s="62">
        <f t="shared" si="45"/>
        <v>-6.7756571575081157</v>
      </c>
      <c r="G169" s="67">
        <f t="shared" si="46"/>
        <v>-10.130783406762749</v>
      </c>
      <c r="H169" s="62" t="e">
        <f t="shared" si="47"/>
        <v>#DIV/0!</v>
      </c>
      <c r="I169" s="62" t="e">
        <f t="shared" si="48"/>
        <v>#DIV/0!</v>
      </c>
      <c r="J169" s="63"/>
      <c r="K169" s="63"/>
      <c r="L169" s="63"/>
      <c r="M169" s="63"/>
      <c r="N169" s="63"/>
      <c r="O169" s="63"/>
      <c r="P169" s="63"/>
      <c r="Q169" s="63"/>
    </row>
    <row r="170" spans="2:17" x14ac:dyDescent="0.3">
      <c r="B170" s="63"/>
      <c r="C170" s="73">
        <f t="shared" si="42"/>
        <v>31500</v>
      </c>
      <c r="D170" s="62" t="e">
        <f t="shared" si="43"/>
        <v>#DIV/0!</v>
      </c>
      <c r="E170" s="62" t="e">
        <f t="shared" si="44"/>
        <v>#DIV/0!</v>
      </c>
      <c r="F170" s="62">
        <f t="shared" si="45"/>
        <v>-6.7780585974106602</v>
      </c>
      <c r="G170" s="67">
        <f t="shared" si="46"/>
        <v>-10.076665386273222</v>
      </c>
      <c r="H170" s="62" t="e">
        <f t="shared" si="47"/>
        <v>#DIV/0!</v>
      </c>
      <c r="I170" s="62" t="e">
        <f t="shared" si="48"/>
        <v>#DIV/0!</v>
      </c>
      <c r="J170" s="63"/>
      <c r="K170" s="63"/>
      <c r="L170" s="63"/>
      <c r="M170" s="63"/>
      <c r="N170" s="63"/>
      <c r="O170" s="63"/>
      <c r="P170" s="63"/>
      <c r="Q170" s="63"/>
    </row>
    <row r="171" spans="2:17" x14ac:dyDescent="0.3">
      <c r="B171" s="63"/>
      <c r="C171" s="73">
        <f t="shared" si="42"/>
        <v>32000</v>
      </c>
      <c r="D171" s="62" t="e">
        <f t="shared" si="43"/>
        <v>#DIV/0!</v>
      </c>
      <c r="E171" s="62" t="e">
        <f t="shared" si="44"/>
        <v>#DIV/0!</v>
      </c>
      <c r="F171" s="62">
        <f t="shared" si="45"/>
        <v>-6.7803784634015853</v>
      </c>
      <c r="G171" s="67">
        <f t="shared" si="46"/>
        <v>-10.025850312909721</v>
      </c>
      <c r="H171" s="62" t="e">
        <f t="shared" si="47"/>
        <v>#DIV/0!</v>
      </c>
      <c r="I171" s="62" t="e">
        <f t="shared" si="48"/>
        <v>#DIV/0!</v>
      </c>
      <c r="J171" s="63"/>
      <c r="K171" s="63"/>
      <c r="L171" s="63"/>
      <c r="M171" s="63"/>
      <c r="N171" s="63"/>
      <c r="O171" s="63"/>
      <c r="P171" s="63"/>
      <c r="Q171" s="63"/>
    </row>
    <row r="172" spans="2:17" x14ac:dyDescent="0.3">
      <c r="B172" s="63"/>
      <c r="C172" s="73">
        <f t="shared" si="42"/>
        <v>32500</v>
      </c>
      <c r="D172" s="62" t="e">
        <f t="shared" si="43"/>
        <v>#DIV/0!</v>
      </c>
      <c r="E172" s="62" t="e">
        <f t="shared" si="44"/>
        <v>#DIV/0!</v>
      </c>
      <c r="F172" s="62">
        <f t="shared" si="45"/>
        <v>-6.7826221308179147</v>
      </c>
      <c r="G172" s="67">
        <f t="shared" si="46"/>
        <v>-9.9781880656705599</v>
      </c>
      <c r="H172" s="62" t="e">
        <f t="shared" si="47"/>
        <v>#DIV/0!</v>
      </c>
      <c r="I172" s="62" t="e">
        <f t="shared" si="48"/>
        <v>#DIV/0!</v>
      </c>
      <c r="J172" s="63"/>
      <c r="K172" s="63"/>
      <c r="L172" s="63"/>
      <c r="M172" s="63"/>
      <c r="N172" s="63"/>
      <c r="O172" s="63"/>
      <c r="P172" s="63"/>
      <c r="Q172" s="63"/>
    </row>
    <row r="173" spans="2:17" x14ac:dyDescent="0.3">
      <c r="B173" s="63"/>
      <c r="C173" s="73">
        <f t="shared" si="42"/>
        <v>33000</v>
      </c>
      <c r="D173" s="62" t="e">
        <f t="shared" si="43"/>
        <v>#DIV/0!</v>
      </c>
      <c r="E173" s="62" t="e">
        <f t="shared" si="44"/>
        <v>#DIV/0!</v>
      </c>
      <c r="F173" s="62">
        <f t="shared" si="45"/>
        <v>-6.7847945758085979</v>
      </c>
      <c r="G173" s="67">
        <f t="shared" si="46"/>
        <v>-9.933537420881704</v>
      </c>
      <c r="H173" s="62" t="e">
        <f t="shared" si="47"/>
        <v>#DIV/0!</v>
      </c>
      <c r="I173" s="62" t="e">
        <f t="shared" si="48"/>
        <v>#DIV/0!</v>
      </c>
      <c r="J173" s="63"/>
      <c r="K173" s="63"/>
      <c r="L173" s="63"/>
      <c r="M173" s="63"/>
      <c r="N173" s="63"/>
      <c r="O173" s="63"/>
      <c r="P173" s="63"/>
      <c r="Q173" s="63"/>
    </row>
    <row r="174" spans="2:17" x14ac:dyDescent="0.3">
      <c r="B174" s="63"/>
      <c r="C174" s="73">
        <f t="shared" ref="C174:C205" si="49">C173+500</f>
        <v>33500</v>
      </c>
      <c r="D174" s="62" t="e">
        <f t="shared" si="43"/>
        <v>#DIV/0!</v>
      </c>
      <c r="E174" s="62" t="e">
        <f t="shared" si="44"/>
        <v>#DIV/0!</v>
      </c>
      <c r="F174" s="62">
        <f t="shared" si="45"/>
        <v>-6.7869004102946748</v>
      </c>
      <c r="G174" s="67">
        <f t="shared" si="46"/>
        <v>-9.8917654050370203</v>
      </c>
      <c r="H174" s="62" t="e">
        <f t="shared" si="47"/>
        <v>#DIV/0!</v>
      </c>
      <c r="I174" s="62" t="e">
        <f t="shared" si="48"/>
        <v>#DIV/0!</v>
      </c>
      <c r="J174" s="63"/>
      <c r="K174" s="63"/>
      <c r="L174" s="63"/>
      <c r="M174" s="63"/>
      <c r="N174" s="63"/>
      <c r="O174" s="63"/>
      <c r="P174" s="63"/>
      <c r="Q174" s="63"/>
    </row>
    <row r="175" spans="2:17" x14ac:dyDescent="0.3">
      <c r="B175" s="63"/>
      <c r="C175" s="73">
        <f t="shared" si="49"/>
        <v>34000</v>
      </c>
      <c r="D175" s="62" t="e">
        <f t="shared" si="43"/>
        <v>#DIV/0!</v>
      </c>
      <c r="E175" s="62" t="e">
        <f t="shared" si="44"/>
        <v>#DIV/0!</v>
      </c>
      <c r="F175" s="62">
        <f t="shared" si="45"/>
        <v>-6.7889439134155669</v>
      </c>
      <c r="G175" s="67">
        <f t="shared" si="46"/>
        <v>-9.8527467030810172</v>
      </c>
      <c r="H175" s="62" t="e">
        <f t="shared" si="47"/>
        <v>#DIV/0!</v>
      </c>
      <c r="I175" s="62" t="e">
        <f t="shared" si="48"/>
        <v>#DIV/0!</v>
      </c>
      <c r="J175" s="63"/>
      <c r="K175" s="63"/>
      <c r="L175" s="63"/>
      <c r="M175" s="63"/>
      <c r="N175" s="63"/>
      <c r="O175" s="63"/>
      <c r="P175" s="63"/>
      <c r="Q175" s="63"/>
    </row>
    <row r="176" spans="2:17" x14ac:dyDescent="0.3">
      <c r="B176" s="63"/>
      <c r="C176" s="73">
        <f t="shared" si="49"/>
        <v>34500</v>
      </c>
      <c r="D176" s="62" t="e">
        <f t="shared" si="43"/>
        <v>#DIV/0!</v>
      </c>
      <c r="E176" s="62" t="e">
        <f t="shared" si="44"/>
        <v>#DIV/0!</v>
      </c>
      <c r="F176" s="62">
        <f t="shared" si="45"/>
        <v>-6.790929059858307</v>
      </c>
      <c r="G176" s="67">
        <f t="shared" si="46"/>
        <v>-9.8163631166940721</v>
      </c>
      <c r="H176" s="62" t="e">
        <f t="shared" si="47"/>
        <v>#DIV/0!</v>
      </c>
      <c r="I176" s="62" t="e">
        <f t="shared" si="48"/>
        <v>#DIV/0!</v>
      </c>
      <c r="J176" s="63"/>
      <c r="K176" s="63"/>
      <c r="L176" s="63"/>
      <c r="M176" s="63"/>
      <c r="N176" s="63"/>
      <c r="O176" s="63"/>
      <c r="P176" s="63"/>
      <c r="Q176" s="63"/>
    </row>
    <row r="177" spans="2:17" x14ac:dyDescent="0.3">
      <c r="B177" s="63"/>
      <c r="C177" s="73">
        <f t="shared" si="49"/>
        <v>35000</v>
      </c>
      <c r="D177" s="62" t="e">
        <f t="shared" si="43"/>
        <v>#DIV/0!</v>
      </c>
      <c r="E177" s="62" t="e">
        <f t="shared" si="44"/>
        <v>#DIV/0!</v>
      </c>
      <c r="F177" s="62">
        <f t="shared" si="45"/>
        <v>-6.7928595454174179</v>
      </c>
      <c r="G177" s="67">
        <f t="shared" si="46"/>
        <v>-9.7825030677387304</v>
      </c>
      <c r="H177" s="62" t="e">
        <f t="shared" si="47"/>
        <v>#DIV/0!</v>
      </c>
      <c r="I177" s="62" t="e">
        <f t="shared" si="48"/>
        <v>#DIV/0!</v>
      </c>
      <c r="J177" s="63"/>
      <c r="K177" s="63"/>
      <c r="L177" s="63"/>
      <c r="M177" s="63"/>
      <c r="N177" s="63"/>
      <c r="O177" s="63"/>
      <c r="P177" s="63"/>
      <c r="Q177" s="63"/>
    </row>
    <row r="178" spans="2:17" x14ac:dyDescent="0.3">
      <c r="B178" s="63"/>
      <c r="C178" s="73">
        <f t="shared" si="49"/>
        <v>35500</v>
      </c>
      <c r="D178" s="62" t="e">
        <f t="shared" si="43"/>
        <v>#DIV/0!</v>
      </c>
      <c r="E178" s="62" t="e">
        <f t="shared" si="44"/>
        <v>#DIV/0!</v>
      </c>
      <c r="F178" s="62">
        <f t="shared" si="45"/>
        <v>-6.7947388100902408</v>
      </c>
      <c r="G178" s="67">
        <f t="shared" si="46"/>
        <v>-9.7510611425522171</v>
      </c>
      <c r="H178" s="62" t="e">
        <f t="shared" si="47"/>
        <v>#DIV/0!</v>
      </c>
      <c r="I178" s="62" t="e">
        <f t="shared" si="48"/>
        <v>#DIV/0!</v>
      </c>
      <c r="J178" s="63"/>
      <c r="K178" s="63"/>
      <c r="L178" s="63"/>
      <c r="M178" s="63"/>
      <c r="N178" s="63"/>
      <c r="O178" s="63"/>
      <c r="P178" s="63"/>
      <c r="Q178" s="63"/>
    </row>
    <row r="179" spans="2:17" x14ac:dyDescent="0.3">
      <c r="B179" s="63"/>
      <c r="C179" s="73">
        <f t="shared" si="49"/>
        <v>36000</v>
      </c>
      <c r="D179" s="62" t="e">
        <f t="shared" si="43"/>
        <v>#DIV/0!</v>
      </c>
      <c r="E179" s="62" t="e">
        <f t="shared" si="44"/>
        <v>#DIV/0!</v>
      </c>
      <c r="F179" s="62">
        <f t="shared" si="45"/>
        <v>-6.7965700589745657</v>
      </c>
      <c r="G179" s="67">
        <f t="shared" si="46"/>
        <v>-9.7219376732323717</v>
      </c>
      <c r="H179" s="62" t="e">
        <f t="shared" si="47"/>
        <v>#DIV/0!</v>
      </c>
      <c r="I179" s="62" t="e">
        <f t="shared" si="48"/>
        <v>#DIV/0!</v>
      </c>
      <c r="J179" s="63"/>
      <c r="K179" s="63"/>
      <c r="L179" s="63"/>
      <c r="M179" s="63"/>
      <c r="N179" s="63"/>
      <c r="O179" s="63"/>
      <c r="P179" s="63"/>
      <c r="Q179" s="63"/>
    </row>
    <row r="180" spans="2:17" x14ac:dyDescent="0.3">
      <c r="B180" s="63"/>
      <c r="C180" s="73">
        <f t="shared" si="49"/>
        <v>36500</v>
      </c>
      <c r="D180" s="62" t="e">
        <f t="shared" si="43"/>
        <v>#DIV/0!</v>
      </c>
      <c r="E180" s="62" t="e">
        <f t="shared" si="44"/>
        <v>#DIV/0!</v>
      </c>
      <c r="F180" s="62">
        <f t="shared" si="45"/>
        <v>-6.7983562812046019</v>
      </c>
      <c r="G180" s="67">
        <f t="shared" si="46"/>
        <v>-9.6950383524740662</v>
      </c>
      <c r="H180" s="62" t="e">
        <f t="shared" si="47"/>
        <v>#DIV/0!</v>
      </c>
      <c r="I180" s="62" t="e">
        <f t="shared" si="48"/>
        <v>#DIV/0!</v>
      </c>
      <c r="J180" s="63"/>
      <c r="K180" s="63"/>
      <c r="L180" s="63"/>
      <c r="M180" s="63"/>
      <c r="N180" s="63"/>
      <c r="O180" s="63"/>
      <c r="P180" s="63"/>
      <c r="Q180" s="63"/>
    </row>
    <row r="181" spans="2:17" x14ac:dyDescent="0.3">
      <c r="B181" s="63"/>
      <c r="C181" s="73">
        <f t="shared" si="49"/>
        <v>37000</v>
      </c>
      <c r="D181" s="62" t="e">
        <f t="shared" si="43"/>
        <v>#DIV/0!</v>
      </c>
      <c r="E181" s="62" t="e">
        <f t="shared" si="44"/>
        <v>#DIV/0!</v>
      </c>
      <c r="F181" s="62">
        <f t="shared" si="45"/>
        <v>-6.8001002671320876</v>
      </c>
      <c r="G181" s="67">
        <f t="shared" si="46"/>
        <v>-9.6702738788711251</v>
      </c>
      <c r="H181" s="62" t="e">
        <f t="shared" si="47"/>
        <v>#DIV/0!</v>
      </c>
      <c r="I181" s="62" t="e">
        <f t="shared" si="48"/>
        <v>#DIV/0!</v>
      </c>
      <c r="J181" s="63"/>
      <c r="K181" s="63"/>
      <c r="L181" s="63"/>
      <c r="M181" s="63"/>
      <c r="N181" s="63"/>
      <c r="O181" s="63"/>
      <c r="P181" s="63"/>
      <c r="Q181" s="63"/>
    </row>
    <row r="182" spans="2:17" x14ac:dyDescent="0.3">
      <c r="B182" s="63"/>
      <c r="C182" s="73">
        <f t="shared" si="49"/>
        <v>37500</v>
      </c>
      <c r="D182" s="62" t="e">
        <f t="shared" si="43"/>
        <v>#DIV/0!</v>
      </c>
      <c r="E182" s="62" t="e">
        <f t="shared" si="44"/>
        <v>#DIV/0!</v>
      </c>
      <c r="F182" s="62">
        <f t="shared" si="45"/>
        <v>-6.8018046239360661</v>
      </c>
      <c r="G182" s="67">
        <f t="shared" si="46"/>
        <v>-9.6475596299197868</v>
      </c>
      <c r="H182" s="62" t="e">
        <f t="shared" si="47"/>
        <v>#DIV/0!</v>
      </c>
      <c r="I182" s="62" t="e">
        <f t="shared" si="48"/>
        <v>#DIV/0!</v>
      </c>
      <c r="J182" s="63"/>
      <c r="K182" s="63"/>
      <c r="L182" s="63"/>
      <c r="M182" s="63"/>
      <c r="N182" s="63"/>
      <c r="O182" s="63"/>
      <c r="P182" s="63"/>
      <c r="Q182" s="63"/>
    </row>
    <row r="183" spans="2:17" x14ac:dyDescent="0.3">
      <c r="B183" s="63"/>
      <c r="C183" s="73">
        <f t="shared" si="49"/>
        <v>38000</v>
      </c>
      <c r="D183" s="62" t="e">
        <f t="shared" si="43"/>
        <v>#DIV/0!</v>
      </c>
      <c r="E183" s="62" t="e">
        <f t="shared" si="44"/>
        <v>#DIV/0!</v>
      </c>
      <c r="F183" s="62">
        <f t="shared" si="45"/>
        <v>-6.8034717898229307</v>
      </c>
      <c r="G183" s="67">
        <f t="shared" si="46"/>
        <v>-9.6268153602397781</v>
      </c>
      <c r="H183" s="62" t="e">
        <f t="shared" si="47"/>
        <v>#DIV/0!</v>
      </c>
      <c r="I183" s="62" t="e">
        <f t="shared" si="48"/>
        <v>#DIV/0!</v>
      </c>
      <c r="J183" s="63"/>
      <c r="K183" s="63"/>
      <c r="L183" s="63"/>
      <c r="M183" s="63"/>
      <c r="N183" s="63"/>
      <c r="O183" s="63"/>
      <c r="P183" s="63"/>
      <c r="Q183" s="63"/>
    </row>
    <row r="184" spans="2:17" x14ac:dyDescent="0.3">
      <c r="B184" s="63"/>
      <c r="C184" s="73">
        <f t="shared" si="49"/>
        <v>38500</v>
      </c>
      <c r="D184" s="62" t="e">
        <f t="shared" si="43"/>
        <v>#DIV/0!</v>
      </c>
      <c r="E184" s="62" t="e">
        <f t="shared" si="44"/>
        <v>#DIV/0!</v>
      </c>
      <c r="F184" s="62">
        <f t="shared" si="45"/>
        <v>-6.8051040469601309</v>
      </c>
      <c r="G184" s="67">
        <f t="shared" si="46"/>
        <v>-9.6079649227805461</v>
      </c>
      <c r="H184" s="62" t="e">
        <f t="shared" si="47"/>
        <v>#DIV/0!</v>
      </c>
      <c r="I184" s="62" t="e">
        <f t="shared" si="48"/>
        <v>#DIV/0!</v>
      </c>
      <c r="J184" s="63"/>
      <c r="K184" s="63"/>
      <c r="L184" s="63"/>
      <c r="M184" s="63"/>
      <c r="N184" s="63"/>
      <c r="O184" s="63"/>
      <c r="P184" s="63"/>
      <c r="Q184" s="63"/>
    </row>
    <row r="185" spans="2:17" x14ac:dyDescent="0.3">
      <c r="B185" s="63"/>
      <c r="C185" s="73">
        <f t="shared" si="49"/>
        <v>39000</v>
      </c>
      <c r="D185" s="62" t="e">
        <f t="shared" si="43"/>
        <v>#DIV/0!</v>
      </c>
      <c r="E185" s="62" t="e">
        <f t="shared" si="44"/>
        <v>#DIV/0!</v>
      </c>
      <c r="F185" s="62">
        <f t="shared" si="45"/>
        <v>-6.8067035332714028</v>
      </c>
      <c r="G185" s="67">
        <f t="shared" si="46"/>
        <v>-9.5909360110033166</v>
      </c>
      <c r="H185" s="62" t="e">
        <f t="shared" si="47"/>
        <v>#DIV/0!</v>
      </c>
      <c r="I185" s="62" t="e">
        <f t="shared" si="48"/>
        <v>#DIV/0!</v>
      </c>
      <c r="J185" s="63"/>
      <c r="K185" s="63"/>
      <c r="L185" s="63"/>
      <c r="M185" s="63"/>
      <c r="N185" s="63"/>
      <c r="O185" s="63"/>
      <c r="P185" s="63"/>
      <c r="Q185" s="63"/>
    </row>
    <row r="186" spans="2:17" x14ac:dyDescent="0.3">
      <c r="B186" s="63"/>
      <c r="C186" s="73">
        <f t="shared" si="49"/>
        <v>39500</v>
      </c>
      <c r="D186" s="62" t="e">
        <f t="shared" si="43"/>
        <v>#DIV/0!</v>
      </c>
      <c r="E186" s="62" t="e">
        <f t="shared" si="44"/>
        <v>#DIV/0!</v>
      </c>
      <c r="F186" s="62">
        <f t="shared" si="45"/>
        <v>-6.8082722532052484</v>
      </c>
      <c r="G186" s="67">
        <f t="shared" si="46"/>
        <v>-9.5756599202240533</v>
      </c>
      <c r="H186" s="62" t="e">
        <f t="shared" si="47"/>
        <v>#DIV/0!</v>
      </c>
      <c r="I186" s="62" t="e">
        <f t="shared" si="48"/>
        <v>#DIV/0!</v>
      </c>
      <c r="J186" s="63"/>
      <c r="K186" s="63"/>
      <c r="L186" s="63"/>
      <c r="M186" s="63"/>
      <c r="N186" s="63"/>
      <c r="O186" s="63"/>
      <c r="P186" s="63"/>
      <c r="Q186" s="63"/>
    </row>
    <row r="187" spans="2:17" x14ac:dyDescent="0.3">
      <c r="B187" s="63"/>
      <c r="C187" s="73">
        <f t="shared" si="49"/>
        <v>40000</v>
      </c>
      <c r="D187" s="62" t="e">
        <f t="shared" si="43"/>
        <v>#DIV/0!</v>
      </c>
      <c r="E187" s="62" t="e">
        <f t="shared" si="44"/>
        <v>#DIV/0!</v>
      </c>
      <c r="F187" s="62">
        <f t="shared" si="45"/>
        <v>-6.8098120875785053</v>
      </c>
      <c r="G187" s="67">
        <f t="shared" si="46"/>
        <v>-9.5620713264833821</v>
      </c>
      <c r="H187" s="62" t="e">
        <f t="shared" si="47"/>
        <v>#DIV/0!</v>
      </c>
      <c r="I187" s="62" t="e">
        <f t="shared" si="48"/>
        <v>#DIV/0!</v>
      </c>
      <c r="J187" s="63"/>
      <c r="K187" s="63"/>
      <c r="L187" s="63"/>
      <c r="M187" s="63"/>
      <c r="N187" s="63"/>
      <c r="O187" s="63"/>
      <c r="P187" s="63"/>
      <c r="Q187" s="63"/>
    </row>
    <row r="188" spans="2:17" x14ac:dyDescent="0.3">
      <c r="B188" s="63"/>
      <c r="C188" s="73">
        <f t="shared" si="49"/>
        <v>40500</v>
      </c>
      <c r="D188" s="62" t="e">
        <f t="shared" si="43"/>
        <v>#DIV/0!</v>
      </c>
      <c r="E188" s="62" t="e">
        <f t="shared" si="44"/>
        <v>#DIV/0!</v>
      </c>
      <c r="F188" s="62">
        <f t="shared" si="45"/>
        <v>-6.8113248025846227</v>
      </c>
      <c r="G188" s="67">
        <f t="shared" si="46"/>
        <v>-9.5501080814641952</v>
      </c>
      <c r="H188" s="62" t="e">
        <f t="shared" si="47"/>
        <v>#DIV/0!</v>
      </c>
      <c r="I188" s="62" t="e">
        <f t="shared" si="48"/>
        <v>#DIV/0!</v>
      </c>
      <c r="J188" s="63"/>
      <c r="K188" s="63"/>
      <c r="L188" s="63"/>
      <c r="M188" s="63"/>
      <c r="N188" s="63"/>
      <c r="O188" s="63"/>
      <c r="P188" s="63"/>
      <c r="Q188" s="63"/>
    </row>
    <row r="189" spans="2:17" x14ac:dyDescent="0.3">
      <c r="B189" s="63"/>
      <c r="C189" s="73">
        <f t="shared" si="49"/>
        <v>41000</v>
      </c>
      <c r="D189" s="62" t="e">
        <f t="shared" si="43"/>
        <v>#DIV/0!</v>
      </c>
      <c r="E189" s="62" t="e">
        <f t="shared" si="44"/>
        <v>#DIV/0!</v>
      </c>
      <c r="F189" s="62">
        <f t="shared" si="45"/>
        <v>-6.8128120580453233</v>
      </c>
      <c r="G189" s="67">
        <f t="shared" si="46"/>
        <v>-9.5397110221164674</v>
      </c>
      <c r="H189" s="62" t="e">
        <f t="shared" si="47"/>
        <v>#DIV/0!</v>
      </c>
      <c r="I189" s="62" t="e">
        <f t="shared" si="48"/>
        <v>#DIV/0!</v>
      </c>
      <c r="J189" s="63"/>
      <c r="K189" s="63"/>
      <c r="L189" s="63"/>
      <c r="M189" s="63"/>
      <c r="N189" s="63"/>
      <c r="O189" s="63"/>
      <c r="P189" s="63"/>
      <c r="Q189" s="63"/>
    </row>
    <row r="190" spans="2:17" x14ac:dyDescent="0.3">
      <c r="B190" s="63"/>
      <c r="C190" s="73">
        <f t="shared" si="49"/>
        <v>41500</v>
      </c>
      <c r="D190" s="62" t="e">
        <f t="shared" si="43"/>
        <v>#DIV/0!</v>
      </c>
      <c r="E190" s="62" t="e">
        <f t="shared" si="44"/>
        <v>#DIV/0!</v>
      </c>
      <c r="F190" s="62">
        <f t="shared" si="45"/>
        <v>-6.8142754149787148</v>
      </c>
      <c r="G190" s="67">
        <f t="shared" si="46"/>
        <v>-9.5308237937790707</v>
      </c>
      <c r="H190" s="62" t="e">
        <f t="shared" si="47"/>
        <v>#DIV/0!</v>
      </c>
      <c r="I190" s="62" t="e">
        <f t="shared" si="48"/>
        <v>#DIV/0!</v>
      </c>
      <c r="J190" s="63"/>
      <c r="K190" s="63"/>
      <c r="L190" s="63"/>
      <c r="M190" s="63"/>
      <c r="N190" s="63"/>
      <c r="O190" s="63"/>
      <c r="P190" s="63"/>
      <c r="Q190" s="63"/>
    </row>
    <row r="191" spans="2:17" x14ac:dyDescent="0.3">
      <c r="B191" s="63"/>
      <c r="C191" s="73">
        <f t="shared" si="49"/>
        <v>42000</v>
      </c>
      <c r="D191" s="62" t="e">
        <f t="shared" si="43"/>
        <v>#DIV/0!</v>
      </c>
      <c r="E191" s="62" t="e">
        <f t="shared" si="44"/>
        <v>#DIV/0!</v>
      </c>
      <c r="F191" s="62">
        <f t="shared" si="45"/>
        <v>-6.8157163425470912</v>
      </c>
      <c r="G191" s="67">
        <f t="shared" si="46"/>
        <v>-9.5233926856970079</v>
      </c>
      <c r="H191" s="62" t="e">
        <f t="shared" si="47"/>
        <v>#DIV/0!</v>
      </c>
      <c r="I191" s="62" t="e">
        <f t="shared" si="48"/>
        <v>#DIV/0!</v>
      </c>
      <c r="J191" s="63"/>
      <c r="K191" s="63"/>
      <c r="L191" s="63"/>
      <c r="M191" s="63"/>
      <c r="N191" s="63"/>
      <c r="O191" s="63"/>
      <c r="P191" s="63"/>
      <c r="Q191" s="63"/>
    </row>
    <row r="192" spans="2:17" x14ac:dyDescent="0.3">
      <c r="B192" s="63"/>
      <c r="C192" s="73">
        <f t="shared" si="49"/>
        <v>42500</v>
      </c>
      <c r="D192" s="62" t="e">
        <f t="shared" si="43"/>
        <v>#DIV/0!</v>
      </c>
      <c r="E192" s="62" t="e">
        <f t="shared" si="44"/>
        <v>#DIV/0!</v>
      </c>
      <c r="F192" s="62">
        <f t="shared" si="45"/>
        <v>-6.8171362244416125</v>
      </c>
      <c r="G192" s="67">
        <f t="shared" si="46"/>
        <v>-9.5173664779352496</v>
      </c>
      <c r="H192" s="62" t="e">
        <f t="shared" si="47"/>
        <v>#DIV/0!</v>
      </c>
      <c r="I192" s="62" t="e">
        <f t="shared" si="48"/>
        <v>#DIV/0!</v>
      </c>
      <c r="J192" s="63"/>
      <c r="K192" s="63"/>
      <c r="L192" s="63"/>
      <c r="M192" s="63"/>
      <c r="N192" s="63"/>
      <c r="O192" s="63"/>
      <c r="P192" s="63"/>
      <c r="Q192" s="63"/>
    </row>
    <row r="193" spans="2:17" x14ac:dyDescent="0.3">
      <c r="B193" s="63"/>
      <c r="C193" s="73">
        <f t="shared" si="49"/>
        <v>43000</v>
      </c>
      <c r="D193" s="62" t="e">
        <f t="shared" si="43"/>
        <v>#DIV/0!</v>
      </c>
      <c r="E193" s="62" t="e">
        <f t="shared" si="44"/>
        <v>#DIV/0!</v>
      </c>
      <c r="F193" s="62">
        <f t="shared" si="45"/>
        <v>-6.8185363647559463</v>
      </c>
      <c r="G193" s="67">
        <f t="shared" si="46"/>
        <v>-9.512696298781135</v>
      </c>
      <c r="H193" s="62" t="e">
        <f t="shared" si="47"/>
        <v>#DIV/0!</v>
      </c>
      <c r="I193" s="62" t="e">
        <f t="shared" si="48"/>
        <v>#DIV/0!</v>
      </c>
      <c r="J193" s="63"/>
      <c r="K193" s="63"/>
      <c r="L193" s="63"/>
      <c r="M193" s="63"/>
      <c r="N193" s="63"/>
      <c r="O193" s="63"/>
      <c r="P193" s="63"/>
      <c r="Q193" s="63"/>
    </row>
    <row r="194" spans="2:17" x14ac:dyDescent="0.3">
      <c r="B194" s="63"/>
      <c r="C194" s="73">
        <f t="shared" si="49"/>
        <v>43500</v>
      </c>
      <c r="D194" s="62" t="e">
        <f t="shared" si="43"/>
        <v>#DIV/0!</v>
      </c>
      <c r="E194" s="62" t="e">
        <f t="shared" si="44"/>
        <v>#DIV/0!</v>
      </c>
      <c r="F194" s="62">
        <f t="shared" si="45"/>
        <v>-6.8199179933943324</v>
      </c>
      <c r="G194" s="67">
        <f t="shared" si="46"/>
        <v>-9.5093354918078319</v>
      </c>
      <c r="H194" s="62" t="e">
        <f t="shared" si="47"/>
        <v>#DIV/0!</v>
      </c>
      <c r="I194" s="62" t="e">
        <f t="shared" si="48"/>
        <v>#DIV/0!</v>
      </c>
      <c r="J194" s="63"/>
      <c r="K194" s="63"/>
      <c r="L194" s="63"/>
      <c r="M194" s="63"/>
      <c r="N194" s="63"/>
      <c r="O194" s="63"/>
      <c r="P194" s="63"/>
      <c r="Q194" s="63"/>
    </row>
    <row r="195" spans="2:17" x14ac:dyDescent="0.3">
      <c r="B195" s="63"/>
      <c r="C195" s="73">
        <f t="shared" si="49"/>
        <v>44000</v>
      </c>
      <c r="D195" s="62" t="e">
        <f t="shared" si="43"/>
        <v>#DIV/0!</v>
      </c>
      <c r="E195" s="62" t="e">
        <f t="shared" si="44"/>
        <v>#DIV/0!</v>
      </c>
      <c r="F195" s="62">
        <f t="shared" si="45"/>
        <v>-6.8212822710563863</v>
      </c>
      <c r="G195" s="67">
        <f t="shared" si="46"/>
        <v>-9.507239491846736</v>
      </c>
      <c r="H195" s="62" t="e">
        <f t="shared" si="47"/>
        <v>#DIV/0!</v>
      </c>
      <c r="I195" s="62" t="e">
        <f t="shared" si="48"/>
        <v>#DIV/0!</v>
      </c>
      <c r="J195" s="63"/>
      <c r="K195" s="63"/>
      <c r="L195" s="63"/>
      <c r="M195" s="63"/>
      <c r="N195" s="63"/>
      <c r="O195" s="63"/>
      <c r="P195" s="63"/>
      <c r="Q195" s="63"/>
    </row>
    <row r="196" spans="2:17" x14ac:dyDescent="0.3">
      <c r="B196" s="63"/>
      <c r="C196" s="73">
        <f t="shared" si="49"/>
        <v>44500</v>
      </c>
      <c r="D196" s="62" t="e">
        <f t="shared" si="43"/>
        <v>#DIV/0!</v>
      </c>
      <c r="E196" s="62" t="e">
        <f t="shared" si="44"/>
        <v>#DIV/0!</v>
      </c>
      <c r="F196" s="62">
        <f t="shared" si="45"/>
        <v>-6.8226302938356334</v>
      </c>
      <c r="G196" s="67">
        <f t="shared" si="46"/>
        <v>-9.5063657091806437</v>
      </c>
      <c r="H196" s="62" t="e">
        <f t="shared" si="47"/>
        <v>#DIV/0!</v>
      </c>
      <c r="I196" s="62" t="e">
        <f t="shared" si="48"/>
        <v>#DIV/0!</v>
      </c>
      <c r="J196" s="63"/>
      <c r="K196" s="63"/>
      <c r="L196" s="63"/>
      <c r="M196" s="63"/>
      <c r="N196" s="63"/>
      <c r="O196" s="63"/>
      <c r="P196" s="63"/>
      <c r="Q196" s="63"/>
    </row>
    <row r="197" spans="2:17" x14ac:dyDescent="0.3">
      <c r="B197" s="63"/>
      <c r="C197" s="73">
        <f t="shared" si="49"/>
        <v>45000</v>
      </c>
      <c r="D197" s="62" t="e">
        <f t="shared" si="43"/>
        <v>#DIV/0!</v>
      </c>
      <c r="E197" s="62" t="e">
        <f t="shared" si="44"/>
        <v>#DIV/0!</v>
      </c>
      <c r="F197" s="62">
        <f t="shared" si="45"/>
        <v>-6.8239630974657386</v>
      </c>
      <c r="G197" s="67">
        <f t="shared" si="46"/>
        <v>-9.5066734213310333</v>
      </c>
      <c r="H197" s="62" t="e">
        <f t="shared" si="47"/>
        <v>#DIV/0!</v>
      </c>
      <c r="I197" s="62" t="e">
        <f t="shared" si="48"/>
        <v>#DIV/0!</v>
      </c>
      <c r="J197" s="63"/>
      <c r="K197" s="63"/>
      <c r="L197" s="63"/>
      <c r="M197" s="63"/>
      <c r="N197" s="63"/>
      <c r="O197" s="63"/>
      <c r="P197" s="63"/>
      <c r="Q197" s="63"/>
    </row>
    <row r="198" spans="2:17" x14ac:dyDescent="0.3">
      <c r="B198" s="63"/>
      <c r="C198" s="73">
        <f t="shared" si="49"/>
        <v>45500</v>
      </c>
      <c r="D198" s="62" t="e">
        <f t="shared" si="43"/>
        <v>#DIV/0!</v>
      </c>
      <c r="E198" s="62" t="e">
        <f t="shared" si="44"/>
        <v>#DIV/0!</v>
      </c>
      <c r="F198" s="62">
        <f t="shared" si="45"/>
        <v>-6.8252816612444525</v>
      </c>
      <c r="G198" s="67">
        <f t="shared" si="46"/>
        <v>-9.508123671865274</v>
      </c>
      <c r="H198" s="62" t="e">
        <f t="shared" si="47"/>
        <v>#DIV/0!</v>
      </c>
      <c r="I198" s="62" t="e">
        <f t="shared" si="48"/>
        <v>#DIV/0!</v>
      </c>
      <c r="J198" s="63"/>
      <c r="K198" s="63"/>
      <c r="L198" s="63"/>
      <c r="M198" s="63"/>
      <c r="N198" s="63"/>
      <c r="O198" s="63"/>
      <c r="P198" s="63"/>
      <c r="Q198" s="63"/>
    </row>
    <row r="199" spans="2:17" x14ac:dyDescent="0.3">
      <c r="B199" s="63"/>
      <c r="C199" s="73">
        <f t="shared" si="49"/>
        <v>46000</v>
      </c>
      <c r="D199" s="62" t="e">
        <f t="shared" si="43"/>
        <v>#DIV/0!</v>
      </c>
      <c r="E199" s="62" t="e">
        <f t="shared" si="44"/>
        <v>#DIV/0!</v>
      </c>
      <c r="F199" s="62">
        <f t="shared" si="45"/>
        <v>-6.8265869116640712</v>
      </c>
      <c r="G199" s="67">
        <f t="shared" si="46"/>
        <v>-9.5106791757009912</v>
      </c>
      <c r="H199" s="62" t="e">
        <f t="shared" si="47"/>
        <v>#DIV/0!</v>
      </c>
      <c r="I199" s="62" t="e">
        <f t="shared" si="48"/>
        <v>#DIV/0!</v>
      </c>
      <c r="J199" s="63"/>
      <c r="K199" s="63"/>
      <c r="L199" s="63"/>
      <c r="M199" s="63"/>
      <c r="N199" s="63"/>
      <c r="O199" s="63"/>
      <c r="P199" s="63"/>
      <c r="Q199" s="63"/>
    </row>
    <row r="200" spans="2:17" x14ac:dyDescent="0.3">
      <c r="B200" s="63"/>
      <c r="C200" s="73">
        <f t="shared" si="49"/>
        <v>46500</v>
      </c>
      <c r="D200" s="62" t="e">
        <f t="shared" si="43"/>
        <v>#DIV/0!</v>
      </c>
      <c r="E200" s="62" t="e">
        <f t="shared" si="44"/>
        <v>#DIV/0!</v>
      </c>
      <c r="F200" s="62">
        <f t="shared" si="45"/>
        <v>-6.8278797257717985</v>
      </c>
      <c r="G200" s="67">
        <f t="shared" si="46"/>
        <v>-9.5143042304253118</v>
      </c>
      <c r="H200" s="62" t="e">
        <f t="shared" si="47"/>
        <v>#DIV/0!</v>
      </c>
      <c r="I200" s="62" t="e">
        <f t="shared" si="48"/>
        <v>#DIV/0!</v>
      </c>
      <c r="J200" s="63"/>
      <c r="K200" s="63"/>
      <c r="L200" s="63"/>
      <c r="M200" s="63"/>
      <c r="N200" s="63"/>
      <c r="O200" s="63"/>
      <c r="P200" s="63"/>
      <c r="Q200" s="63"/>
    </row>
    <row r="201" spans="2:17" x14ac:dyDescent="0.3">
      <c r="B201" s="63"/>
      <c r="C201" s="73">
        <f t="shared" si="49"/>
        <v>47000</v>
      </c>
      <c r="D201" s="62" t="e">
        <f t="shared" si="43"/>
        <v>#DIV/0!</v>
      </c>
      <c r="E201" s="62" t="e">
        <f t="shared" si="44"/>
        <v>#DIV/0!</v>
      </c>
      <c r="F201" s="62">
        <f t="shared" si="45"/>
        <v>-6.8291609342833741</v>
      </c>
      <c r="G201" s="67">
        <f t="shared" si="46"/>
        <v>-9.5189646331896274</v>
      </c>
      <c r="H201" s="62" t="e">
        <f t="shared" si="47"/>
        <v>#DIV/0!</v>
      </c>
      <c r="I201" s="62" t="e">
        <f t="shared" si="48"/>
        <v>#DIV/0!</v>
      </c>
      <c r="J201" s="63"/>
      <c r="K201" s="63"/>
      <c r="L201" s="63"/>
      <c r="M201" s="63"/>
      <c r="N201" s="63"/>
      <c r="O201" s="63"/>
      <c r="P201" s="63"/>
      <c r="Q201" s="63"/>
    </row>
    <row r="202" spans="2:17" x14ac:dyDescent="0.3">
      <c r="B202" s="63"/>
      <c r="C202" s="73">
        <f t="shared" si="49"/>
        <v>47500</v>
      </c>
      <c r="D202" s="62" t="e">
        <f t="shared" si="43"/>
        <v>#DIV/0!</v>
      </c>
      <c r="E202" s="62" t="e">
        <f t="shared" si="44"/>
        <v>#DIV/0!</v>
      </c>
      <c r="F202" s="62">
        <f t="shared" si="45"/>
        <v>-6.8304313244707071</v>
      </c>
      <c r="G202" s="67">
        <f t="shared" si="46"/>
        <v>-9.5246276027765582</v>
      </c>
      <c r="H202" s="62" t="e">
        <f t="shared" si="47"/>
        <v>#DIV/0!</v>
      </c>
      <c r="I202" s="62" t="e">
        <f t="shared" si="48"/>
        <v>#DIV/0!</v>
      </c>
      <c r="J202" s="63"/>
      <c r="K202" s="63"/>
      <c r="L202" s="63"/>
      <c r="M202" s="63"/>
      <c r="N202" s="63"/>
      <c r="O202" s="63"/>
      <c r="P202" s="63"/>
      <c r="Q202" s="63"/>
    </row>
    <row r="203" spans="2:17" x14ac:dyDescent="0.3">
      <c r="B203" s="63"/>
      <c r="C203" s="73">
        <f t="shared" si="49"/>
        <v>48000</v>
      </c>
      <c r="D203" s="62" t="e">
        <f t="shared" si="43"/>
        <v>#DIV/0!</v>
      </c>
      <c r="E203" s="62" t="e">
        <f t="shared" si="44"/>
        <v>#DIV/0!</v>
      </c>
      <c r="F203" s="62">
        <f t="shared" si="45"/>
        <v>-6.831691642841653</v>
      </c>
      <c r="G203" s="67">
        <f t="shared" si="46"/>
        <v>-9.5312617064674203</v>
      </c>
      <c r="H203" s="62" t="e">
        <f t="shared" si="47"/>
        <v>#DIV/0!</v>
      </c>
      <c r="I203" s="62" t="e">
        <f t="shared" si="48"/>
        <v>#DIV/0!</v>
      </c>
      <c r="J203" s="63"/>
      <c r="K203" s="63"/>
      <c r="L203" s="63"/>
      <c r="M203" s="63"/>
      <c r="N203" s="63"/>
      <c r="O203" s="63"/>
      <c r="P203" s="63"/>
      <c r="Q203" s="63"/>
    </row>
    <row r="204" spans="2:17" x14ac:dyDescent="0.3">
      <c r="B204" s="63"/>
      <c r="C204" s="73">
        <f t="shared" si="49"/>
        <v>48500</v>
      </c>
      <c r="D204" s="62" t="e">
        <f t="shared" si="43"/>
        <v>#DIV/0!</v>
      </c>
      <c r="E204" s="62" t="e">
        <f t="shared" si="44"/>
        <v>#DIV/0!</v>
      </c>
      <c r="F204" s="62">
        <f t="shared" si="45"/>
        <v>-6.8329425976289162</v>
      </c>
      <c r="G204" s="67">
        <f t="shared" si="46"/>
        <v>-9.5388367913697749</v>
      </c>
      <c r="H204" s="62" t="e">
        <f t="shared" si="47"/>
        <v>#DIV/0!</v>
      </c>
      <c r="I204" s="62" t="e">
        <f t="shared" si="48"/>
        <v>#DIV/0!</v>
      </c>
      <c r="J204" s="63"/>
      <c r="K204" s="63"/>
      <c r="L204" s="63"/>
      <c r="M204" s="63"/>
      <c r="N204" s="63"/>
      <c r="O204" s="63"/>
      <c r="P204" s="63"/>
      <c r="Q204" s="63"/>
    </row>
    <row r="205" spans="2:17" x14ac:dyDescent="0.3">
      <c r="B205" s="63"/>
      <c r="C205" s="73">
        <f t="shared" si="49"/>
        <v>49000</v>
      </c>
      <c r="D205" s="62" t="e">
        <f t="shared" si="43"/>
        <v>#DIV/0!</v>
      </c>
      <c r="E205" s="62" t="e">
        <f t="shared" si="44"/>
        <v>#DIV/0!</v>
      </c>
      <c r="F205" s="62">
        <f t="shared" si="45"/>
        <v>-6.8341848611030507</v>
      </c>
      <c r="G205" s="67">
        <f t="shared" si="46"/>
        <v>-9.5473239198909745</v>
      </c>
      <c r="H205" s="62" t="e">
        <f t="shared" si="47"/>
        <v>#DIV/0!</v>
      </c>
      <c r="I205" s="62" t="e">
        <f t="shared" si="48"/>
        <v>#DIV/0!</v>
      </c>
      <c r="J205" s="63"/>
      <c r="K205" s="63"/>
      <c r="L205" s="63"/>
      <c r="M205" s="63"/>
      <c r="N205" s="63"/>
      <c r="O205" s="63"/>
      <c r="P205" s="63"/>
      <c r="Q205" s="63"/>
    </row>
    <row r="206" spans="2:17" x14ac:dyDescent="0.3">
      <c r="B206" s="63"/>
      <c r="C206" s="73">
        <f t="shared" ref="C206:C237" si="50">C205+500</f>
        <v>49500</v>
      </c>
      <c r="D206" s="62" t="e">
        <f t="shared" si="43"/>
        <v>#DIV/0!</v>
      </c>
      <c r="E206" s="62" t="e">
        <f t="shared" si="44"/>
        <v>#DIV/0!</v>
      </c>
      <c r="F206" s="62">
        <f t="shared" si="45"/>
        <v>-6.8354190717251404</v>
      </c>
      <c r="G206" s="67">
        <f t="shared" si="46"/>
        <v>-9.5566953090709372</v>
      </c>
      <c r="H206" s="62" t="e">
        <f t="shared" si="47"/>
        <v>#DIV/0!</v>
      </c>
      <c r="I206" s="62" t="e">
        <f t="shared" si="48"/>
        <v>#DIV/0!</v>
      </c>
      <c r="J206" s="63"/>
      <c r="K206" s="63"/>
      <c r="L206" s="63"/>
      <c r="M206" s="63"/>
      <c r="N206" s="63"/>
      <c r="O206" s="63"/>
      <c r="P206" s="63"/>
      <c r="Q206" s="63"/>
    </row>
    <row r="207" spans="2:17" x14ac:dyDescent="0.3">
      <c r="B207" s="63"/>
      <c r="C207" s="73">
        <f t="shared" si="50"/>
        <v>50000</v>
      </c>
      <c r="D207" s="62" t="e">
        <f t="shared" si="43"/>
        <v>#DIV/0!</v>
      </c>
      <c r="E207" s="62" t="e">
        <f t="shared" si="44"/>
        <v>#DIV/0!</v>
      </c>
      <c r="F207" s="62">
        <f t="shared" si="45"/>
        <v>-6.8366458361491755</v>
      </c>
      <c r="G207" s="67">
        <f t="shared" si="46"/>
        <v>-9.5669242735049131</v>
      </c>
      <c r="H207" s="62" t="e">
        <f t="shared" si="47"/>
        <v>#DIV/0!</v>
      </c>
      <c r="I207" s="62" t="e">
        <f t="shared" si="48"/>
        <v>#DIV/0!</v>
      </c>
      <c r="J207" s="63"/>
      <c r="K207" s="63"/>
      <c r="L207" s="63"/>
      <c r="M207" s="63"/>
      <c r="N207" s="63"/>
      <c r="O207" s="63"/>
      <c r="P207" s="63"/>
      <c r="Q207" s="63"/>
    </row>
    <row r="208" spans="2:17" x14ac:dyDescent="0.3">
      <c r="B208" s="63"/>
      <c r="C208" s="73">
        <f t="shared" si="50"/>
        <v>50500</v>
      </c>
      <c r="D208" s="62" t="e">
        <f t="shared" si="43"/>
        <v>#DIV/0!</v>
      </c>
      <c r="E208" s="62" t="e">
        <f t="shared" si="44"/>
        <v>#DIV/0!</v>
      </c>
      <c r="F208" s="62">
        <f t="shared" si="45"/>
        <v>-6.8378657310884963</v>
      </c>
      <c r="G208" s="67">
        <f t="shared" si="46"/>
        <v>-9.5779851716146034</v>
      </c>
      <c r="H208" s="62" t="e">
        <f t="shared" si="47"/>
        <v>#DIV/0!</v>
      </c>
      <c r="I208" s="62" t="e">
        <f t="shared" si="48"/>
        <v>#DIV/0!</v>
      </c>
      <c r="J208" s="63"/>
      <c r="K208" s="63"/>
      <c r="L208" s="63"/>
      <c r="M208" s="63"/>
      <c r="N208" s="63"/>
      <c r="O208" s="63"/>
      <c r="P208" s="63"/>
      <c r="Q208" s="63"/>
    </row>
    <row r="209" spans="2:17" x14ac:dyDescent="0.3">
      <c r="B209" s="63"/>
      <c r="C209" s="73">
        <f t="shared" si="50"/>
        <v>51000</v>
      </c>
      <c r="D209" s="62" t="e">
        <f t="shared" si="43"/>
        <v>#DIV/0!</v>
      </c>
      <c r="E209" s="62" t="e">
        <f t="shared" si="44"/>
        <v>#DIV/0!</v>
      </c>
      <c r="F209" s="62">
        <f t="shared" si="45"/>
        <v>-6.8390793050553729</v>
      </c>
      <c r="G209" s="67">
        <f t="shared" si="46"/>
        <v>-9.5898533550391587</v>
      </c>
      <c r="H209" s="62" t="e">
        <f t="shared" si="47"/>
        <v>#DIV/0!</v>
      </c>
      <c r="I209" s="62" t="e">
        <f t="shared" si="48"/>
        <v>#DIV/0!</v>
      </c>
      <c r="J209" s="63"/>
      <c r="K209" s="63"/>
      <c r="L209" s="63"/>
      <c r="M209" s="63"/>
      <c r="N209" s="63"/>
      <c r="O209" s="63"/>
      <c r="P209" s="63"/>
      <c r="Q209" s="63"/>
    </row>
    <row r="210" spans="2:17" x14ac:dyDescent="0.3">
      <c r="B210" s="63"/>
      <c r="C210" s="73">
        <f t="shared" si="50"/>
        <v>51500</v>
      </c>
      <c r="D210" s="62" t="e">
        <f t="shared" ref="D210:D273" si="51">20*LOG(Am*IMABS(IMDIV(IMDIV(IMDIV(IMPRODUCT( COMPLEX(1,C210/Fzesr),COMPLEX(1,-C210/Frhp) ),COMPLEX(1,C210/Flp) ),COMPLEX(1,C210/Fesrp) ),COMPLEX(1-C210^2/(Fdp^2),C210/Fsp) )))</f>
        <v>#DIV/0!</v>
      </c>
      <c r="E210" s="62" t="e">
        <f t="shared" ref="E210:E273" si="52">IMARGUMENT(IMDIV(IMDIV(IMDIV(IMPRODUCT( COMPLEX(1,C210/Fzesr),COMPLEX(1,-C210/Frhp) ),COMPLEX(1,C210/Flp) ),COMPLEX(1,C210/Fesrp) ),COMPLEX(1-C210^2/(Fdp^2),C210/Fsp) ))*180/pi</f>
        <v>#DIV/0!</v>
      </c>
      <c r="F210" s="62">
        <f t="shared" ref="F210:F273" si="53">20*LOG(Afb*IMABS(IMDIV(IMDIV(COMPLEX(1,C210/Fzea),COMPLEX(1,C210/Fpea)),COMPLEX(0,2*3.14*C210))))</f>
        <v>-6.8402870799836357</v>
      </c>
      <c r="G210" s="67">
        <f t="shared" ref="G210:G273" si="54">IMARGUMENT(IMDIV(IMDIV(COMPLEX(1,C210/Fzea),COMPLEX(1,C210/Fpea)),COMPLEX(0,2*3.14*C210)))*180/pi</f>
        <v>-9.6025051209372574</v>
      </c>
      <c r="H210" s="62" t="e">
        <f t="shared" ref="H210:H273" si="55">D210+F210</f>
        <v>#DIV/0!</v>
      </c>
      <c r="I210" s="62" t="e">
        <f t="shared" ref="I210:I273" si="56">E210+G210</f>
        <v>#DIV/0!</v>
      </c>
      <c r="J210" s="63"/>
      <c r="K210" s="63"/>
      <c r="L210" s="63"/>
      <c r="M210" s="63"/>
      <c r="N210" s="63"/>
      <c r="O210" s="63"/>
      <c r="P210" s="63"/>
      <c r="Q210" s="63"/>
    </row>
    <row r="211" spans="2:17" x14ac:dyDescent="0.3">
      <c r="B211" s="63"/>
      <c r="C211" s="73">
        <f t="shared" si="50"/>
        <v>52000</v>
      </c>
      <c r="D211" s="62" t="e">
        <f t="shared" si="51"/>
        <v>#DIV/0!</v>
      </c>
      <c r="E211" s="62" t="e">
        <f t="shared" si="52"/>
        <v>#DIV/0!</v>
      </c>
      <c r="F211" s="62">
        <f t="shared" si="53"/>
        <v>-6.8414895527432451</v>
      </c>
      <c r="G211" s="67">
        <f t="shared" si="54"/>
        <v>-9.6159176670075137</v>
      </c>
      <c r="H211" s="62" t="e">
        <f t="shared" si="55"/>
        <v>#DIV/0!</v>
      </c>
      <c r="I211" s="62" t="e">
        <f t="shared" si="56"/>
        <v>#DIV/0!</v>
      </c>
      <c r="J211" s="63"/>
      <c r="K211" s="63"/>
      <c r="L211" s="63"/>
      <c r="M211" s="63"/>
      <c r="N211" s="63"/>
      <c r="O211" s="63"/>
      <c r="P211" s="63"/>
      <c r="Q211" s="63"/>
    </row>
    <row r="212" spans="2:17" x14ac:dyDescent="0.3">
      <c r="B212" s="63"/>
      <c r="C212" s="73">
        <f t="shared" si="50"/>
        <v>52500</v>
      </c>
      <c r="D212" s="62" t="e">
        <f t="shared" si="51"/>
        <v>#DIV/0!</v>
      </c>
      <c r="E212" s="62" t="e">
        <f t="shared" si="52"/>
        <v>#DIV/0!</v>
      </c>
      <c r="F212" s="62">
        <f t="shared" si="53"/>
        <v>-6.8426871965556382</v>
      </c>
      <c r="G212" s="67">
        <f t="shared" si="54"/>
        <v>-9.6300690490488758</v>
      </c>
      <c r="H212" s="62" t="e">
        <f t="shared" si="55"/>
        <v>#DIV/0!</v>
      </c>
      <c r="I212" s="62" t="e">
        <f t="shared" si="56"/>
        <v>#DIV/0!</v>
      </c>
      <c r="J212" s="63"/>
      <c r="K212" s="63"/>
      <c r="L212" s="63"/>
      <c r="M212" s="63"/>
      <c r="N212" s="63"/>
      <c r="O212" s="63"/>
      <c r="P212" s="63"/>
      <c r="Q212" s="63"/>
    </row>
    <row r="213" spans="2:17" x14ac:dyDescent="0.3">
      <c r="B213" s="63"/>
      <c r="C213" s="73">
        <f t="shared" si="50"/>
        <v>53000</v>
      </c>
      <c r="D213" s="62" t="e">
        <f t="shared" si="51"/>
        <v>#DIV/0!</v>
      </c>
      <c r="E213" s="62" t="e">
        <f t="shared" si="52"/>
        <v>#DIV/0!</v>
      </c>
      <c r="F213" s="62">
        <f t="shared" si="53"/>
        <v>-6.8438804623161076</v>
      </c>
      <c r="G213" s="67">
        <f t="shared" si="54"/>
        <v>-9.6449381408943307</v>
      </c>
      <c r="H213" s="62" t="e">
        <f t="shared" si="55"/>
        <v>#DIV/0!</v>
      </c>
      <c r="I213" s="62" t="e">
        <f t="shared" si="56"/>
        <v>#DIV/0!</v>
      </c>
      <c r="J213" s="63"/>
      <c r="K213" s="63"/>
      <c r="L213" s="63"/>
      <c r="M213" s="63"/>
      <c r="N213" s="63"/>
      <c r="O213" s="63"/>
      <c r="P213" s="63"/>
      <c r="Q213" s="63"/>
    </row>
    <row r="214" spans="2:17" x14ac:dyDescent="0.3">
      <c r="B214" s="63"/>
      <c r="C214" s="73">
        <f t="shared" si="50"/>
        <v>53500</v>
      </c>
      <c r="D214" s="62" t="e">
        <f t="shared" si="51"/>
        <v>#DIV/0!</v>
      </c>
      <c r="E214" s="62" t="e">
        <f t="shared" si="52"/>
        <v>#DIV/0!</v>
      </c>
      <c r="F214" s="62">
        <f t="shared" si="53"/>
        <v>-6.8450697798309132</v>
      </c>
      <c r="G214" s="67">
        <f t="shared" si="54"/>
        <v>-9.6605045965660192</v>
      </c>
      <c r="H214" s="62" t="e">
        <f t="shared" si="55"/>
        <v>#DIV/0!</v>
      </c>
      <c r="I214" s="62" t="e">
        <f t="shared" si="56"/>
        <v>#DIV/0!</v>
      </c>
      <c r="J214" s="63"/>
      <c r="K214" s="63"/>
      <c r="L214" s="63"/>
      <c r="M214" s="63"/>
      <c r="N214" s="63"/>
      <c r="O214" s="63"/>
      <c r="P214" s="63"/>
      <c r="Q214" s="63"/>
    </row>
    <row r="215" spans="2:17" x14ac:dyDescent="0.3">
      <c r="B215" s="63"/>
      <c r="C215" s="73">
        <f t="shared" si="50"/>
        <v>54000</v>
      </c>
      <c r="D215" s="62" t="e">
        <f t="shared" si="51"/>
        <v>#DIV/0!</v>
      </c>
      <c r="E215" s="62" t="e">
        <f t="shared" si="52"/>
        <v>#DIV/0!</v>
      </c>
      <c r="F215" s="62">
        <f t="shared" si="53"/>
        <v>-6.8462555589750149</v>
      </c>
      <c r="G215" s="67">
        <f t="shared" si="54"/>
        <v>-9.6767488145084712</v>
      </c>
      <c r="H215" s="62" t="e">
        <f t="shared" si="55"/>
        <v>#DIV/0!</v>
      </c>
      <c r="I215" s="62" t="e">
        <f t="shared" si="56"/>
        <v>#DIV/0!</v>
      </c>
      <c r="J215" s="63"/>
      <c r="K215" s="63"/>
      <c r="L215" s="63"/>
      <c r="M215" s="63"/>
      <c r="N215" s="63"/>
      <c r="O215" s="63"/>
      <c r="P215" s="63"/>
      <c r="Q215" s="63"/>
    </row>
    <row r="216" spans="2:17" x14ac:dyDescent="0.3">
      <c r="B216" s="63"/>
      <c r="C216" s="73">
        <f t="shared" si="50"/>
        <v>54500</v>
      </c>
      <c r="D216" s="62" t="e">
        <f t="shared" si="51"/>
        <v>#DIV/0!</v>
      </c>
      <c r="E216" s="62" t="e">
        <f t="shared" si="52"/>
        <v>#DIV/0!</v>
      </c>
      <c r="F216" s="62">
        <f t="shared" si="53"/>
        <v>-6.8474381907763053</v>
      </c>
      <c r="G216" s="67">
        <f t="shared" si="54"/>
        <v>-9.6936519037696414</v>
      </c>
      <c r="H216" s="62" t="e">
        <f t="shared" si="55"/>
        <v>#DIV/0!</v>
      </c>
      <c r="I216" s="62" t="e">
        <f t="shared" si="56"/>
        <v>#DIV/0!</v>
      </c>
      <c r="J216" s="63"/>
      <c r="K216" s="63"/>
      <c r="L216" s="63"/>
      <c r="M216" s="63"/>
      <c r="N216" s="63"/>
      <c r="O216" s="63"/>
      <c r="P216" s="63"/>
      <c r="Q216" s="63"/>
    </row>
    <row r="217" spans="2:17" x14ac:dyDescent="0.3">
      <c r="B217" s="63"/>
      <c r="C217" s="73">
        <f t="shared" si="50"/>
        <v>55000</v>
      </c>
      <c r="D217" s="62" t="e">
        <f t="shared" si="51"/>
        <v>#DIV/0!</v>
      </c>
      <c r="E217" s="62" t="e">
        <f t="shared" si="52"/>
        <v>#DIV/0!</v>
      </c>
      <c r="F217" s="62">
        <f t="shared" si="53"/>
        <v>-6.848618048431435</v>
      </c>
      <c r="G217" s="67">
        <f t="shared" si="54"/>
        <v>-9.7111956520054949</v>
      </c>
      <c r="H217" s="62" t="e">
        <f t="shared" si="55"/>
        <v>#DIV/0!</v>
      </c>
      <c r="I217" s="62" t="e">
        <f t="shared" si="56"/>
        <v>#DIV/0!</v>
      </c>
      <c r="J217" s="63"/>
      <c r="K217" s="63"/>
      <c r="L217" s="63"/>
      <c r="M217" s="63"/>
      <c r="N217" s="63"/>
      <c r="O217" s="63"/>
      <c r="P217" s="63"/>
      <c r="Q217" s="63"/>
    </row>
    <row r="218" spans="2:17" x14ac:dyDescent="0.3">
      <c r="B218" s="63"/>
      <c r="C218" s="73">
        <f t="shared" si="50"/>
        <v>55500</v>
      </c>
      <c r="D218" s="62" t="e">
        <f t="shared" si="51"/>
        <v>#DIV/0!</v>
      </c>
      <c r="E218" s="62" t="e">
        <f t="shared" si="52"/>
        <v>#DIV/0!</v>
      </c>
      <c r="F218" s="62">
        <f t="shared" si="53"/>
        <v>-6.8497954882588168</v>
      </c>
      <c r="G218" s="67">
        <f t="shared" si="54"/>
        <v>-9.7293624951967281</v>
      </c>
      <c r="H218" s="62" t="e">
        <f t="shared" si="55"/>
        <v>#DIV/0!</v>
      </c>
      <c r="I218" s="62" t="e">
        <f t="shared" si="56"/>
        <v>#DIV/0!</v>
      </c>
      <c r="J218" s="63"/>
      <c r="K218" s="63"/>
      <c r="L218" s="63"/>
      <c r="M218" s="63"/>
      <c r="N218" s="63"/>
      <c r="O218" s="63"/>
      <c r="P218" s="63"/>
      <c r="Q218" s="63"/>
    </row>
    <row r="219" spans="2:17" x14ac:dyDescent="0.3">
      <c r="B219" s="63"/>
      <c r="C219" s="73">
        <f t="shared" si="50"/>
        <v>56000</v>
      </c>
      <c r="D219" s="62" t="e">
        <f t="shared" si="51"/>
        <v>#DIV/0!</v>
      </c>
      <c r="E219" s="62" t="e">
        <f t="shared" si="52"/>
        <v>#DIV/0!</v>
      </c>
      <c r="F219" s="62">
        <f t="shared" si="53"/>
        <v>-6.8509708505918816</v>
      </c>
      <c r="G219" s="67">
        <f t="shared" si="54"/>
        <v>-9.7481354889699485</v>
      </c>
      <c r="H219" s="62" t="e">
        <f t="shared" si="55"/>
        <v>#DIV/0!</v>
      </c>
      <c r="I219" s="62" t="e">
        <f t="shared" si="56"/>
        <v>#DIV/0!</v>
      </c>
      <c r="J219" s="63"/>
      <c r="K219" s="63"/>
      <c r="L219" s="63"/>
      <c r="M219" s="63"/>
      <c r="N219" s="63"/>
      <c r="O219" s="63"/>
      <c r="P219" s="63"/>
      <c r="Q219" s="63"/>
    </row>
    <row r="220" spans="2:17" x14ac:dyDescent="0.3">
      <c r="B220" s="63"/>
      <c r="C220" s="73">
        <f t="shared" si="50"/>
        <v>56500</v>
      </c>
      <c r="D220" s="62" t="e">
        <f t="shared" si="51"/>
        <v>#DIV/0!</v>
      </c>
      <c r="E220" s="62" t="e">
        <f t="shared" si="52"/>
        <v>#DIV/0!</v>
      </c>
      <c r="F220" s="62">
        <f t="shared" si="53"/>
        <v>-6.852144460617887</v>
      </c>
      <c r="G220" s="67">
        <f t="shared" si="54"/>
        <v>-9.7674982814257216</v>
      </c>
      <c r="H220" s="62" t="e">
        <f t="shared" si="55"/>
        <v>#DIV/0!</v>
      </c>
      <c r="I220" s="62" t="e">
        <f t="shared" si="56"/>
        <v>#DIV/0!</v>
      </c>
      <c r="J220" s="63"/>
      <c r="K220" s="63"/>
      <c r="L220" s="63"/>
      <c r="M220" s="63"/>
      <c r="N220" s="63"/>
      <c r="O220" s="63"/>
      <c r="P220" s="63"/>
      <c r="Q220" s="63"/>
    </row>
    <row r="221" spans="2:17" x14ac:dyDescent="0.3">
      <c r="B221" s="63"/>
      <c r="C221" s="73">
        <f t="shared" si="50"/>
        <v>57000</v>
      </c>
      <c r="D221" s="62" t="e">
        <f t="shared" si="51"/>
        <v>#DIV/0!</v>
      </c>
      <c r="E221" s="62" t="e">
        <f t="shared" si="52"/>
        <v>#DIV/0!</v>
      </c>
      <c r="F221" s="62">
        <f t="shared" si="53"/>
        <v>-6.8533166291663807</v>
      </c>
      <c r="G221" s="67">
        <f t="shared" si="54"/>
        <v>-9.7874350873837681</v>
      </c>
      <c r="H221" s="62" t="e">
        <f t="shared" si="55"/>
        <v>#DIV/0!</v>
      </c>
      <c r="I221" s="62" t="e">
        <f t="shared" si="56"/>
        <v>#DIV/0!</v>
      </c>
      <c r="J221" s="63"/>
      <c r="K221" s="63"/>
      <c r="L221" s="63"/>
      <c r="M221" s="63"/>
      <c r="N221" s="63"/>
      <c r="O221" s="63"/>
      <c r="P221" s="63"/>
      <c r="Q221" s="63"/>
    </row>
    <row r="222" spans="2:17" x14ac:dyDescent="0.3">
      <c r="B222" s="63"/>
      <c r="C222" s="73">
        <f t="shared" si="50"/>
        <v>57500</v>
      </c>
      <c r="D222" s="62" t="e">
        <f t="shared" si="51"/>
        <v>#DIV/0!</v>
      </c>
      <c r="E222" s="62" t="e">
        <f t="shared" si="52"/>
        <v>#DIV/0!</v>
      </c>
      <c r="F222" s="62">
        <f t="shared" si="53"/>
        <v>-6.8544876534491008</v>
      </c>
      <c r="G222" s="67">
        <f t="shared" si="54"/>
        <v>-9.8079306639564354</v>
      </c>
      <c r="H222" s="62" t="e">
        <f t="shared" si="55"/>
        <v>#DIV/0!</v>
      </c>
      <c r="I222" s="62" t="e">
        <f t="shared" si="56"/>
        <v>#DIV/0!</v>
      </c>
      <c r="J222" s="63"/>
      <c r="K222" s="63"/>
      <c r="L222" s="63"/>
      <c r="M222" s="63"/>
      <c r="N222" s="63"/>
      <c r="O222" s="63"/>
      <c r="P222" s="63"/>
      <c r="Q222" s="63"/>
    </row>
    <row r="223" spans="2:17" x14ac:dyDescent="0.3">
      <c r="B223" s="63"/>
      <c r="C223" s="73">
        <f t="shared" si="50"/>
        <v>58000</v>
      </c>
      <c r="D223" s="62" t="e">
        <f t="shared" si="51"/>
        <v>#DIV/0!</v>
      </c>
      <c r="E223" s="62" t="e">
        <f t="shared" si="52"/>
        <v>#DIV/0!</v>
      </c>
      <c r="F223" s="62">
        <f t="shared" si="53"/>
        <v>-6.8556578177562502</v>
      </c>
      <c r="G223" s="67">
        <f t="shared" si="54"/>
        <v>-9.8289702873748404</v>
      </c>
      <c r="H223" s="62" t="e">
        <f t="shared" si="55"/>
        <v>#DIV/0!</v>
      </c>
      <c r="I223" s="62" t="e">
        <f t="shared" si="56"/>
        <v>#DIV/0!</v>
      </c>
      <c r="J223" s="63"/>
      <c r="K223" s="63"/>
      <c r="L223" s="63"/>
      <c r="M223" s="63"/>
      <c r="N223" s="63"/>
      <c r="O223" s="63"/>
      <c r="P223" s="63"/>
      <c r="Q223" s="63"/>
    </row>
    <row r="224" spans="2:17" x14ac:dyDescent="0.3">
      <c r="B224" s="63"/>
      <c r="C224" s="73">
        <f t="shared" si="50"/>
        <v>58500</v>
      </c>
      <c r="D224" s="62" t="e">
        <f t="shared" si="51"/>
        <v>#DIV/0!</v>
      </c>
      <c r="E224" s="62" t="e">
        <f t="shared" si="52"/>
        <v>#DIV/0!</v>
      </c>
      <c r="F224" s="62">
        <f t="shared" si="53"/>
        <v>-6.8568273941116651</v>
      </c>
      <c r="G224" s="67">
        <f t="shared" si="54"/>
        <v>-9.8505397309913754</v>
      </c>
      <c r="H224" s="62" t="e">
        <f t="shared" si="55"/>
        <v>#DIV/0!</v>
      </c>
      <c r="I224" s="62" t="e">
        <f t="shared" si="56"/>
        <v>#DIV/0!</v>
      </c>
      <c r="J224" s="63"/>
      <c r="K224" s="63"/>
      <c r="L224" s="63"/>
      <c r="M224" s="63"/>
      <c r="N224" s="63"/>
      <c r="O224" s="63"/>
      <c r="P224" s="63"/>
      <c r="Q224" s="63"/>
    </row>
    <row r="225" spans="2:17" x14ac:dyDescent="0.3">
      <c r="B225" s="63"/>
      <c r="C225" s="73">
        <f t="shared" si="50"/>
        <v>59000</v>
      </c>
      <c r="D225" s="62" t="e">
        <f t="shared" si="51"/>
        <v>#DIV/0!</v>
      </c>
      <c r="E225" s="62" t="e">
        <f t="shared" si="52"/>
        <v>#DIV/0!</v>
      </c>
      <c r="F225" s="62">
        <f t="shared" si="53"/>
        <v>-6.8579966428891757</v>
      </c>
      <c r="G225" s="67">
        <f t="shared" si="54"/>
        <v>-9.8726252443904272</v>
      </c>
      <c r="H225" s="62" t="e">
        <f t="shared" si="55"/>
        <v>#DIV/0!</v>
      </c>
      <c r="I225" s="62" t="e">
        <f t="shared" si="56"/>
        <v>#DIV/0!</v>
      </c>
      <c r="J225" s="63"/>
      <c r="K225" s="63"/>
      <c r="L225" s="63"/>
      <c r="M225" s="63"/>
      <c r="N225" s="63"/>
      <c r="O225" s="63"/>
      <c r="P225" s="63"/>
      <c r="Q225" s="63"/>
    </row>
    <row r="226" spans="2:17" x14ac:dyDescent="0.3">
      <c r="B226" s="63"/>
      <c r="C226" s="73">
        <f t="shared" si="50"/>
        <v>59500</v>
      </c>
      <c r="D226" s="62" t="e">
        <f t="shared" si="51"/>
        <v>#DIV/0!</v>
      </c>
      <c r="E226" s="62" t="e">
        <f t="shared" si="52"/>
        <v>#DIV/0!</v>
      </c>
      <c r="F226" s="62">
        <f t="shared" si="53"/>
        <v>-6.8591658133930178</v>
      </c>
      <c r="G226" s="67">
        <f t="shared" si="54"/>
        <v>-9.8952135335420692</v>
      </c>
      <c r="H226" s="62" t="e">
        <f t="shared" si="55"/>
        <v>#DIV/0!</v>
      </c>
      <c r="I226" s="62" t="e">
        <f t="shared" si="56"/>
        <v>#DIV/0!</v>
      </c>
      <c r="J226" s="63"/>
      <c r="K226" s="63"/>
      <c r="L226" s="63"/>
      <c r="M226" s="63"/>
      <c r="N226" s="63"/>
      <c r="O226" s="63"/>
      <c r="P226" s="63"/>
      <c r="Q226" s="63"/>
    </row>
    <row r="227" spans="2:17" x14ac:dyDescent="0.3">
      <c r="B227" s="63"/>
      <c r="C227" s="73">
        <f t="shared" si="50"/>
        <v>60000</v>
      </c>
      <c r="D227" s="62" t="e">
        <f t="shared" si="51"/>
        <v>#DIV/0!</v>
      </c>
      <c r="E227" s="62" t="e">
        <f t="shared" si="52"/>
        <v>#DIV/0!</v>
      </c>
      <c r="F227" s="62">
        <f t="shared" si="53"/>
        <v>-6.8603351444051439</v>
      </c>
      <c r="G227" s="67">
        <f t="shared" si="54"/>
        <v>-9.918291741939905</v>
      </c>
      <c r="H227" s="62" t="e">
        <f t="shared" si="55"/>
        <v>#DIV/0!</v>
      </c>
      <c r="I227" s="62" t="e">
        <f t="shared" si="56"/>
        <v>#DIV/0!</v>
      </c>
      <c r="J227" s="63"/>
      <c r="K227" s="63"/>
      <c r="L227" s="63"/>
      <c r="M227" s="63"/>
      <c r="N227" s="63"/>
      <c r="O227" s="63"/>
      <c r="P227" s="63"/>
      <c r="Q227" s="63"/>
    </row>
    <row r="228" spans="2:17" x14ac:dyDescent="0.3">
      <c r="B228" s="63"/>
      <c r="C228" s="73">
        <f t="shared" si="50"/>
        <v>60500</v>
      </c>
      <c r="D228" s="62" t="e">
        <f t="shared" si="51"/>
        <v>#DIV/0!</v>
      </c>
      <c r="E228" s="62" t="e">
        <f t="shared" si="52"/>
        <v>#DIV/0!</v>
      </c>
      <c r="F228" s="62">
        <f t="shared" si="53"/>
        <v>-6.861504864700521</v>
      </c>
      <c r="G228" s="67">
        <f t="shared" si="54"/>
        <v>-9.9418474326647779</v>
      </c>
      <c r="H228" s="62" t="e">
        <f t="shared" si="55"/>
        <v>#DIV/0!</v>
      </c>
      <c r="I228" s="62" t="e">
        <f t="shared" si="56"/>
        <v>#DIV/0!</v>
      </c>
      <c r="J228" s="63"/>
      <c r="K228" s="63"/>
      <c r="L228" s="63"/>
      <c r="M228" s="63"/>
      <c r="N228" s="63"/>
      <c r="O228" s="63"/>
      <c r="P228" s="63"/>
      <c r="Q228" s="63"/>
    </row>
    <row r="229" spans="2:17" x14ac:dyDescent="0.3">
      <c r="B229" s="63"/>
      <c r="C229" s="73">
        <f t="shared" si="50"/>
        <v>61000</v>
      </c>
      <c r="D229" s="62" t="e">
        <f t="shared" si="51"/>
        <v>#DIV/0!</v>
      </c>
      <c r="E229" s="62" t="e">
        <f t="shared" si="52"/>
        <v>#DIV/0!</v>
      </c>
      <c r="F229" s="62">
        <f t="shared" si="53"/>
        <v>-6.8626751935338683</v>
      </c>
      <c r="G229" s="67">
        <f t="shared" si="54"/>
        <v>-9.965868571323961</v>
      </c>
      <c r="H229" s="62" t="e">
        <f t="shared" si="55"/>
        <v>#DIV/0!</v>
      </c>
      <c r="I229" s="62" t="e">
        <f t="shared" si="56"/>
        <v>#DIV/0!</v>
      </c>
      <c r="J229" s="63"/>
      <c r="K229" s="63"/>
      <c r="L229" s="63"/>
      <c r="M229" s="63"/>
      <c r="N229" s="63"/>
      <c r="O229" s="63"/>
      <c r="P229" s="63"/>
      <c r="Q229" s="63"/>
    </row>
    <row r="230" spans="2:17" x14ac:dyDescent="0.3">
      <c r="B230" s="63"/>
      <c r="C230" s="73">
        <f t="shared" si="50"/>
        <v>61500</v>
      </c>
      <c r="D230" s="62" t="e">
        <f t="shared" si="51"/>
        <v>#DIV/0!</v>
      </c>
      <c r="E230" s="62" t="e">
        <f t="shared" si="52"/>
        <v>#DIV/0!</v>
      </c>
      <c r="F230" s="62">
        <f t="shared" si="53"/>
        <v>-6.8638463410982578</v>
      </c>
      <c r="G230" s="67">
        <f t="shared" si="54"/>
        <v>-9.9903435098142204</v>
      </c>
      <c r="H230" s="62" t="e">
        <f t="shared" si="55"/>
        <v>#DIV/0!</v>
      </c>
      <c r="I230" s="62" t="e">
        <f t="shared" si="56"/>
        <v>#DIV/0!</v>
      </c>
      <c r="J230" s="63"/>
      <c r="K230" s="63"/>
      <c r="L230" s="63"/>
      <c r="M230" s="63"/>
      <c r="N230" s="63"/>
      <c r="O230" s="63"/>
      <c r="P230" s="63"/>
      <c r="Q230" s="63"/>
    </row>
    <row r="231" spans="2:17" x14ac:dyDescent="0.3">
      <c r="B231" s="63"/>
      <c r="C231" s="73">
        <f t="shared" si="50"/>
        <v>62000</v>
      </c>
      <c r="D231" s="62" t="e">
        <f t="shared" si="51"/>
        <v>#DIV/0!</v>
      </c>
      <c r="E231" s="62" t="e">
        <f t="shared" si="52"/>
        <v>#DIV/0!</v>
      </c>
      <c r="F231" s="62">
        <f t="shared" si="53"/>
        <v>-6.8650185089586397</v>
      </c>
      <c r="G231" s="67">
        <f t="shared" si="54"/>
        <v>-10.015260970864992</v>
      </c>
      <c r="H231" s="62" t="e">
        <f t="shared" si="55"/>
        <v>#DIV/0!</v>
      </c>
      <c r="I231" s="62" t="e">
        <f t="shared" si="56"/>
        <v>#DIV/0!</v>
      </c>
      <c r="J231" s="63"/>
      <c r="K231" s="63"/>
      <c r="L231" s="63"/>
      <c r="M231" s="63"/>
      <c r="N231" s="63"/>
      <c r="O231" s="63"/>
      <c r="P231" s="63"/>
      <c r="Q231" s="63"/>
    </row>
    <row r="232" spans="2:17" x14ac:dyDescent="0.3">
      <c r="B232" s="63"/>
      <c r="C232" s="73">
        <f t="shared" si="50"/>
        <v>62500</v>
      </c>
      <c r="D232" s="62" t="e">
        <f t="shared" si="51"/>
        <v>#DIV/0!</v>
      </c>
      <c r="E232" s="62" t="e">
        <f t="shared" si="52"/>
        <v>#DIV/0!</v>
      </c>
      <c r="F232" s="62">
        <f t="shared" si="53"/>
        <v>-6.866191890460895</v>
      </c>
      <c r="G232" s="67">
        <f t="shared" si="54"/>
        <v>-10.040610033316458</v>
      </c>
      <c r="H232" s="62" t="e">
        <f t="shared" si="55"/>
        <v>#DIV/0!</v>
      </c>
      <c r="I232" s="62" t="e">
        <f t="shared" si="56"/>
        <v>#DIV/0!</v>
      </c>
      <c r="J232" s="63"/>
      <c r="K232" s="63"/>
      <c r="L232" s="63"/>
      <c r="M232" s="63"/>
      <c r="N232" s="63"/>
      <c r="O232" s="63"/>
      <c r="P232" s="63"/>
      <c r="Q232" s="63"/>
    </row>
    <row r="233" spans="2:17" x14ac:dyDescent="0.3">
      <c r="B233" s="63"/>
      <c r="C233" s="73">
        <f t="shared" si="50"/>
        <v>63000</v>
      </c>
      <c r="D233" s="62" t="e">
        <f t="shared" si="51"/>
        <v>#DIV/0!</v>
      </c>
      <c r="E233" s="62" t="e">
        <f t="shared" si="52"/>
        <v>#DIV/0!</v>
      </c>
      <c r="F233" s="62">
        <f t="shared" si="53"/>
        <v>-6.8673666711183987</v>
      </c>
      <c r="G233" s="67">
        <f t="shared" si="54"/>
        <v>-10.066380118092882</v>
      </c>
      <c r="H233" s="62" t="e">
        <f t="shared" si="55"/>
        <v>#DIV/0!</v>
      </c>
      <c r="I233" s="62" t="e">
        <f t="shared" si="56"/>
        <v>#DIV/0!</v>
      </c>
      <c r="J233" s="63"/>
      <c r="K233" s="63"/>
      <c r="L233" s="63"/>
      <c r="M233" s="63"/>
      <c r="N233" s="63"/>
      <c r="O233" s="63"/>
      <c r="P233" s="63"/>
      <c r="Q233" s="63"/>
    </row>
    <row r="234" spans="2:17" x14ac:dyDescent="0.3">
      <c r="B234" s="63"/>
      <c r="C234" s="73">
        <f t="shared" si="50"/>
        <v>63500</v>
      </c>
      <c r="D234" s="62" t="e">
        <f t="shared" si="51"/>
        <v>#DIV/0!</v>
      </c>
      <c r="E234" s="62" t="e">
        <f t="shared" si="52"/>
        <v>#DIV/0!</v>
      </c>
      <c r="F234" s="62">
        <f t="shared" si="53"/>
        <v>-6.8685430289779639</v>
      </c>
      <c r="G234" s="67">
        <f t="shared" si="54"/>
        <v>-10.092560974834095</v>
      </c>
      <c r="H234" s="62" t="e">
        <f t="shared" si="55"/>
        <v>#DIV/0!</v>
      </c>
      <c r="I234" s="62" t="e">
        <f t="shared" si="56"/>
        <v>#DIV/0!</v>
      </c>
      <c r="J234" s="63"/>
      <c r="K234" s="63"/>
      <c r="L234" s="63"/>
      <c r="M234" s="63"/>
      <c r="N234" s="63"/>
      <c r="O234" s="63"/>
      <c r="P234" s="63"/>
      <c r="Q234" s="63"/>
    </row>
    <row r="235" spans="2:17" x14ac:dyDescent="0.3">
      <c r="B235" s="63"/>
      <c r="C235" s="73">
        <f t="shared" si="50"/>
        <v>64000</v>
      </c>
      <c r="D235" s="62" t="e">
        <f t="shared" si="51"/>
        <v>#DIV/0!</v>
      </c>
      <c r="E235" s="62" t="e">
        <f t="shared" si="52"/>
        <v>#DIV/0!</v>
      </c>
      <c r="F235" s="62">
        <f t="shared" si="53"/>
        <v>-6.8697211349651557</v>
      </c>
      <c r="G235" s="67">
        <f t="shared" si="54"/>
        <v>-10.119142669147616</v>
      </c>
      <c r="H235" s="62" t="e">
        <f t="shared" si="55"/>
        <v>#DIV/0!</v>
      </c>
      <c r="I235" s="62" t="e">
        <f t="shared" si="56"/>
        <v>#DIV/0!</v>
      </c>
      <c r="J235" s="63"/>
      <c r="K235" s="63"/>
      <c r="L235" s="63"/>
      <c r="M235" s="63"/>
      <c r="N235" s="63"/>
      <c r="O235" s="63"/>
      <c r="P235" s="63"/>
      <c r="Q235" s="63"/>
    </row>
    <row r="236" spans="2:17" x14ac:dyDescent="0.3">
      <c r="B236" s="63"/>
      <c r="C236" s="73">
        <f t="shared" si="50"/>
        <v>64500</v>
      </c>
      <c r="D236" s="62" t="e">
        <f t="shared" si="51"/>
        <v>#DIV/0!</v>
      </c>
      <c r="E236" s="62" t="e">
        <f t="shared" si="52"/>
        <v>#DIV/0!</v>
      </c>
      <c r="F236" s="62">
        <f t="shared" si="53"/>
        <v>-6.8709011532116815</v>
      </c>
      <c r="G236" s="67">
        <f t="shared" si="54"/>
        <v>-10.146115570449577</v>
      </c>
      <c r="H236" s="62" t="e">
        <f t="shared" si="55"/>
        <v>#DIV/0!</v>
      </c>
      <c r="I236" s="62" t="e">
        <f t="shared" si="56"/>
        <v>#DIV/0!</v>
      </c>
      <c r="J236" s="63"/>
      <c r="K236" s="63"/>
      <c r="L236" s="63"/>
      <c r="M236" s="63"/>
      <c r="N236" s="63"/>
      <c r="O236" s="63"/>
      <c r="P236" s="63"/>
      <c r="Q236" s="63"/>
    </row>
    <row r="237" spans="2:17" x14ac:dyDescent="0.3">
      <c r="B237" s="63"/>
      <c r="C237" s="73">
        <f t="shared" si="50"/>
        <v>65000</v>
      </c>
      <c r="D237" s="62" t="e">
        <f t="shared" si="51"/>
        <v>#DIV/0!</v>
      </c>
      <c r="E237" s="62" t="e">
        <f t="shared" si="52"/>
        <v>#DIV/0!</v>
      </c>
      <c r="F237" s="62">
        <f t="shared" si="53"/>
        <v>-6.8720832413650159</v>
      </c>
      <c r="G237" s="67">
        <f t="shared" si="54"/>
        <v>-10.173470340362599</v>
      </c>
      <c r="H237" s="62" t="e">
        <f t="shared" si="55"/>
        <v>#DIV/0!</v>
      </c>
      <c r="I237" s="62" t="e">
        <f t="shared" si="56"/>
        <v>#DIV/0!</v>
      </c>
      <c r="J237" s="63"/>
      <c r="K237" s="63"/>
      <c r="L237" s="63"/>
      <c r="M237" s="63"/>
      <c r="N237" s="63"/>
      <c r="O237" s="63"/>
      <c r="P237" s="63"/>
      <c r="Q237" s="63"/>
    </row>
    <row r="238" spans="2:17" x14ac:dyDescent="0.3">
      <c r="B238" s="63"/>
      <c r="C238" s="73">
        <f t="shared" ref="C238:C269" si="57">C237+500</f>
        <v>65500</v>
      </c>
      <c r="D238" s="62" t="e">
        <f t="shared" si="51"/>
        <v>#DIV/0!</v>
      </c>
      <c r="E238" s="62" t="e">
        <f t="shared" si="52"/>
        <v>#DIV/0!</v>
      </c>
      <c r="F238" s="62">
        <f t="shared" si="53"/>
        <v>-6.8732675508816143</v>
      </c>
      <c r="G238" s="67">
        <f t="shared" si="54"/>
        <v>-10.201197921640466</v>
      </c>
      <c r="H238" s="62" t="e">
        <f t="shared" si="55"/>
        <v>#DIV/0!</v>
      </c>
      <c r="I238" s="62" t="e">
        <f t="shared" si="56"/>
        <v>#DIV/0!</v>
      </c>
      <c r="J238" s="63"/>
      <c r="K238" s="63"/>
      <c r="L238" s="63"/>
      <c r="M238" s="63"/>
      <c r="N238" s="63"/>
      <c r="O238" s="63"/>
      <c r="P238" s="63"/>
      <c r="Q238" s="63"/>
    </row>
    <row r="239" spans="2:17" x14ac:dyDescent="0.3">
      <c r="B239" s="63"/>
      <c r="C239" s="73">
        <f t="shared" si="57"/>
        <v>66000</v>
      </c>
      <c r="D239" s="62" t="e">
        <f t="shared" si="51"/>
        <v>#DIV/0!</v>
      </c>
      <c r="E239" s="62" t="e">
        <f t="shared" si="52"/>
        <v>#DIV/0!</v>
      </c>
      <c r="F239" s="62">
        <f t="shared" si="53"/>
        <v>-6.8744542273047413</v>
      </c>
      <c r="G239" s="67">
        <f t="shared" si="54"/>
        <v>-10.229289527593201</v>
      </c>
      <c r="H239" s="62" t="e">
        <f t="shared" si="55"/>
        <v>#DIV/0!</v>
      </c>
      <c r="I239" s="62" t="e">
        <f t="shared" si="56"/>
        <v>#DIV/0!</v>
      </c>
      <c r="J239" s="63"/>
      <c r="K239" s="63"/>
      <c r="L239" s="63"/>
      <c r="M239" s="63"/>
      <c r="N239" s="63"/>
      <c r="O239" s="63"/>
      <c r="P239" s="63"/>
      <c r="Q239" s="63"/>
    </row>
    <row r="240" spans="2:17" x14ac:dyDescent="0.3">
      <c r="B240" s="63"/>
      <c r="C240" s="73">
        <f t="shared" si="57"/>
        <v>66500</v>
      </c>
      <c r="D240" s="62" t="e">
        <f t="shared" si="51"/>
        <v>#DIV/0!</v>
      </c>
      <c r="E240" s="62" t="e">
        <f t="shared" si="52"/>
        <v>#DIV/0!</v>
      </c>
      <c r="F240" s="62">
        <f t="shared" si="53"/>
        <v>-6.875643410527954</v>
      </c>
      <c r="G240" s="67">
        <f t="shared" si="54"/>
        <v>-10.257736631985253</v>
      </c>
      <c r="H240" s="62" t="e">
        <f t="shared" si="55"/>
        <v>#DIV/0!</v>
      </c>
      <c r="I240" s="62" t="e">
        <f t="shared" si="56"/>
        <v>#DIV/0!</v>
      </c>
      <c r="J240" s="63"/>
      <c r="K240" s="63"/>
      <c r="L240" s="63"/>
      <c r="M240" s="63"/>
      <c r="N240" s="63"/>
      <c r="O240" s="63"/>
      <c r="P240" s="63"/>
      <c r="Q240" s="63"/>
    </row>
    <row r="241" spans="2:17" x14ac:dyDescent="0.3">
      <c r="B241" s="63"/>
      <c r="C241" s="73">
        <f t="shared" si="57"/>
        <v>67000</v>
      </c>
      <c r="D241" s="62" t="e">
        <f t="shared" si="51"/>
        <v>#DIV/0!</v>
      </c>
      <c r="E241" s="62" t="e">
        <f t="shared" si="52"/>
        <v>#DIV/0!</v>
      </c>
      <c r="F241" s="62">
        <f t="shared" si="53"/>
        <v>-6.8768352350445605</v>
      </c>
      <c r="G241" s="67">
        <f t="shared" si="54"/>
        <v>-10.286530959382487</v>
      </c>
      <c r="H241" s="62" t="e">
        <f t="shared" si="55"/>
        <v>#DIV/0!</v>
      </c>
      <c r="I241" s="62" t="e">
        <f t="shared" si="56"/>
        <v>#DIV/0!</v>
      </c>
      <c r="J241" s="63"/>
      <c r="K241" s="63"/>
      <c r="L241" s="63"/>
      <c r="M241" s="63"/>
      <c r="N241" s="63"/>
      <c r="O241" s="63"/>
      <c r="P241" s="63"/>
      <c r="Q241" s="63"/>
    </row>
    <row r="242" spans="2:17" x14ac:dyDescent="0.3">
      <c r="B242" s="63"/>
      <c r="C242" s="73">
        <f t="shared" si="57"/>
        <v>67500</v>
      </c>
      <c r="D242" s="62" t="e">
        <f t="shared" si="51"/>
        <v>#DIV/0!</v>
      </c>
      <c r="E242" s="62" t="e">
        <f t="shared" si="52"/>
        <v>#DIV/0!</v>
      </c>
      <c r="F242" s="62">
        <f t="shared" si="53"/>
        <v>-6.878029830184758</v>
      </c>
      <c r="G242" s="67">
        <f t="shared" si="54"/>
        <v>-10.315664475925916</v>
      </c>
      <c r="H242" s="62" t="e">
        <f t="shared" si="55"/>
        <v>#DIV/0!</v>
      </c>
      <c r="I242" s="62" t="e">
        <f t="shared" si="56"/>
        <v>#DIV/0!</v>
      </c>
      <c r="J242" s="63"/>
      <c r="K242" s="63"/>
      <c r="L242" s="63"/>
      <c r="M242" s="63"/>
      <c r="N242" s="63"/>
      <c r="O242" s="63"/>
      <c r="P242" s="63"/>
      <c r="Q242" s="63"/>
    </row>
    <row r="243" spans="2:17" x14ac:dyDescent="0.3">
      <c r="B243" s="63"/>
      <c r="C243" s="73">
        <f t="shared" si="57"/>
        <v>68000</v>
      </c>
      <c r="D243" s="62" t="e">
        <f t="shared" si="51"/>
        <v>#DIV/0!</v>
      </c>
      <c r="E243" s="62" t="e">
        <f t="shared" si="52"/>
        <v>#DIV/0!</v>
      </c>
      <c r="F243" s="62">
        <f t="shared" si="53"/>
        <v>-6.8792273203401679</v>
      </c>
      <c r="G243" s="67">
        <f t="shared" si="54"/>
        <v>-10.34512938050878</v>
      </c>
      <c r="H243" s="62" t="e">
        <f t="shared" si="55"/>
        <v>#DIV/0!</v>
      </c>
      <c r="I243" s="62" t="e">
        <f t="shared" si="56"/>
        <v>#DIV/0!</v>
      </c>
      <c r="J243" s="63"/>
      <c r="K243" s="63"/>
      <c r="L243" s="63"/>
      <c r="M243" s="63"/>
      <c r="N243" s="63"/>
      <c r="O243" s="63"/>
      <c r="P243" s="63"/>
      <c r="Q243" s="63"/>
    </row>
    <row r="244" spans="2:17" x14ac:dyDescent="0.3">
      <c r="B244" s="63"/>
      <c r="C244" s="73">
        <f t="shared" si="57"/>
        <v>68500</v>
      </c>
      <c r="D244" s="62" t="e">
        <f t="shared" si="51"/>
        <v>#DIV/0!</v>
      </c>
      <c r="E244" s="62" t="e">
        <f t="shared" si="52"/>
        <v>#DIV/0!</v>
      </c>
      <c r="F244" s="62">
        <f t="shared" si="53"/>
        <v>-6.8804278251773097</v>
      </c>
      <c r="G244" s="67">
        <f t="shared" si="54"/>
        <v>-10.374918096337828</v>
      </c>
      <c r="H244" s="62" t="e">
        <f t="shared" si="55"/>
        <v>#DIV/0!</v>
      </c>
      <c r="I244" s="62" t="e">
        <f t="shared" si="56"/>
        <v>#DIV/0!</v>
      </c>
      <c r="J244" s="63"/>
      <c r="K244" s="63"/>
      <c r="L244" s="63"/>
      <c r="M244" s="63"/>
      <c r="N244" s="63"/>
      <c r="O244" s="63"/>
      <c r="P244" s="63"/>
      <c r="Q244" s="63"/>
    </row>
    <row r="245" spans="2:17" x14ac:dyDescent="0.3">
      <c r="B245" s="63"/>
      <c r="C245" s="73">
        <f t="shared" si="57"/>
        <v>69000</v>
      </c>
      <c r="D245" s="62" t="e">
        <f t="shared" si="51"/>
        <v>#DIV/0!</v>
      </c>
      <c r="E245" s="62" t="e">
        <f t="shared" si="52"/>
        <v>#DIV/0!</v>
      </c>
      <c r="F245" s="62">
        <f t="shared" si="53"/>
        <v>-6.8816314598402464</v>
      </c>
      <c r="G245" s="67">
        <f t="shared" si="54"/>
        <v>-10.405023262859023</v>
      </c>
      <c r="H245" s="62" t="e">
        <f t="shared" si="55"/>
        <v>#DIV/0!</v>
      </c>
      <c r="I245" s="62" t="e">
        <f t="shared" si="56"/>
        <v>#DIV/0!</v>
      </c>
      <c r="J245" s="63"/>
      <c r="K245" s="63"/>
      <c r="L245" s="63"/>
      <c r="M245" s="63"/>
      <c r="N245" s="63"/>
      <c r="O245" s="63"/>
      <c r="P245" s="63"/>
      <c r="Q245" s="63"/>
    </row>
    <row r="246" spans="2:17" x14ac:dyDescent="0.3">
      <c r="B246" s="63"/>
      <c r="C246" s="73">
        <f t="shared" si="57"/>
        <v>69500</v>
      </c>
      <c r="D246" s="62" t="e">
        <f t="shared" si="51"/>
        <v>#DIV/0!</v>
      </c>
      <c r="E246" s="62" t="e">
        <f t="shared" si="52"/>
        <v>#DIV/0!</v>
      </c>
      <c r="F246" s="62">
        <f t="shared" si="53"/>
        <v>-6.8828383351430311</v>
      </c>
      <c r="G246" s="67">
        <f t="shared" si="54"/>
        <v>-10.4354377280292</v>
      </c>
      <c r="H246" s="62" t="e">
        <f t="shared" si="55"/>
        <v>#DIV/0!</v>
      </c>
      <c r="I246" s="62" t="e">
        <f t="shared" si="56"/>
        <v>#DIV/0!</v>
      </c>
      <c r="J246" s="63"/>
      <c r="K246" s="63"/>
      <c r="L246" s="63"/>
      <c r="M246" s="63"/>
      <c r="N246" s="63"/>
      <c r="O246" s="63"/>
      <c r="P246" s="63"/>
      <c r="Q246" s="63"/>
    </row>
    <row r="247" spans="2:17" x14ac:dyDescent="0.3">
      <c r="B247" s="63"/>
      <c r="C247" s="73">
        <f t="shared" si="57"/>
        <v>70000</v>
      </c>
      <c r="D247" s="62" t="e">
        <f t="shared" si="51"/>
        <v>#DIV/0!</v>
      </c>
      <c r="E247" s="62" t="e">
        <f t="shared" si="52"/>
        <v>#DIV/0!</v>
      </c>
      <c r="F247" s="62">
        <f t="shared" si="53"/>
        <v>-6.8840485577527328</v>
      </c>
      <c r="G247" s="67">
        <f t="shared" si="54"/>
        <v>-10.466154540916632</v>
      </c>
      <c r="H247" s="62" t="e">
        <f t="shared" si="55"/>
        <v>#DIV/0!</v>
      </c>
      <c r="I247" s="62" t="e">
        <f t="shared" si="56"/>
        <v>#DIV/0!</v>
      </c>
      <c r="J247" s="63"/>
      <c r="K247" s="63"/>
      <c r="L247" s="63"/>
      <c r="M247" s="63"/>
      <c r="N247" s="63"/>
      <c r="O247" s="63"/>
      <c r="P247" s="63"/>
      <c r="Q247" s="63"/>
    </row>
    <row r="248" spans="2:17" x14ac:dyDescent="0.3">
      <c r="B248" s="63"/>
      <c r="C248" s="73">
        <f t="shared" si="57"/>
        <v>70500</v>
      </c>
      <c r="D248" s="62" t="e">
        <f t="shared" si="51"/>
        <v>#DIV/0!</v>
      </c>
      <c r="E248" s="62" t="e">
        <f t="shared" si="52"/>
        <v>#DIV/0!</v>
      </c>
      <c r="F248" s="62">
        <f t="shared" si="53"/>
        <v>-6.8852622303633417</v>
      </c>
      <c r="G248" s="67">
        <f t="shared" si="54"/>
        <v>-10.497166944615143</v>
      </c>
      <c r="H248" s="62" t="e">
        <f t="shared" si="55"/>
        <v>#DIV/0!</v>
      </c>
      <c r="I248" s="62" t="e">
        <f t="shared" si="56"/>
        <v>#DIV/0!</v>
      </c>
      <c r="J248" s="63"/>
      <c r="K248" s="63"/>
      <c r="L248" s="63"/>
      <c r="M248" s="63"/>
      <c r="N248" s="63"/>
      <c r="O248" s="63"/>
      <c r="P248" s="63"/>
      <c r="Q248" s="63"/>
    </row>
    <row r="249" spans="2:17" x14ac:dyDescent="0.3">
      <c r="B249" s="63"/>
      <c r="C249" s="73">
        <f t="shared" si="57"/>
        <v>71000</v>
      </c>
      <c r="D249" s="62" t="e">
        <f t="shared" si="51"/>
        <v>#DIV/0!</v>
      </c>
      <c r="E249" s="62" t="e">
        <f t="shared" si="52"/>
        <v>#DIV/0!</v>
      </c>
      <c r="F249" s="62">
        <f t="shared" si="53"/>
        <v>-6.8864794518612369</v>
      </c>
      <c r="G249" s="67">
        <f t="shared" si="54"/>
        <v>-10.528468369454805</v>
      </c>
      <c r="H249" s="62" t="e">
        <f t="shared" si="55"/>
        <v>#DIV/0!</v>
      </c>
      <c r="I249" s="62" t="e">
        <f t="shared" si="56"/>
        <v>#DIV/0!</v>
      </c>
      <c r="J249" s="63"/>
      <c r="K249" s="63"/>
      <c r="L249" s="63"/>
      <c r="M249" s="63"/>
      <c r="N249" s="63"/>
      <c r="O249" s="63"/>
      <c r="P249" s="63"/>
      <c r="Q249" s="63"/>
    </row>
    <row r="250" spans="2:17" x14ac:dyDescent="0.3">
      <c r="B250" s="63"/>
      <c r="C250" s="73">
        <f t="shared" si="57"/>
        <v>71500</v>
      </c>
      <c r="D250" s="62" t="e">
        <f t="shared" si="51"/>
        <v>#DIV/0!</v>
      </c>
      <c r="E250" s="62" t="e">
        <f t="shared" si="52"/>
        <v>#DIV/0!</v>
      </c>
      <c r="F250" s="62">
        <f t="shared" si="53"/>
        <v>-6.8877003174825111</v>
      </c>
      <c r="G250" s="67">
        <f t="shared" si="54"/>
        <v>-10.560052426496172</v>
      </c>
      <c r="H250" s="62" t="e">
        <f t="shared" si="55"/>
        <v>#DIV/0!</v>
      </c>
      <c r="I250" s="62" t="e">
        <f t="shared" si="56"/>
        <v>#DIV/0!</v>
      </c>
      <c r="J250" s="63"/>
      <c r="K250" s="63"/>
      <c r="L250" s="63"/>
      <c r="M250" s="63"/>
      <c r="N250" s="63"/>
      <c r="O250" s="63"/>
      <c r="P250" s="63"/>
      <c r="Q250" s="63"/>
    </row>
    <row r="251" spans="2:17" x14ac:dyDescent="0.3">
      <c r="B251" s="63"/>
      <c r="C251" s="73">
        <f t="shared" si="57"/>
        <v>72000</v>
      </c>
      <c r="D251" s="62" t="e">
        <f t="shared" si="51"/>
        <v>#DIV/0!</v>
      </c>
      <c r="E251" s="62" t="e">
        <f t="shared" si="52"/>
        <v>#DIV/0!</v>
      </c>
      <c r="F251" s="62">
        <f t="shared" si="53"/>
        <v>-6.8889249189629727</v>
      </c>
      <c r="G251" s="67">
        <f t="shared" si="54"/>
        <v>-10.591912901294027</v>
      </c>
      <c r="H251" s="62" t="e">
        <f t="shared" si="55"/>
        <v>#DIV/0!</v>
      </c>
      <c r="I251" s="62" t="e">
        <f t="shared" si="56"/>
        <v>#DIV/0!</v>
      </c>
      <c r="J251" s="63"/>
      <c r="K251" s="63"/>
      <c r="L251" s="63"/>
      <c r="M251" s="63"/>
      <c r="N251" s="63"/>
      <c r="O251" s="63"/>
      <c r="P251" s="63"/>
      <c r="Q251" s="63"/>
    </row>
    <row r="252" spans="2:17" x14ac:dyDescent="0.3">
      <c r="B252" s="63"/>
      <c r="C252" s="73">
        <f t="shared" si="57"/>
        <v>72500</v>
      </c>
      <c r="D252" s="62" t="e">
        <f t="shared" si="51"/>
        <v>#DIV/0!</v>
      </c>
      <c r="E252" s="62" t="e">
        <f t="shared" si="52"/>
        <v>#DIV/0!</v>
      </c>
      <c r="F252" s="62">
        <f t="shared" si="53"/>
        <v>-6.8901533446805772</v>
      </c>
      <c r="G252" s="67">
        <f t="shared" si="54"/>
        <v>-10.624043747917222</v>
      </c>
      <c r="H252" s="62" t="e">
        <f t="shared" si="55"/>
        <v>#DIV/0!</v>
      </c>
      <c r="I252" s="62" t="e">
        <f t="shared" si="56"/>
        <v>#DIV/0!</v>
      </c>
      <c r="J252" s="63"/>
      <c r="K252" s="63"/>
      <c r="L252" s="63"/>
      <c r="M252" s="63"/>
      <c r="N252" s="63"/>
      <c r="O252" s="63"/>
      <c r="P252" s="63"/>
      <c r="Q252" s="63"/>
    </row>
    <row r="253" spans="2:17" x14ac:dyDescent="0.3">
      <c r="B253" s="63"/>
      <c r="C253" s="73">
        <f t="shared" si="57"/>
        <v>73000</v>
      </c>
      <c r="D253" s="62" t="e">
        <f t="shared" si="51"/>
        <v>#DIV/0!</v>
      </c>
      <c r="E253" s="62" t="e">
        <f t="shared" si="52"/>
        <v>#DIV/0!</v>
      </c>
      <c r="F253" s="62">
        <f t="shared" si="53"/>
        <v>-6.8913856797912896</v>
      </c>
      <c r="G253" s="67">
        <f t="shared" si="54"/>
        <v>-10.656439083212856</v>
      </c>
      <c r="H253" s="62" t="e">
        <f t="shared" si="55"/>
        <v>#DIV/0!</v>
      </c>
      <c r="I253" s="62" t="e">
        <f t="shared" si="56"/>
        <v>#DIV/0!</v>
      </c>
      <c r="J253" s="63"/>
      <c r="K253" s="63"/>
      <c r="L253" s="63"/>
      <c r="M253" s="63"/>
      <c r="N253" s="63"/>
      <c r="O253" s="63"/>
      <c r="P253" s="63"/>
      <c r="Q253" s="63"/>
    </row>
    <row r="254" spans="2:17" x14ac:dyDescent="0.3">
      <c r="B254" s="63"/>
      <c r="C254" s="73">
        <f t="shared" si="57"/>
        <v>73500</v>
      </c>
      <c r="D254" s="62" t="e">
        <f t="shared" si="51"/>
        <v>#DIV/0!</v>
      </c>
      <c r="E254" s="62" t="e">
        <f t="shared" si="52"/>
        <v>#DIV/0!</v>
      </c>
      <c r="F254" s="62">
        <f t="shared" si="53"/>
        <v>-6.8926220063587538</v>
      </c>
      <c r="G254" s="67">
        <f t="shared" si="54"/>
        <v>-10.689093181303754</v>
      </c>
      <c r="H254" s="62" t="e">
        <f t="shared" si="55"/>
        <v>#DIV/0!</v>
      </c>
      <c r="I254" s="62" t="e">
        <f t="shared" si="56"/>
        <v>#DIV/0!</v>
      </c>
      <c r="J254" s="63"/>
      <c r="K254" s="63"/>
      <c r="L254" s="63"/>
      <c r="M254" s="63"/>
      <c r="N254" s="63"/>
      <c r="O254" s="63"/>
      <c r="P254" s="63"/>
      <c r="Q254" s="63"/>
    </row>
    <row r="255" spans="2:17" x14ac:dyDescent="0.3">
      <c r="B255" s="63"/>
      <c r="C255" s="73">
        <f t="shared" si="57"/>
        <v>74000</v>
      </c>
      <c r="D255" s="62" t="e">
        <f t="shared" si="51"/>
        <v>#DIV/0!</v>
      </c>
      <c r="E255" s="62" t="e">
        <f t="shared" si="52"/>
        <v>#DIV/0!</v>
      </c>
      <c r="F255" s="62">
        <f t="shared" si="53"/>
        <v>-6.8938624034773346</v>
      </c>
      <c r="G255" s="67">
        <f t="shared" si="54"/>
        <v>-10.722000468306602</v>
      </c>
      <c r="H255" s="62" t="e">
        <f t="shared" si="55"/>
        <v>#DIV/0!</v>
      </c>
      <c r="I255" s="62" t="e">
        <f t="shared" si="56"/>
        <v>#DIV/0!</v>
      </c>
      <c r="J255" s="63"/>
      <c r="K255" s="63"/>
      <c r="L255" s="63"/>
      <c r="M255" s="63"/>
      <c r="N255" s="63"/>
      <c r="O255" s="63"/>
      <c r="P255" s="63"/>
      <c r="Q255" s="63"/>
    </row>
    <row r="256" spans="2:17" x14ac:dyDescent="0.3">
      <c r="B256" s="63"/>
      <c r="C256" s="73">
        <f t="shared" si="57"/>
        <v>74500</v>
      </c>
      <c r="D256" s="62" t="e">
        <f t="shared" si="51"/>
        <v>#DIV/0!</v>
      </c>
      <c r="E256" s="62" t="e">
        <f t="shared" si="52"/>
        <v>#DIV/0!</v>
      </c>
      <c r="F256" s="62">
        <f t="shared" si="53"/>
        <v>-6.8951069473898237</v>
      </c>
      <c r="G256" s="67">
        <f t="shared" si="54"/>
        <v>-10.755155517262667</v>
      </c>
      <c r="H256" s="62" t="e">
        <f t="shared" si="55"/>
        <v>#DIV/0!</v>
      </c>
      <c r="I256" s="62" t="e">
        <f t="shared" si="56"/>
        <v>#DIV/0!</v>
      </c>
      <c r="J256" s="63"/>
      <c r="K256" s="63"/>
      <c r="L256" s="63"/>
      <c r="M256" s="63"/>
      <c r="N256" s="63"/>
      <c r="O256" s="63"/>
      <c r="P256" s="63"/>
      <c r="Q256" s="63"/>
    </row>
    <row r="257" spans="2:17" x14ac:dyDescent="0.3">
      <c r="B257" s="63"/>
      <c r="C257" s="73">
        <f t="shared" si="57"/>
        <v>75000</v>
      </c>
      <c r="D257" s="62" t="e">
        <f t="shared" si="51"/>
        <v>#DIV/0!</v>
      </c>
      <c r="E257" s="62" t="e">
        <f t="shared" si="52"/>
        <v>#DIV/0!</v>
      </c>
      <c r="F257" s="62">
        <f t="shared" si="53"/>
        <v>-6.8963557115996776</v>
      </c>
      <c r="G257" s="67">
        <f t="shared" si="54"/>
        <v>-10.788553043269536</v>
      </c>
      <c r="H257" s="62" t="e">
        <f t="shared" si="55"/>
        <v>#DIV/0!</v>
      </c>
      <c r="I257" s="62" t="e">
        <f t="shared" si="56"/>
        <v>#DIV/0!</v>
      </c>
      <c r="J257" s="63"/>
      <c r="K257" s="63"/>
      <c r="L257" s="63"/>
      <c r="M257" s="63"/>
      <c r="N257" s="63"/>
      <c r="O257" s="63"/>
      <c r="P257" s="63"/>
      <c r="Q257" s="63"/>
    </row>
    <row r="258" spans="2:17" x14ac:dyDescent="0.3">
      <c r="B258" s="63"/>
      <c r="C258" s="73">
        <f t="shared" si="57"/>
        <v>75500</v>
      </c>
      <c r="D258" s="62" t="e">
        <f t="shared" si="51"/>
        <v>#DIV/0!</v>
      </c>
      <c r="E258" s="62" t="e">
        <f t="shared" si="52"/>
        <v>#DIV/0!</v>
      </c>
      <c r="F258" s="62">
        <f t="shared" si="53"/>
        <v>-6.8976087669780046</v>
      </c>
      <c r="G258" s="67">
        <f t="shared" si="54"/>
        <v>-10.822187898805359</v>
      </c>
      <c r="H258" s="62" t="e">
        <f t="shared" si="55"/>
        <v>#DIV/0!</v>
      </c>
      <c r="I258" s="62" t="e">
        <f t="shared" si="56"/>
        <v>#DIV/0!</v>
      </c>
      <c r="J258" s="63"/>
      <c r="K258" s="63"/>
      <c r="L258" s="63"/>
      <c r="M258" s="63"/>
      <c r="N258" s="63"/>
      <c r="O258" s="63"/>
      <c r="P258" s="63"/>
      <c r="Q258" s="63"/>
    </row>
    <row r="259" spans="2:17" x14ac:dyDescent="0.3">
      <c r="B259" s="63"/>
      <c r="C259" s="73">
        <f t="shared" si="57"/>
        <v>76000</v>
      </c>
      <c r="D259" s="62" t="e">
        <f t="shared" si="51"/>
        <v>#DIV/0!</v>
      </c>
      <c r="E259" s="62" t="e">
        <f t="shared" si="52"/>
        <v>#DIV/0!</v>
      </c>
      <c r="F259" s="62">
        <f t="shared" si="53"/>
        <v>-6.8988661818655004</v>
      </c>
      <c r="G259" s="67">
        <f t="shared" si="54"/>
        <v>-10.856055069236477</v>
      </c>
      <c r="H259" s="62" t="e">
        <f t="shared" si="55"/>
        <v>#DIV/0!</v>
      </c>
      <c r="I259" s="62" t="e">
        <f t="shared" si="56"/>
        <v>#DIV/0!</v>
      </c>
      <c r="J259" s="63"/>
      <c r="K259" s="63"/>
      <c r="L259" s="63"/>
      <c r="M259" s="63"/>
      <c r="N259" s="63"/>
      <c r="O259" s="63"/>
      <c r="P259" s="63"/>
      <c r="Q259" s="63"/>
    </row>
    <row r="260" spans="2:17" x14ac:dyDescent="0.3">
      <c r="B260" s="63"/>
      <c r="C260" s="73">
        <f t="shared" si="57"/>
        <v>76500</v>
      </c>
      <c r="D260" s="62" t="e">
        <f t="shared" si="51"/>
        <v>#DIV/0!</v>
      </c>
      <c r="E260" s="62" t="e">
        <f t="shared" si="52"/>
        <v>#DIV/0!</v>
      </c>
      <c r="F260" s="62">
        <f t="shared" si="53"/>
        <v>-6.9001280221700787</v>
      </c>
      <c r="G260" s="67">
        <f t="shared" si="54"/>
        <v>-10.890149668500465</v>
      </c>
      <c r="H260" s="62" t="e">
        <f t="shared" si="55"/>
        <v>#DIV/0!</v>
      </c>
      <c r="I260" s="62" t="e">
        <f t="shared" si="56"/>
        <v>#DIV/0!</v>
      </c>
      <c r="J260" s="63"/>
      <c r="K260" s="63"/>
      <c r="L260" s="63"/>
      <c r="M260" s="63"/>
      <c r="N260" s="63"/>
      <c r="O260" s="63"/>
      <c r="P260" s="63"/>
      <c r="Q260" s="63"/>
    </row>
    <row r="261" spans="2:17" x14ac:dyDescent="0.3">
      <c r="B261" s="63"/>
      <c r="C261" s="73">
        <f t="shared" si="57"/>
        <v>77000</v>
      </c>
      <c r="D261" s="62" t="e">
        <f t="shared" si="51"/>
        <v>#DIV/0!</v>
      </c>
      <c r="E261" s="62" t="e">
        <f t="shared" si="52"/>
        <v>#DIV/0!</v>
      </c>
      <c r="F261" s="62">
        <f t="shared" si="53"/>
        <v>-6.9013943514599321</v>
      </c>
      <c r="G261" s="67">
        <f t="shared" si="54"/>
        <v>-10.924466934956476</v>
      </c>
      <c r="H261" s="62" t="e">
        <f t="shared" si="55"/>
        <v>#DIV/0!</v>
      </c>
      <c r="I261" s="62" t="e">
        <f t="shared" si="56"/>
        <v>#DIV/0!</v>
      </c>
      <c r="J261" s="63"/>
      <c r="K261" s="63"/>
      <c r="L261" s="63"/>
      <c r="M261" s="63"/>
      <c r="N261" s="63"/>
      <c r="O261" s="63"/>
      <c r="P261" s="63"/>
      <c r="Q261" s="63"/>
    </row>
    <row r="262" spans="2:17" x14ac:dyDescent="0.3">
      <c r="B262" s="63"/>
      <c r="C262" s="73">
        <f t="shared" si="57"/>
        <v>77500</v>
      </c>
      <c r="D262" s="62" t="e">
        <f t="shared" si="51"/>
        <v>#DIV/0!</v>
      </c>
      <c r="E262" s="62" t="e">
        <f t="shared" si="52"/>
        <v>#DIV/0!</v>
      </c>
      <c r="F262" s="62">
        <f t="shared" si="53"/>
        <v>-6.9026652310522731</v>
      </c>
      <c r="G262" s="67">
        <f t="shared" si="54"/>
        <v>-10.959002227395098</v>
      </c>
      <c r="H262" s="62" t="e">
        <f t="shared" si="55"/>
        <v>#DIV/0!</v>
      </c>
      <c r="I262" s="62" t="e">
        <f t="shared" si="56"/>
        <v>#DIV/0!</v>
      </c>
      <c r="J262" s="63"/>
      <c r="K262" s="63"/>
      <c r="L262" s="63"/>
      <c r="M262" s="63"/>
      <c r="N262" s="63"/>
      <c r="O262" s="63"/>
      <c r="P262" s="63"/>
      <c r="Q262" s="63"/>
    </row>
    <row r="263" spans="2:17" x14ac:dyDescent="0.3">
      <c r="B263" s="63"/>
      <c r="C263" s="73">
        <f t="shared" si="57"/>
        <v>78000</v>
      </c>
      <c r="D263" s="62" t="e">
        <f t="shared" si="51"/>
        <v>#DIV/0!</v>
      </c>
      <c r="E263" s="62" t="e">
        <f t="shared" si="52"/>
        <v>#DIV/0!</v>
      </c>
      <c r="F263" s="62">
        <f t="shared" si="53"/>
        <v>-6.9039407200984524</v>
      </c>
      <c r="G263" s="67">
        <f t="shared" si="54"/>
        <v>-10.993751021201358</v>
      </c>
      <c r="H263" s="62" t="e">
        <f t="shared" si="55"/>
        <v>#DIV/0!</v>
      </c>
      <c r="I263" s="62" t="e">
        <f t="shared" si="56"/>
        <v>#DIV/0!</v>
      </c>
      <c r="J263" s="63"/>
      <c r="K263" s="63"/>
      <c r="L263" s="63"/>
      <c r="M263" s="63"/>
      <c r="N263" s="63"/>
      <c r="O263" s="63"/>
      <c r="P263" s="63"/>
      <c r="Q263" s="63"/>
    </row>
    <row r="264" spans="2:17" x14ac:dyDescent="0.3">
      <c r="B264" s="63"/>
      <c r="C264" s="73">
        <f t="shared" si="57"/>
        <v>78500</v>
      </c>
      <c r="D264" s="62" t="e">
        <f t="shared" si="51"/>
        <v>#DIV/0!</v>
      </c>
      <c r="E264" s="62" t="e">
        <f t="shared" si="52"/>
        <v>#DIV/0!</v>
      </c>
      <c r="F264" s="62">
        <f t="shared" si="53"/>
        <v>-6.9052208756650604</v>
      </c>
      <c r="G264" s="67">
        <f t="shared" si="54"/>
        <v>-11.028708904662844</v>
      </c>
      <c r="H264" s="62" t="e">
        <f t="shared" si="55"/>
        <v>#DIV/0!</v>
      </c>
      <c r="I264" s="62" t="e">
        <f t="shared" si="56"/>
        <v>#DIV/0!</v>
      </c>
      <c r="J264" s="63"/>
      <c r="K264" s="63"/>
      <c r="L264" s="63"/>
      <c r="M264" s="63"/>
      <c r="N264" s="63"/>
      <c r="O264" s="63"/>
      <c r="P264" s="63"/>
      <c r="Q264" s="63"/>
    </row>
    <row r="265" spans="2:17" x14ac:dyDescent="0.3">
      <c r="B265" s="63"/>
      <c r="C265" s="73">
        <f t="shared" si="57"/>
        <v>79000</v>
      </c>
      <c r="D265" s="62" t="e">
        <f t="shared" si="51"/>
        <v>#DIV/0!</v>
      </c>
      <c r="E265" s="62" t="e">
        <f t="shared" si="52"/>
        <v>#DIV/0!</v>
      </c>
      <c r="F265" s="62">
        <f t="shared" si="53"/>
        <v>-6.9065057528115652</v>
      </c>
      <c r="G265" s="67">
        <f t="shared" si="54"/>
        <v>-11.063871575418332</v>
      </c>
      <c r="H265" s="62" t="e">
        <f t="shared" si="55"/>
        <v>#DIV/0!</v>
      </c>
      <c r="I265" s="62" t="e">
        <f t="shared" si="56"/>
        <v>#DIV/0!</v>
      </c>
      <c r="J265" s="63"/>
      <c r="K265" s="63"/>
      <c r="L265" s="63"/>
      <c r="M265" s="63"/>
      <c r="N265" s="63"/>
      <c r="O265" s="63"/>
      <c r="P265" s="63"/>
      <c r="Q265" s="63"/>
    </row>
    <row r="266" spans="2:17" x14ac:dyDescent="0.3">
      <c r="B266" s="63"/>
      <c r="C266" s="73">
        <f t="shared" si="57"/>
        <v>79500</v>
      </c>
      <c r="D266" s="62" t="e">
        <f t="shared" si="51"/>
        <v>#DIV/0!</v>
      </c>
      <c r="E266" s="62" t="e">
        <f t="shared" si="52"/>
        <v>#DIV/0!</v>
      </c>
      <c r="F266" s="62">
        <f t="shared" si="53"/>
        <v>-6.9077954046644017</v>
      </c>
      <c r="G266" s="67">
        <f t="shared" si="54"/>
        <v>-11.099234837038704</v>
      </c>
      <c r="H266" s="62" t="e">
        <f t="shared" si="55"/>
        <v>#DIV/0!</v>
      </c>
      <c r="I266" s="62" t="e">
        <f t="shared" si="56"/>
        <v>#DIV/0!</v>
      </c>
      <c r="J266" s="63"/>
      <c r="K266" s="63"/>
      <c r="L266" s="63"/>
      <c r="M266" s="63"/>
      <c r="N266" s="63"/>
      <c r="O266" s="63"/>
      <c r="P266" s="63"/>
      <c r="Q266" s="63"/>
    </row>
    <row r="267" spans="2:17" x14ac:dyDescent="0.3">
      <c r="B267" s="63"/>
      <c r="C267" s="73">
        <f t="shared" si="57"/>
        <v>80000</v>
      </c>
      <c r="D267" s="62" t="e">
        <f t="shared" si="51"/>
        <v>#DIV/0!</v>
      </c>
      <c r="E267" s="62" t="e">
        <f t="shared" si="52"/>
        <v>#DIV/0!</v>
      </c>
      <c r="F267" s="62">
        <f t="shared" si="53"/>
        <v>-6.9090898824881632</v>
      </c>
      <c r="G267" s="67">
        <f t="shared" si="54"/>
        <v>-11.134794595736299</v>
      </c>
      <c r="H267" s="62" t="e">
        <f t="shared" si="55"/>
        <v>#DIV/0!</v>
      </c>
      <c r="I267" s="62" t="e">
        <f t="shared" si="56"/>
        <v>#DIV/0!</v>
      </c>
      <c r="J267" s="63"/>
      <c r="K267" s="63"/>
      <c r="L267" s="63"/>
      <c r="M267" s="63"/>
      <c r="N267" s="63"/>
      <c r="O267" s="63"/>
      <c r="P267" s="63"/>
      <c r="Q267" s="63"/>
    </row>
    <row r="268" spans="2:17" x14ac:dyDescent="0.3">
      <c r="B268" s="63"/>
      <c r="C268" s="73">
        <f t="shared" si="57"/>
        <v>80500</v>
      </c>
      <c r="D268" s="62" t="e">
        <f t="shared" si="51"/>
        <v>#DIV/0!</v>
      </c>
      <c r="E268" s="62" t="e">
        <f t="shared" si="52"/>
        <v>#DIV/0!</v>
      </c>
      <c r="F268" s="62">
        <f t="shared" si="53"/>
        <v>-6.9103892357534153</v>
      </c>
      <c r="G268" s="67">
        <f t="shared" si="54"/>
        <v>-11.170546857195776</v>
      </c>
      <c r="H268" s="62" t="e">
        <f t="shared" si="55"/>
        <v>#DIV/0!</v>
      </c>
      <c r="I268" s="62" t="e">
        <f t="shared" si="56"/>
        <v>#DIV/0!</v>
      </c>
      <c r="J268" s="63"/>
      <c r="K268" s="63"/>
      <c r="L268" s="63"/>
      <c r="M268" s="63"/>
      <c r="N268" s="63"/>
      <c r="O268" s="63"/>
      <c r="P268" s="63"/>
      <c r="Q268" s="63"/>
    </row>
    <row r="269" spans="2:17" x14ac:dyDescent="0.3">
      <c r="B269" s="63"/>
      <c r="C269" s="73">
        <f t="shared" si="57"/>
        <v>81000</v>
      </c>
      <c r="D269" s="62" t="e">
        <f t="shared" si="51"/>
        <v>#DIV/0!</v>
      </c>
      <c r="E269" s="62" t="e">
        <f t="shared" si="52"/>
        <v>#DIV/0!</v>
      </c>
      <c r="F269" s="62">
        <f t="shared" si="53"/>
        <v>-6.9116935122016541</v>
      </c>
      <c r="G269" s="67">
        <f t="shared" si="54"/>
        <v>-11.206487723521869</v>
      </c>
      <c r="H269" s="62" t="e">
        <f t="shared" si="55"/>
        <v>#DIV/0!</v>
      </c>
      <c r="I269" s="62" t="e">
        <f t="shared" si="56"/>
        <v>#DIV/0!</v>
      </c>
      <c r="J269" s="63"/>
      <c r="K269" s="63"/>
      <c r="L269" s="63"/>
      <c r="M269" s="63"/>
      <c r="N269" s="63"/>
      <c r="O269" s="63"/>
      <c r="P269" s="63"/>
      <c r="Q269" s="63"/>
    </row>
    <row r="270" spans="2:17" x14ac:dyDescent="0.3">
      <c r="B270" s="63"/>
      <c r="C270" s="73">
        <f t="shared" ref="C270:C301" si="58">C269+500</f>
        <v>81500</v>
      </c>
      <c r="D270" s="62" t="e">
        <f t="shared" si="51"/>
        <v>#DIV/0!</v>
      </c>
      <c r="E270" s="62" t="e">
        <f t="shared" si="52"/>
        <v>#DIV/0!</v>
      </c>
      <c r="F270" s="62">
        <f t="shared" si="53"/>
        <v>-6.9130027579077238</v>
      </c>
      <c r="G270" s="67">
        <f t="shared" si="54"/>
        <v>-11.242613390299349</v>
      </c>
      <c r="H270" s="62" t="e">
        <f t="shared" si="55"/>
        <v>#DIV/0!</v>
      </c>
      <c r="I270" s="62" t="e">
        <f t="shared" si="56"/>
        <v>#DIV/0!</v>
      </c>
      <c r="J270" s="63"/>
      <c r="K270" s="63"/>
      <c r="L270" s="63"/>
      <c r="M270" s="63"/>
      <c r="N270" s="63"/>
      <c r="O270" s="63"/>
      <c r="P270" s="63"/>
      <c r="Q270" s="63"/>
    </row>
    <row r="271" spans="2:17" x14ac:dyDescent="0.3">
      <c r="B271" s="63"/>
      <c r="C271" s="73">
        <f t="shared" si="58"/>
        <v>82000</v>
      </c>
      <c r="D271" s="62" t="e">
        <f t="shared" si="51"/>
        <v>#DIV/0!</v>
      </c>
      <c r="E271" s="62" t="e">
        <f t="shared" si="52"/>
        <v>#DIV/0!</v>
      </c>
      <c r="F271" s="62">
        <f t="shared" si="53"/>
        <v>-6.9143170173393065</v>
      </c>
      <c r="G271" s="67">
        <f t="shared" si="54"/>
        <v>-11.278920143759573</v>
      </c>
      <c r="H271" s="62" t="e">
        <f t="shared" si="55"/>
        <v>#DIV/0!</v>
      </c>
      <c r="I271" s="62" t="e">
        <f t="shared" si="56"/>
        <v>#DIV/0!</v>
      </c>
      <c r="J271" s="63"/>
      <c r="K271" s="63"/>
      <c r="L271" s="63"/>
      <c r="M271" s="63"/>
      <c r="N271" s="63"/>
      <c r="O271" s="63"/>
      <c r="P271" s="63"/>
      <c r="Q271" s="63"/>
    </row>
    <row r="272" spans="2:17" x14ac:dyDescent="0.3">
      <c r="B272" s="63"/>
      <c r="C272" s="73">
        <f t="shared" si="58"/>
        <v>82500</v>
      </c>
      <c r="D272" s="62" t="e">
        <f t="shared" si="51"/>
        <v>#DIV/0!</v>
      </c>
      <c r="E272" s="62" t="e">
        <f t="shared" si="52"/>
        <v>#DIV/0!</v>
      </c>
      <c r="F272" s="62">
        <f t="shared" si="53"/>
        <v>-6.9156363334139499</v>
      </c>
      <c r="G272" s="67">
        <f t="shared" si="54"/>
        <v>-11.315404358049451</v>
      </c>
      <c r="H272" s="62" t="e">
        <f t="shared" si="55"/>
        <v>#DIV/0!</v>
      </c>
      <c r="I272" s="62" t="e">
        <f t="shared" si="56"/>
        <v>#DIV/0!</v>
      </c>
      <c r="J272" s="63"/>
      <c r="K272" s="63"/>
      <c r="L272" s="63"/>
      <c r="M272" s="63"/>
      <c r="N272" s="63"/>
      <c r="O272" s="63"/>
      <c r="P272" s="63"/>
      <c r="Q272" s="63"/>
    </row>
    <row r="273" spans="2:17" x14ac:dyDescent="0.3">
      <c r="B273" s="63"/>
      <c r="C273" s="73">
        <f t="shared" si="58"/>
        <v>83000</v>
      </c>
      <c r="D273" s="62" t="e">
        <f t="shared" si="51"/>
        <v>#DIV/0!</v>
      </c>
      <c r="E273" s="62" t="e">
        <f t="shared" si="52"/>
        <v>#DIV/0!</v>
      </c>
      <c r="F273" s="62">
        <f t="shared" si="53"/>
        <v>-6.9169607475539765</v>
      </c>
      <c r="G273" s="67">
        <f t="shared" si="54"/>
        <v>-11.352062492599728</v>
      </c>
      <c r="H273" s="62" t="e">
        <f t="shared" si="55"/>
        <v>#DIV/0!</v>
      </c>
      <c r="I273" s="62" t="e">
        <f t="shared" si="56"/>
        <v>#DIV/0!</v>
      </c>
      <c r="J273" s="63"/>
      <c r="K273" s="63"/>
      <c r="L273" s="63"/>
      <c r="M273" s="63"/>
      <c r="N273" s="63"/>
      <c r="O273" s="63"/>
      <c r="P273" s="63"/>
      <c r="Q273" s="63"/>
    </row>
    <row r="274" spans="2:17" x14ac:dyDescent="0.3">
      <c r="B274" s="63"/>
      <c r="C274" s="73">
        <f t="shared" si="58"/>
        <v>83500</v>
      </c>
      <c r="D274" s="62" t="e">
        <f t="shared" ref="D274:D337" si="59">20*LOG(Am*IMABS(IMDIV(IMDIV(IMDIV(IMPRODUCT( COMPLEX(1,C274/Fzesr),COMPLEX(1,-C274/Frhp) ),COMPLEX(1,C274/Flp) ),COMPLEX(1,C274/Fesrp) ),COMPLEX(1-C274^2/(Fdp^2),C274/Fsp) )))</f>
        <v>#DIV/0!</v>
      </c>
      <c r="E274" s="62" t="e">
        <f t="shared" ref="E274:E337" si="60">IMARGUMENT(IMDIV(IMDIV(IMDIV(IMPRODUCT( COMPLEX(1,C274/Fzesr),COMPLEX(1,-C274/Frhp) ),COMPLEX(1,C274/Flp) ),COMPLEX(1,C274/Fesrp) ),COMPLEX(1-C274^2/(Fdp^2),C274/Fsp) ))*180/pi</f>
        <v>#DIV/0!</v>
      </c>
      <c r="F274" s="62">
        <f t="shared" ref="F274:F337" si="61">20*LOG(Afb*IMABS(IMDIV(IMDIV(COMPLEX(1,C274/Fzea),COMPLEX(1,C274/Fpea)),COMPLEX(0,2*3.14*C274))))</f>
        <v>-6.9182902997387608</v>
      </c>
      <c r="G274" s="67">
        <f t="shared" ref="G274:G337" si="62">IMARGUMENT(IMDIV(IMDIV(COMPLEX(1,C274/Fzea),COMPLEX(1,C274/Fpea)),COMPLEX(0,2*3.14*C274)))*180/pi</f>
        <v>-11.388891089586012</v>
      </c>
      <c r="H274" s="62" t="e">
        <f t="shared" ref="H274:H337" si="63">D274+F274</f>
        <v>#DIV/0!</v>
      </c>
      <c r="I274" s="62" t="e">
        <f t="shared" ref="I274:I337" si="64">E274+G274</f>
        <v>#DIV/0!</v>
      </c>
      <c r="J274" s="63"/>
      <c r="K274" s="63"/>
      <c r="L274" s="63"/>
      <c r="M274" s="63"/>
      <c r="N274" s="63"/>
      <c r="O274" s="63"/>
      <c r="P274" s="63"/>
      <c r="Q274" s="63"/>
    </row>
    <row r="275" spans="2:17" x14ac:dyDescent="0.3">
      <c r="B275" s="63"/>
      <c r="C275" s="73">
        <f t="shared" si="58"/>
        <v>84000</v>
      </c>
      <c r="D275" s="62" t="e">
        <f t="shared" si="59"/>
        <v>#DIV/0!</v>
      </c>
      <c r="E275" s="62" t="e">
        <f t="shared" si="60"/>
        <v>#DIV/0!</v>
      </c>
      <c r="F275" s="62">
        <f t="shared" si="61"/>
        <v>-6.9196250285550089</v>
      </c>
      <c r="G275" s="67">
        <f t="shared" si="62"/>
        <v>-11.425886771481029</v>
      </c>
      <c r="H275" s="62" t="e">
        <f t="shared" si="63"/>
        <v>#DIV/0!</v>
      </c>
      <c r="I275" s="62" t="e">
        <f t="shared" si="64"/>
        <v>#DIV/0!</v>
      </c>
      <c r="J275" s="63"/>
      <c r="K275" s="63"/>
      <c r="L275" s="63"/>
      <c r="M275" s="63"/>
      <c r="N275" s="63"/>
      <c r="O275" s="63"/>
      <c r="P275" s="63"/>
      <c r="Q275" s="63"/>
    </row>
    <row r="276" spans="2:17" x14ac:dyDescent="0.3">
      <c r="B276" s="63"/>
      <c r="C276" s="73">
        <f t="shared" si="58"/>
        <v>84500</v>
      </c>
      <c r="D276" s="62" t="e">
        <f t="shared" si="59"/>
        <v>#DIV/0!</v>
      </c>
      <c r="E276" s="62" t="e">
        <f t="shared" si="60"/>
        <v>#DIV/0!</v>
      </c>
      <c r="F276" s="62">
        <f t="shared" si="61"/>
        <v>-6.9209649712450085</v>
      </c>
      <c r="G276" s="67">
        <f t="shared" si="62"/>
        <v>-11.463046238692996</v>
      </c>
      <c r="H276" s="62" t="e">
        <f t="shared" si="63"/>
        <v>#DIV/0!</v>
      </c>
      <c r="I276" s="62" t="e">
        <f t="shared" si="64"/>
        <v>#DIV/0!</v>
      </c>
      <c r="J276" s="63"/>
      <c r="K276" s="63"/>
      <c r="L276" s="63"/>
      <c r="M276" s="63"/>
      <c r="N276" s="63"/>
      <c r="O276" s="63"/>
      <c r="P276" s="63"/>
      <c r="Q276" s="63"/>
    </row>
    <row r="277" spans="2:17" x14ac:dyDescent="0.3">
      <c r="B277" s="63"/>
      <c r="C277" s="73">
        <f t="shared" si="58"/>
        <v>85000</v>
      </c>
      <c r="D277" s="62" t="e">
        <f t="shared" si="59"/>
        <v>#DIV/0!</v>
      </c>
      <c r="E277" s="62" t="e">
        <f t="shared" si="60"/>
        <v>#DIV/0!</v>
      </c>
      <c r="F277" s="62">
        <f t="shared" si="61"/>
        <v>-6.9223101637528606</v>
      </c>
      <c r="G277" s="67">
        <f t="shared" si="62"/>
        <v>-11.500366267287259</v>
      </c>
      <c r="H277" s="62" t="e">
        <f t="shared" si="63"/>
        <v>#DIV/0!</v>
      </c>
      <c r="I277" s="62" t="e">
        <f t="shared" si="64"/>
        <v>#DIV/0!</v>
      </c>
      <c r="J277" s="63"/>
      <c r="K277" s="63"/>
      <c r="L277" s="63"/>
      <c r="M277" s="63"/>
      <c r="N277" s="63"/>
      <c r="O277" s="63"/>
      <c r="P277" s="63"/>
      <c r="Q277" s="63"/>
    </row>
    <row r="278" spans="2:17" x14ac:dyDescent="0.3">
      <c r="B278" s="63"/>
      <c r="C278" s="73">
        <f t="shared" si="58"/>
        <v>85500</v>
      </c>
      <c r="D278" s="62" t="e">
        <f t="shared" si="59"/>
        <v>#DIV/0!</v>
      </c>
      <c r="E278" s="62" t="e">
        <f t="shared" si="60"/>
        <v>#DIV/0!</v>
      </c>
      <c r="F278" s="62">
        <f t="shared" si="61"/>
        <v>-6.9236606407687535</v>
      </c>
      <c r="G278" s="67">
        <f t="shared" si="62"/>
        <v>-11.537843706787124</v>
      </c>
      <c r="H278" s="62" t="e">
        <f t="shared" si="63"/>
        <v>#DIV/0!</v>
      </c>
      <c r="I278" s="62" t="e">
        <f t="shared" si="64"/>
        <v>#DIV/0!</v>
      </c>
      <c r="J278" s="63"/>
      <c r="K278" s="63"/>
      <c r="L278" s="63"/>
      <c r="M278" s="63"/>
      <c r="N278" s="63"/>
      <c r="O278" s="63"/>
      <c r="P278" s="63"/>
      <c r="Q278" s="63"/>
    </row>
    <row r="279" spans="2:17" x14ac:dyDescent="0.3">
      <c r="B279" s="63"/>
      <c r="C279" s="73">
        <f t="shared" si="58"/>
        <v>86000</v>
      </c>
      <c r="D279" s="62" t="e">
        <f t="shared" si="59"/>
        <v>#DIV/0!</v>
      </c>
      <c r="E279" s="62" t="e">
        <f t="shared" si="60"/>
        <v>#DIV/0!</v>
      </c>
      <c r="F279" s="62">
        <f t="shared" si="61"/>
        <v>-6.9250164357716324</v>
      </c>
      <c r="G279" s="67">
        <f t="shared" si="62"/>
        <v>-11.575475478051645</v>
      </c>
      <c r="H279" s="62" t="e">
        <f t="shared" si="63"/>
        <v>#DIV/0!</v>
      </c>
      <c r="I279" s="62" t="e">
        <f t="shared" si="64"/>
        <v>#DIV/0!</v>
      </c>
      <c r="J279" s="63"/>
      <c r="K279" s="63"/>
      <c r="L279" s="63"/>
      <c r="M279" s="63"/>
      <c r="N279" s="63"/>
      <c r="O279" s="63"/>
      <c r="P279" s="63"/>
      <c r="Q279" s="63"/>
    </row>
    <row r="280" spans="2:17" x14ac:dyDescent="0.3">
      <c r="B280" s="63"/>
      <c r="C280" s="73">
        <f t="shared" si="58"/>
        <v>86500</v>
      </c>
      <c r="D280" s="62" t="e">
        <f t="shared" si="59"/>
        <v>#DIV/0!</v>
      </c>
      <c r="E280" s="62" t="e">
        <f t="shared" si="60"/>
        <v>#DIV/0!</v>
      </c>
      <c r="F280" s="62">
        <f t="shared" si="61"/>
        <v>-6.9263775810699535</v>
      </c>
      <c r="G280" s="67">
        <f t="shared" si="62"/>
        <v>-11.61325857122598</v>
      </c>
      <c r="H280" s="62" t="e">
        <f t="shared" si="63"/>
        <v>#DIV/0!</v>
      </c>
      <c r="I280" s="62" t="e">
        <f t="shared" si="64"/>
        <v>#DIV/0!</v>
      </c>
      <c r="J280" s="63"/>
      <c r="K280" s="63"/>
      <c r="L280" s="63"/>
      <c r="M280" s="63"/>
      <c r="N280" s="63"/>
      <c r="O280" s="63"/>
      <c r="P280" s="63"/>
      <c r="Q280" s="63"/>
    </row>
    <row r="281" spans="2:17" x14ac:dyDescent="0.3">
      <c r="B281" s="63"/>
      <c r="C281" s="73">
        <f t="shared" si="58"/>
        <v>87000</v>
      </c>
      <c r="D281" s="62" t="e">
        <f t="shared" si="59"/>
        <v>#DIV/0!</v>
      </c>
      <c r="E281" s="62" t="e">
        <f t="shared" si="60"/>
        <v>#DIV/0!</v>
      </c>
      <c r="F281" s="62">
        <f t="shared" si="61"/>
        <v>-6.9277441078409217</v>
      </c>
      <c r="G281" s="67">
        <f t="shared" si="62"/>
        <v>-11.651190043762947</v>
      </c>
      <c r="H281" s="62" t="e">
        <f t="shared" si="63"/>
        <v>#DIV/0!</v>
      </c>
      <c r="I281" s="62" t="e">
        <f t="shared" si="64"/>
        <v>#DIV/0!</v>
      </c>
      <c r="J281" s="63"/>
      <c r="K281" s="63"/>
      <c r="L281" s="63"/>
      <c r="M281" s="63"/>
      <c r="N281" s="63"/>
      <c r="O281" s="63"/>
      <c r="P281" s="63"/>
      <c r="Q281" s="63"/>
    </row>
    <row r="282" spans="2:17" x14ac:dyDescent="0.3">
      <c r="B282" s="63"/>
      <c r="C282" s="73">
        <f t="shared" si="58"/>
        <v>87500</v>
      </c>
      <c r="D282" s="62" t="e">
        <f t="shared" si="59"/>
        <v>#DIV/0!</v>
      </c>
      <c r="E282" s="62" t="e">
        <f t="shared" si="60"/>
        <v>#DIV/0!</v>
      </c>
      <c r="F282" s="62">
        <f t="shared" si="61"/>
        <v>-6.9291160461682333</v>
      </c>
      <c r="G282" s="67">
        <f t="shared" si="62"/>
        <v>-11.689267018511595</v>
      </c>
      <c r="H282" s="62" t="e">
        <f t="shared" si="63"/>
        <v>#DIV/0!</v>
      </c>
      <c r="I282" s="62" t="e">
        <f t="shared" si="64"/>
        <v>#DIV/0!</v>
      </c>
      <c r="J282" s="63"/>
      <c r="K282" s="63"/>
      <c r="L282" s="63"/>
      <c r="M282" s="63"/>
      <c r="N282" s="63"/>
      <c r="O282" s="63"/>
      <c r="P282" s="63"/>
      <c r="Q282" s="63"/>
    </row>
    <row r="283" spans="2:17" x14ac:dyDescent="0.3">
      <c r="B283" s="63"/>
      <c r="C283" s="73">
        <f t="shared" si="58"/>
        <v>88000</v>
      </c>
      <c r="D283" s="62" t="e">
        <f t="shared" si="59"/>
        <v>#DIV/0!</v>
      </c>
      <c r="E283" s="62" t="e">
        <f t="shared" si="60"/>
        <v>#DIV/0!</v>
      </c>
      <c r="F283" s="62">
        <f t="shared" si="61"/>
        <v>-6.9304934250781667</v>
      </c>
      <c r="G283" s="67">
        <f t="shared" si="62"/>
        <v>-11.727486681870865</v>
      </c>
      <c r="H283" s="62" t="e">
        <f t="shared" si="63"/>
        <v>#DIV/0!</v>
      </c>
      <c r="I283" s="62" t="e">
        <f t="shared" si="64"/>
        <v>#DIV/0!</v>
      </c>
      <c r="J283" s="63"/>
      <c r="K283" s="63"/>
      <c r="L283" s="63"/>
      <c r="M283" s="63"/>
      <c r="N283" s="63"/>
      <c r="O283" s="63"/>
      <c r="P283" s="63"/>
      <c r="Q283" s="63"/>
    </row>
    <row r="284" spans="2:17" x14ac:dyDescent="0.3">
      <c r="B284" s="63"/>
      <c r="C284" s="73">
        <f t="shared" si="58"/>
        <v>88500</v>
      </c>
      <c r="D284" s="62" t="e">
        <f t="shared" si="59"/>
        <v>#DIV/0!</v>
      </c>
      <c r="E284" s="62" t="e">
        <f t="shared" si="60"/>
        <v>#DIV/0!</v>
      </c>
      <c r="F284" s="62">
        <f t="shared" si="61"/>
        <v>-6.9318762725743586</v>
      </c>
      <c r="G284" s="67">
        <f t="shared" si="62"/>
        <v>-11.76584628200545</v>
      </c>
      <c r="H284" s="62" t="e">
        <f t="shared" si="63"/>
        <v>#DIV/0!</v>
      </c>
      <c r="I284" s="62" t="e">
        <f t="shared" si="64"/>
        <v>#DIV/0!</v>
      </c>
      <c r="J284" s="63"/>
      <c r="K284" s="63"/>
      <c r="L284" s="63"/>
      <c r="M284" s="63"/>
      <c r="N284" s="63"/>
      <c r="O284" s="63"/>
      <c r="P284" s="63"/>
      <c r="Q284" s="63"/>
    </row>
    <row r="285" spans="2:17" x14ac:dyDescent="0.3">
      <c r="B285" s="63"/>
      <c r="C285" s="73">
        <f t="shared" si="58"/>
        <v>89000</v>
      </c>
      <c r="D285" s="62" t="e">
        <f t="shared" si="59"/>
        <v>#DIV/0!</v>
      </c>
      <c r="E285" s="62" t="e">
        <f t="shared" si="60"/>
        <v>#DIV/0!</v>
      </c>
      <c r="F285" s="62">
        <f t="shared" si="61"/>
        <v>-6.933264615671261</v>
      </c>
      <c r="G285" s="67">
        <f t="shared" si="62"/>
        <v>-11.804343127121912</v>
      </c>
      <c r="H285" s="62" t="e">
        <f t="shared" si="63"/>
        <v>#DIV/0!</v>
      </c>
      <c r="I285" s="62" t="e">
        <f t="shared" si="64"/>
        <v>#DIV/0!</v>
      </c>
      <c r="J285" s="63"/>
      <c r="K285" s="63"/>
      <c r="L285" s="63"/>
      <c r="M285" s="63"/>
      <c r="N285" s="63"/>
      <c r="O285" s="63"/>
      <c r="P285" s="63"/>
      <c r="Q285" s="63"/>
    </row>
    <row r="286" spans="2:17" x14ac:dyDescent="0.3">
      <c r="B286" s="63"/>
      <c r="C286" s="73">
        <f t="shared" si="58"/>
        <v>89500</v>
      </c>
      <c r="D286" s="62" t="e">
        <f t="shared" si="59"/>
        <v>#DIV/0!</v>
      </c>
      <c r="E286" s="62" t="e">
        <f t="shared" si="60"/>
        <v>#DIV/0!</v>
      </c>
      <c r="F286" s="62">
        <f t="shared" si="61"/>
        <v>-6.934658480426215</v>
      </c>
      <c r="G286" s="67">
        <f t="shared" si="62"/>
        <v>-11.842974583801901</v>
      </c>
      <c r="H286" s="62" t="e">
        <f t="shared" si="63"/>
        <v>#DIV/0!</v>
      </c>
      <c r="I286" s="62" t="e">
        <f t="shared" si="64"/>
        <v>#DIV/0!</v>
      </c>
      <c r="J286" s="63"/>
      <c r="K286" s="63"/>
      <c r="L286" s="63"/>
      <c r="M286" s="63"/>
      <c r="N286" s="63"/>
      <c r="O286" s="63"/>
      <c r="P286" s="63"/>
      <c r="Q286" s="63"/>
    </row>
    <row r="287" spans="2:17" x14ac:dyDescent="0.3">
      <c r="B287" s="63"/>
      <c r="C287" s="73">
        <f t="shared" si="58"/>
        <v>90000</v>
      </c>
      <c r="D287" s="62" t="e">
        <f t="shared" si="59"/>
        <v>#DIV/0!</v>
      </c>
      <c r="E287" s="62" t="e">
        <f t="shared" si="60"/>
        <v>#DIV/0!</v>
      </c>
      <c r="F287" s="62">
        <f t="shared" si="61"/>
        <v>-6.9360578919703073</v>
      </c>
      <c r="G287" s="67">
        <f t="shared" si="62"/>
        <v>-11.881738075391159</v>
      </c>
      <c r="H287" s="62" t="e">
        <f t="shared" si="63"/>
        <v>#DIV/0!</v>
      </c>
      <c r="I287" s="62" t="e">
        <f t="shared" si="64"/>
        <v>#DIV/0!</v>
      </c>
      <c r="J287" s="63"/>
      <c r="K287" s="63"/>
      <c r="L287" s="63"/>
      <c r="M287" s="63"/>
      <c r="N287" s="63"/>
      <c r="O287" s="63"/>
      <c r="P287" s="63"/>
      <c r="Q287" s="63"/>
    </row>
    <row r="288" spans="2:17" x14ac:dyDescent="0.3">
      <c r="B288" s="63"/>
      <c r="C288" s="73">
        <f t="shared" si="58"/>
        <v>90500</v>
      </c>
      <c r="D288" s="62" t="e">
        <f t="shared" si="59"/>
        <v>#DIV/0!</v>
      </c>
      <c r="E288" s="62" t="e">
        <f t="shared" si="60"/>
        <v>#DIV/0!</v>
      </c>
      <c r="F288" s="62">
        <f t="shared" si="61"/>
        <v>-6.937462874538082</v>
      </c>
      <c r="G288" s="67">
        <f t="shared" si="62"/>
        <v>-11.920631080441435</v>
      </c>
      <c r="H288" s="62" t="e">
        <f t="shared" si="63"/>
        <v>#DIV/0!</v>
      </c>
      <c r="I288" s="62" t="e">
        <f t="shared" si="64"/>
        <v>#DIV/0!</v>
      </c>
      <c r="J288" s="63"/>
      <c r="K288" s="63"/>
      <c r="L288" s="63"/>
      <c r="M288" s="63"/>
      <c r="N288" s="63"/>
      <c r="O288" s="63"/>
      <c r="P288" s="63"/>
      <c r="Q288" s="63"/>
    </row>
    <row r="289" spans="2:17" x14ac:dyDescent="0.3">
      <c r="B289" s="63"/>
      <c r="C289" s="73">
        <f t="shared" si="58"/>
        <v>91000</v>
      </c>
      <c r="D289" s="62" t="e">
        <f t="shared" si="59"/>
        <v>#DIV/0!</v>
      </c>
      <c r="E289" s="62" t="e">
        <f t="shared" si="60"/>
        <v>#DIV/0!</v>
      </c>
      <c r="F289" s="62">
        <f t="shared" si="61"/>
        <v>-6.9388734514960557</v>
      </c>
      <c r="G289" s="67">
        <f t="shared" si="62"/>
        <v>-11.959651131203499</v>
      </c>
      <c r="H289" s="62" t="e">
        <f t="shared" si="63"/>
        <v>#DIV/0!</v>
      </c>
      <c r="I289" s="62" t="e">
        <f t="shared" si="64"/>
        <v>#DIV/0!</v>
      </c>
      <c r="J289" s="63"/>
      <c r="K289" s="63"/>
      <c r="L289" s="63"/>
      <c r="M289" s="63"/>
      <c r="N289" s="63"/>
      <c r="O289" s="63"/>
      <c r="P289" s="63"/>
      <c r="Q289" s="63"/>
    </row>
    <row r="290" spans="2:17" x14ac:dyDescent="0.3">
      <c r="B290" s="63"/>
      <c r="C290" s="73">
        <f t="shared" si="58"/>
        <v>91500</v>
      </c>
      <c r="D290" s="62" t="e">
        <f t="shared" si="59"/>
        <v>#DIV/0!</v>
      </c>
      <c r="E290" s="62" t="e">
        <f t="shared" si="60"/>
        <v>#DIV/0!</v>
      </c>
      <c r="F290" s="62">
        <f t="shared" si="61"/>
        <v>-6.9402896453701937</v>
      </c>
      <c r="G290" s="67">
        <f t="shared" si="62"/>
        <v>-11.998795812169853</v>
      </c>
      <c r="H290" s="62" t="e">
        <f t="shared" si="63"/>
        <v>#DIV/0!</v>
      </c>
      <c r="I290" s="62" t="e">
        <f t="shared" si="64"/>
        <v>#DIV/0!</v>
      </c>
      <c r="J290" s="63"/>
      <c r="K290" s="63"/>
      <c r="L290" s="63"/>
      <c r="M290" s="63"/>
      <c r="N290" s="63"/>
      <c r="O290" s="63"/>
      <c r="P290" s="63"/>
      <c r="Q290" s="63"/>
    </row>
    <row r="291" spans="2:17" x14ac:dyDescent="0.3">
      <c r="B291" s="63"/>
      <c r="C291" s="73">
        <f t="shared" si="58"/>
        <v>92000</v>
      </c>
      <c r="D291" s="62" t="e">
        <f t="shared" si="59"/>
        <v>#DIV/0!</v>
      </c>
      <c r="E291" s="62" t="e">
        <f t="shared" si="60"/>
        <v>#DIV/0!</v>
      </c>
      <c r="F291" s="62">
        <f t="shared" si="61"/>
        <v>-6.9417114778724329</v>
      </c>
      <c r="G291" s="67">
        <f t="shared" si="62"/>
        <v>-12.038062758664465</v>
      </c>
      <c r="H291" s="62" t="e">
        <f t="shared" si="63"/>
        <v>#DIV/0!</v>
      </c>
      <c r="I291" s="62" t="e">
        <f t="shared" si="64"/>
        <v>#DIV/0!</v>
      </c>
      <c r="J291" s="63"/>
      <c r="K291" s="63"/>
      <c r="L291" s="63"/>
      <c r="M291" s="63"/>
      <c r="N291" s="63"/>
      <c r="O291" s="63"/>
      <c r="P291" s="63"/>
      <c r="Q291" s="63"/>
    </row>
    <row r="292" spans="2:17" x14ac:dyDescent="0.3">
      <c r="B292" s="63"/>
      <c r="C292" s="73">
        <f t="shared" si="58"/>
        <v>92500</v>
      </c>
      <c r="D292" s="62" t="e">
        <f t="shared" si="59"/>
        <v>#DIV/0!</v>
      </c>
      <c r="E292" s="62" t="e">
        <f t="shared" si="60"/>
        <v>#DIV/0!</v>
      </c>
      <c r="F292" s="62">
        <f t="shared" si="61"/>
        <v>-6.9431389699260908</v>
      </c>
      <c r="G292" s="67">
        <f t="shared" si="62"/>
        <v>-12.077449655478098</v>
      </c>
      <c r="H292" s="62" t="e">
        <f t="shared" si="63"/>
        <v>#DIV/0!</v>
      </c>
      <c r="I292" s="62" t="e">
        <f t="shared" si="64"/>
        <v>#DIV/0!</v>
      </c>
      <c r="J292" s="63"/>
      <c r="K292" s="63"/>
      <c r="L292" s="63"/>
      <c r="M292" s="63"/>
      <c r="N292" s="63"/>
      <c r="O292" s="63"/>
      <c r="P292" s="63"/>
      <c r="Q292" s="63"/>
    </row>
    <row r="293" spans="2:17" x14ac:dyDescent="0.3">
      <c r="B293" s="63"/>
      <c r="C293" s="73">
        <f t="shared" si="58"/>
        <v>93000</v>
      </c>
      <c r="D293" s="62" t="e">
        <f t="shared" si="59"/>
        <v>#DIV/0!</v>
      </c>
      <c r="E293" s="62" t="e">
        <f t="shared" si="60"/>
        <v>#DIV/0!</v>
      </c>
      <c r="F293" s="62">
        <f t="shared" si="61"/>
        <v>-6.9445721416902719</v>
      </c>
      <c r="G293" s="67">
        <f t="shared" si="62"/>
        <v>-12.116954235547398</v>
      </c>
      <c r="H293" s="62" t="e">
        <f t="shared" si="63"/>
        <v>#DIV/0!</v>
      </c>
      <c r="I293" s="62" t="e">
        <f t="shared" si="64"/>
        <v>#DIV/0!</v>
      </c>
      <c r="J293" s="63"/>
      <c r="K293" s="63"/>
      <c r="L293" s="63"/>
      <c r="M293" s="63"/>
      <c r="N293" s="63"/>
      <c r="O293" s="63"/>
      <c r="P293" s="63"/>
      <c r="Q293" s="63"/>
    </row>
    <row r="294" spans="2:17" x14ac:dyDescent="0.3">
      <c r="B294" s="63"/>
      <c r="C294" s="73">
        <f t="shared" si="58"/>
        <v>93500</v>
      </c>
      <c r="D294" s="62" t="e">
        <f t="shared" si="59"/>
        <v>#DIV/0!</v>
      </c>
      <c r="E294" s="62" t="e">
        <f t="shared" si="60"/>
        <v>#DIV/0!</v>
      </c>
      <c r="F294" s="62">
        <f t="shared" si="61"/>
        <v>-6.9460110125835195</v>
      </c>
      <c r="G294" s="67">
        <f t="shared" si="62"/>
        <v>-12.156574278676505</v>
      </c>
      <c r="H294" s="62" t="e">
        <f t="shared" si="63"/>
        <v>#DIV/0!</v>
      </c>
      <c r="I294" s="62" t="e">
        <f t="shared" si="64"/>
        <v>#DIV/0!</v>
      </c>
      <c r="J294" s="63"/>
      <c r="K294" s="63"/>
      <c r="L294" s="63"/>
      <c r="M294" s="63"/>
      <c r="N294" s="63"/>
      <c r="O294" s="63"/>
      <c r="P294" s="63"/>
      <c r="Q294" s="63"/>
    </row>
    <row r="295" spans="2:17" x14ac:dyDescent="0.3">
      <c r="B295" s="63"/>
      <c r="C295" s="73">
        <f t="shared" si="58"/>
        <v>94000</v>
      </c>
      <c r="D295" s="62" t="e">
        <f t="shared" si="59"/>
        <v>#DIV/0!</v>
      </c>
      <c r="E295" s="62" t="e">
        <f t="shared" si="60"/>
        <v>#DIV/0!</v>
      </c>
      <c r="F295" s="62">
        <f t="shared" si="61"/>
        <v>-6.9474556013065865</v>
      </c>
      <c r="G295" s="67">
        <f t="shared" si="62"/>
        <v>-12.196307610299138</v>
      </c>
      <c r="H295" s="62" t="e">
        <f t="shared" si="63"/>
        <v>#DIV/0!</v>
      </c>
      <c r="I295" s="62" t="e">
        <f t="shared" si="64"/>
        <v>#DIV/0!</v>
      </c>
      <c r="J295" s="63"/>
      <c r="K295" s="63"/>
      <c r="L295" s="63"/>
      <c r="M295" s="63"/>
      <c r="N295" s="63"/>
      <c r="O295" s="63"/>
      <c r="P295" s="63"/>
      <c r="Q295" s="63"/>
    </row>
    <row r="296" spans="2:17" x14ac:dyDescent="0.3">
      <c r="B296" s="63"/>
      <c r="C296" s="73">
        <f t="shared" si="58"/>
        <v>94500</v>
      </c>
      <c r="D296" s="62" t="e">
        <f t="shared" si="59"/>
        <v>#DIV/0!</v>
      </c>
      <c r="E296" s="62" t="e">
        <f t="shared" si="60"/>
        <v>#DIV/0!</v>
      </c>
      <c r="F296" s="62">
        <f t="shared" si="61"/>
        <v>-6.9489059258641728</v>
      </c>
      <c r="G296" s="67">
        <f t="shared" si="62"/>
        <v>-12.236152100279961</v>
      </c>
      <c r="H296" s="62" t="e">
        <f t="shared" si="63"/>
        <v>#DIV/0!</v>
      </c>
      <c r="I296" s="62" t="e">
        <f t="shared" si="64"/>
        <v>#DIV/0!</v>
      </c>
      <c r="J296" s="63"/>
      <c r="K296" s="63"/>
      <c r="L296" s="63"/>
      <c r="M296" s="63"/>
      <c r="N296" s="63"/>
      <c r="O296" s="63"/>
      <c r="P296" s="63"/>
      <c r="Q296" s="63"/>
    </row>
    <row r="297" spans="2:17" x14ac:dyDescent="0.3">
      <c r="B297" s="63"/>
      <c r="C297" s="73">
        <f t="shared" si="58"/>
        <v>95000</v>
      </c>
      <c r="D297" s="62" t="e">
        <f t="shared" si="59"/>
        <v>#DIV/0!</v>
      </c>
      <c r="E297" s="62" t="e">
        <f t="shared" si="60"/>
        <v>#DIV/0!</v>
      </c>
      <c r="F297" s="62">
        <f t="shared" si="61"/>
        <v>-6.9503620035862212</v>
      </c>
      <c r="G297" s="67">
        <f t="shared" si="62"/>
        <v>-12.276105661753489</v>
      </c>
      <c r="H297" s="62" t="e">
        <f t="shared" si="63"/>
        <v>#DIV/0!</v>
      </c>
      <c r="I297" s="62" t="e">
        <f t="shared" si="64"/>
        <v>#DIV/0!</v>
      </c>
      <c r="J297" s="63"/>
      <c r="K297" s="63"/>
      <c r="L297" s="63"/>
      <c r="M297" s="63"/>
      <c r="N297" s="63"/>
      <c r="O297" s="63"/>
      <c r="P297" s="63"/>
      <c r="Q297" s="63"/>
    </row>
    <row r="298" spans="2:17" x14ac:dyDescent="0.3">
      <c r="B298" s="63"/>
      <c r="C298" s="73">
        <f t="shared" si="58"/>
        <v>95500</v>
      </c>
      <c r="D298" s="62" t="e">
        <f t="shared" si="59"/>
        <v>#DIV/0!</v>
      </c>
      <c r="E298" s="62" t="e">
        <f t="shared" si="60"/>
        <v>#DIV/0!</v>
      </c>
      <c r="F298" s="62">
        <f t="shared" si="61"/>
        <v>-6.9518238511480686</v>
      </c>
      <c r="G298" s="67">
        <f t="shared" si="62"/>
        <v>-12.316166249999604</v>
      </c>
      <c r="H298" s="62" t="e">
        <f t="shared" si="63"/>
        <v>#DIV/0!</v>
      </c>
      <c r="I298" s="62" t="e">
        <f t="shared" si="64"/>
        <v>#DIV/0!</v>
      </c>
      <c r="J298" s="63"/>
      <c r="K298" s="63"/>
      <c r="L298" s="63"/>
      <c r="M298" s="63"/>
      <c r="N298" s="63"/>
      <c r="O298" s="63"/>
      <c r="P298" s="63"/>
      <c r="Q298" s="63"/>
    </row>
    <row r="299" spans="2:17" x14ac:dyDescent="0.3">
      <c r="B299" s="63"/>
      <c r="C299" s="73">
        <f t="shared" si="58"/>
        <v>96000</v>
      </c>
      <c r="D299" s="62" t="e">
        <f t="shared" si="59"/>
        <v>#DIV/0!</v>
      </c>
      <c r="E299" s="62" t="e">
        <f t="shared" si="60"/>
        <v>#DIV/0!</v>
      </c>
      <c r="F299" s="62">
        <f t="shared" si="61"/>
        <v>-6.9532914845900695</v>
      </c>
      <c r="G299" s="67">
        <f t="shared" si="62"/>
        <v>-12.356331861353979</v>
      </c>
      <c r="H299" s="62" t="e">
        <f t="shared" si="63"/>
        <v>#DIV/0!</v>
      </c>
      <c r="I299" s="62" t="e">
        <f t="shared" si="64"/>
        <v>#DIV/0!</v>
      </c>
      <c r="J299" s="63"/>
      <c r="K299" s="63"/>
      <c r="L299" s="63"/>
      <c r="M299" s="63"/>
      <c r="N299" s="63"/>
      <c r="O299" s="63"/>
      <c r="P299" s="63"/>
      <c r="Q299" s="63"/>
    </row>
    <row r="300" spans="2:17" x14ac:dyDescent="0.3">
      <c r="B300" s="63"/>
      <c r="C300" s="73">
        <f t="shared" si="58"/>
        <v>96500</v>
      </c>
      <c r="D300" s="62" t="e">
        <f t="shared" si="59"/>
        <v>#DIV/0!</v>
      </c>
      <c r="E300" s="62" t="e">
        <f t="shared" si="60"/>
        <v>#DIV/0!</v>
      </c>
      <c r="F300" s="62">
        <f t="shared" si="61"/>
        <v>-6.954764919336557</v>
      </c>
      <c r="G300" s="67">
        <f t="shared" si="62"/>
        <v>-12.396600532152171</v>
      </c>
      <c r="H300" s="62" t="e">
        <f t="shared" si="63"/>
        <v>#DIV/0!</v>
      </c>
      <c r="I300" s="62" t="e">
        <f t="shared" si="64"/>
        <v>#DIV/0!</v>
      </c>
      <c r="J300" s="63"/>
      <c r="K300" s="63"/>
      <c r="L300" s="63"/>
      <c r="M300" s="63"/>
      <c r="N300" s="63"/>
      <c r="O300" s="63"/>
      <c r="P300" s="63"/>
      <c r="Q300" s="63"/>
    </row>
    <row r="301" spans="2:17" x14ac:dyDescent="0.3">
      <c r="B301" s="63"/>
      <c r="C301" s="73">
        <f t="shared" si="58"/>
        <v>97000</v>
      </c>
      <c r="D301" s="62" t="e">
        <f t="shared" si="59"/>
        <v>#DIV/0!</v>
      </c>
      <c r="E301" s="62" t="e">
        <f t="shared" si="60"/>
        <v>#DIV/0!</v>
      </c>
      <c r="F301" s="62">
        <f t="shared" si="61"/>
        <v>-6.9562441702139761</v>
      </c>
      <c r="G301" s="67">
        <f t="shared" si="62"/>
        <v>-12.43697033770647</v>
      </c>
      <c r="H301" s="62" t="e">
        <f t="shared" si="63"/>
        <v>#DIV/0!</v>
      </c>
      <c r="I301" s="62" t="e">
        <f t="shared" si="64"/>
        <v>#DIV/0!</v>
      </c>
      <c r="J301" s="63"/>
      <c r="K301" s="63"/>
      <c r="L301" s="63"/>
      <c r="M301" s="63"/>
      <c r="N301" s="63"/>
      <c r="O301" s="63"/>
      <c r="P301" s="63"/>
      <c r="Q301" s="63"/>
    </row>
    <row r="302" spans="2:17" x14ac:dyDescent="0.3">
      <c r="B302" s="63"/>
      <c r="C302" s="73">
        <f t="shared" ref="C302:C307" si="65">C301+500</f>
        <v>97500</v>
      </c>
      <c r="D302" s="62" t="e">
        <f t="shared" si="59"/>
        <v>#DIV/0!</v>
      </c>
      <c r="E302" s="62" t="e">
        <f t="shared" si="60"/>
        <v>#DIV/0!</v>
      </c>
      <c r="F302" s="62">
        <f t="shared" si="61"/>
        <v>-6.9577292514683826</v>
      </c>
      <c r="G302" s="67">
        <f t="shared" si="62"/>
        <v>-12.477439391313787</v>
      </c>
      <c r="H302" s="62" t="e">
        <f t="shared" si="63"/>
        <v>#DIV/0!</v>
      </c>
      <c r="I302" s="62" t="e">
        <f t="shared" si="64"/>
        <v>#DIV/0!</v>
      </c>
      <c r="J302" s="63"/>
      <c r="K302" s="63"/>
      <c r="L302" s="63"/>
      <c r="M302" s="63"/>
      <c r="N302" s="63"/>
      <c r="O302" s="63"/>
      <c r="P302" s="63"/>
      <c r="Q302" s="63"/>
    </row>
    <row r="303" spans="2:17" x14ac:dyDescent="0.3">
      <c r="B303" s="63"/>
      <c r="C303" s="73">
        <f t="shared" si="65"/>
        <v>98000</v>
      </c>
      <c r="D303" s="62" t="e">
        <f t="shared" si="59"/>
        <v>#DIV/0!</v>
      </c>
      <c r="E303" s="62" t="e">
        <f t="shared" si="60"/>
        <v>#DIV/0!</v>
      </c>
      <c r="F303" s="62">
        <f t="shared" si="61"/>
        <v>-6.9592201767826509</v>
      </c>
      <c r="G303" s="67">
        <f t="shared" si="62"/>
        <v>-12.518005843294635</v>
      </c>
      <c r="H303" s="62" t="e">
        <f t="shared" si="63"/>
        <v>#DIV/0!</v>
      </c>
      <c r="I303" s="62" t="e">
        <f t="shared" si="64"/>
        <v>#DIV/0!</v>
      </c>
      <c r="J303" s="63"/>
      <c r="K303" s="63"/>
      <c r="L303" s="63"/>
      <c r="M303" s="63"/>
      <c r="N303" s="63"/>
      <c r="O303" s="63"/>
      <c r="P303" s="63"/>
      <c r="Q303" s="63"/>
    </row>
    <row r="304" spans="2:17" x14ac:dyDescent="0.3">
      <c r="B304" s="63"/>
      <c r="C304" s="73">
        <f t="shared" si="65"/>
        <v>98500</v>
      </c>
      <c r="D304" s="62" t="e">
        <f t="shared" si="59"/>
        <v>#DIV/0!</v>
      </c>
      <c r="E304" s="62" t="e">
        <f t="shared" si="60"/>
        <v>#DIV/0!</v>
      </c>
      <c r="F304" s="62">
        <f t="shared" si="61"/>
        <v>-6.9607169592924638</v>
      </c>
      <c r="G304" s="67">
        <f t="shared" si="62"/>
        <v>-12.558667880059984</v>
      </c>
      <c r="H304" s="62" t="e">
        <f t="shared" si="63"/>
        <v>#DIV/0!</v>
      </c>
      <c r="I304" s="62" t="e">
        <f t="shared" si="64"/>
        <v>#DIV/0!</v>
      </c>
      <c r="J304" s="63"/>
      <c r="K304" s="63"/>
      <c r="L304" s="63"/>
      <c r="M304" s="63"/>
      <c r="N304" s="63"/>
      <c r="O304" s="63"/>
      <c r="P304" s="63"/>
      <c r="Q304" s="63"/>
    </row>
    <row r="305" spans="2:17" x14ac:dyDescent="0.3">
      <c r="B305" s="63"/>
      <c r="C305" s="73">
        <f t="shared" si="65"/>
        <v>99000</v>
      </c>
      <c r="D305" s="62" t="e">
        <f t="shared" si="59"/>
        <v>#DIV/0!</v>
      </c>
      <c r="E305" s="62" t="e">
        <f t="shared" si="60"/>
        <v>#DIV/0!</v>
      </c>
      <c r="F305" s="62">
        <f t="shared" si="61"/>
        <v>-6.9622196116023938</v>
      </c>
      <c r="G305" s="67">
        <f t="shared" si="62"/>
        <v>-12.599423723207753</v>
      </c>
      <c r="H305" s="62" t="e">
        <f t="shared" si="63"/>
        <v>#DIV/0!</v>
      </c>
      <c r="I305" s="62" t="e">
        <f t="shared" si="64"/>
        <v>#DIV/0!</v>
      </c>
      <c r="J305" s="63"/>
      <c r="K305" s="63"/>
      <c r="L305" s="63"/>
      <c r="M305" s="63"/>
      <c r="N305" s="63"/>
      <c r="O305" s="63"/>
      <c r="P305" s="63"/>
      <c r="Q305" s="63"/>
    </row>
    <row r="306" spans="2:17" x14ac:dyDescent="0.3">
      <c r="B306" s="63"/>
      <c r="C306" s="73">
        <f t="shared" si="65"/>
        <v>99500</v>
      </c>
      <c r="D306" s="62" t="e">
        <f t="shared" si="59"/>
        <v>#DIV/0!</v>
      </c>
      <c r="E306" s="62" t="e">
        <f t="shared" si="60"/>
        <v>#DIV/0!</v>
      </c>
      <c r="F306" s="62">
        <f t="shared" si="61"/>
        <v>-6.9637281458009195</v>
      </c>
      <c r="G306" s="67">
        <f t="shared" si="62"/>
        <v>-12.640271628645127</v>
      </c>
      <c r="H306" s="62" t="e">
        <f t="shared" si="63"/>
        <v>#DIV/0!</v>
      </c>
      <c r="I306" s="62" t="e">
        <f t="shared" si="64"/>
        <v>#DIV/0!</v>
      </c>
      <c r="J306" s="63"/>
      <c r="K306" s="63"/>
      <c r="L306" s="63"/>
      <c r="M306" s="63"/>
      <c r="N306" s="63"/>
      <c r="O306" s="63"/>
      <c r="P306" s="63"/>
      <c r="Q306" s="63"/>
    </row>
    <row r="307" spans="2:17" x14ac:dyDescent="0.3">
      <c r="B307" s="63"/>
      <c r="C307" s="73">
        <f t="shared" si="65"/>
        <v>100000</v>
      </c>
      <c r="D307" s="62" t="e">
        <f t="shared" si="59"/>
        <v>#DIV/0!</v>
      </c>
      <c r="E307" s="62" t="e">
        <f t="shared" si="60"/>
        <v>#DIV/0!</v>
      </c>
      <c r="F307" s="62">
        <f t="shared" si="61"/>
        <v>-6.9652425734752814</v>
      </c>
      <c r="G307" s="67">
        <f t="shared" si="62"/>
        <v>-12.681209885738395</v>
      </c>
      <c r="H307" s="62" t="e">
        <f t="shared" si="63"/>
        <v>#DIV/0!</v>
      </c>
      <c r="I307" s="62" t="e">
        <f t="shared" si="64"/>
        <v>#DIV/0!</v>
      </c>
      <c r="J307" s="63"/>
      <c r="K307" s="63"/>
      <c r="L307" s="63"/>
      <c r="M307" s="63"/>
      <c r="N307" s="63"/>
      <c r="O307" s="63"/>
      <c r="P307" s="63"/>
      <c r="Q307" s="63"/>
    </row>
    <row r="308" spans="2:17" x14ac:dyDescent="0.3">
      <c r="B308" s="63"/>
      <c r="C308" s="73">
        <f t="shared" ref="C308:C371" si="66">C307+5000</f>
        <v>105000</v>
      </c>
      <c r="D308" s="62" t="e">
        <f t="shared" si="59"/>
        <v>#DIV/0!</v>
      </c>
      <c r="E308" s="62" t="e">
        <f t="shared" si="60"/>
        <v>#DIV/0!</v>
      </c>
      <c r="F308" s="62">
        <f t="shared" si="61"/>
        <v>-6.9807132091660087</v>
      </c>
      <c r="G308" s="67">
        <f t="shared" si="62"/>
        <v>-13.095207799418398</v>
      </c>
      <c r="H308" s="62" t="e">
        <f t="shared" si="63"/>
        <v>#DIV/0!</v>
      </c>
      <c r="I308" s="62" t="e">
        <f t="shared" si="64"/>
        <v>#DIV/0!</v>
      </c>
      <c r="J308" s="63"/>
      <c r="K308" s="63"/>
      <c r="L308" s="63"/>
      <c r="M308" s="63"/>
      <c r="N308" s="63"/>
      <c r="O308" s="63"/>
      <c r="P308" s="63"/>
      <c r="Q308" s="63"/>
    </row>
    <row r="309" spans="2:17" x14ac:dyDescent="0.3">
      <c r="B309" s="63"/>
      <c r="C309" s="73">
        <f t="shared" si="66"/>
        <v>110000</v>
      </c>
      <c r="D309" s="62" t="e">
        <f t="shared" si="59"/>
        <v>#DIV/0!</v>
      </c>
      <c r="E309" s="62" t="e">
        <f t="shared" si="60"/>
        <v>#DIV/0!</v>
      </c>
      <c r="F309" s="62">
        <f t="shared" si="61"/>
        <v>-6.996782706137914</v>
      </c>
      <c r="G309" s="67">
        <f t="shared" si="62"/>
        <v>-13.516578714343332</v>
      </c>
      <c r="H309" s="62" t="e">
        <f t="shared" si="63"/>
        <v>#DIV/0!</v>
      </c>
      <c r="I309" s="62" t="e">
        <f t="shared" si="64"/>
        <v>#DIV/0!</v>
      </c>
      <c r="J309" s="63"/>
      <c r="K309" s="63"/>
      <c r="L309" s="63"/>
      <c r="M309" s="63"/>
      <c r="N309" s="63"/>
      <c r="O309" s="63"/>
      <c r="P309" s="63"/>
      <c r="Q309" s="63"/>
    </row>
    <row r="310" spans="2:17" x14ac:dyDescent="0.3">
      <c r="B310" s="63"/>
      <c r="C310" s="73">
        <f t="shared" si="66"/>
        <v>115000</v>
      </c>
      <c r="D310" s="62" t="e">
        <f t="shared" si="59"/>
        <v>#DIV/0!</v>
      </c>
      <c r="E310" s="62" t="e">
        <f t="shared" si="60"/>
        <v>#DIV/0!</v>
      </c>
      <c r="F310" s="62">
        <f t="shared" si="61"/>
        <v>-7.0134562149415167</v>
      </c>
      <c r="G310" s="67">
        <f t="shared" si="62"/>
        <v>-13.944054714288459</v>
      </c>
      <c r="H310" s="62" t="e">
        <f t="shared" si="63"/>
        <v>#DIV/0!</v>
      </c>
      <c r="I310" s="62" t="e">
        <f t="shared" si="64"/>
        <v>#DIV/0!</v>
      </c>
      <c r="J310" s="63"/>
      <c r="K310" s="63"/>
      <c r="L310" s="63"/>
      <c r="M310" s="63"/>
      <c r="N310" s="63"/>
      <c r="O310" s="63"/>
      <c r="P310" s="63"/>
      <c r="Q310" s="63"/>
    </row>
    <row r="311" spans="2:17" x14ac:dyDescent="0.3">
      <c r="B311" s="63"/>
      <c r="C311" s="73">
        <f t="shared" si="66"/>
        <v>120000</v>
      </c>
      <c r="D311" s="62" t="e">
        <f t="shared" si="59"/>
        <v>#DIV/0!</v>
      </c>
      <c r="E311" s="62" t="e">
        <f t="shared" si="60"/>
        <v>#DIV/0!</v>
      </c>
      <c r="F311" s="62">
        <f t="shared" si="61"/>
        <v>-7.0307360790980749</v>
      </c>
      <c r="G311" s="67">
        <f t="shared" si="62"/>
        <v>-14.376568504361328</v>
      </c>
      <c r="H311" s="62" t="e">
        <f t="shared" si="63"/>
        <v>#DIV/0!</v>
      </c>
      <c r="I311" s="62" t="e">
        <f t="shared" si="64"/>
        <v>#DIV/0!</v>
      </c>
      <c r="J311" s="63"/>
      <c r="K311" s="63"/>
      <c r="L311" s="63"/>
      <c r="M311" s="63"/>
      <c r="N311" s="63"/>
      <c r="O311" s="63"/>
      <c r="P311" s="63"/>
      <c r="Q311" s="63"/>
    </row>
    <row r="312" spans="2:17" x14ac:dyDescent="0.3">
      <c r="B312" s="63"/>
      <c r="C312" s="73">
        <f t="shared" si="66"/>
        <v>125000</v>
      </c>
      <c r="D312" s="62" t="e">
        <f t="shared" si="59"/>
        <v>#DIV/0!</v>
      </c>
      <c r="E312" s="62" t="e">
        <f t="shared" si="60"/>
        <v>#DIV/0!</v>
      </c>
      <c r="F312" s="62">
        <f t="shared" si="61"/>
        <v>-7.0486224468096488</v>
      </c>
      <c r="G312" s="67">
        <f t="shared" si="62"/>
        <v>-14.813213754643877</v>
      </c>
      <c r="H312" s="62" t="e">
        <f t="shared" si="63"/>
        <v>#DIV/0!</v>
      </c>
      <c r="I312" s="62" t="e">
        <f t="shared" si="64"/>
        <v>#DIV/0!</v>
      </c>
      <c r="J312" s="63"/>
      <c r="K312" s="63"/>
      <c r="L312" s="63"/>
      <c r="M312" s="63"/>
      <c r="N312" s="63"/>
      <c r="O312" s="63"/>
      <c r="P312" s="63"/>
      <c r="Q312" s="63"/>
    </row>
    <row r="313" spans="2:17" x14ac:dyDescent="0.3">
      <c r="B313" s="63"/>
      <c r="C313" s="73">
        <f t="shared" si="66"/>
        <v>130000</v>
      </c>
      <c r="D313" s="62" t="e">
        <f t="shared" si="59"/>
        <v>#DIV/0!</v>
      </c>
      <c r="E313" s="62" t="e">
        <f t="shared" si="60"/>
        <v>#DIV/0!</v>
      </c>
      <c r="F313" s="62">
        <f t="shared" si="61"/>
        <v>-7.0671137246118647</v>
      </c>
      <c r="G313" s="67">
        <f t="shared" si="62"/>
        <v>-15.253214581967901</v>
      </c>
      <c r="H313" s="62" t="e">
        <f t="shared" si="63"/>
        <v>#DIV/0!</v>
      </c>
      <c r="I313" s="62" t="e">
        <f t="shared" si="64"/>
        <v>#DIV/0!</v>
      </c>
      <c r="J313" s="63"/>
      <c r="K313" s="63"/>
      <c r="L313" s="63"/>
      <c r="M313" s="63"/>
      <c r="N313" s="63"/>
      <c r="O313" s="63"/>
      <c r="P313" s="63"/>
      <c r="Q313" s="63"/>
    </row>
    <row r="314" spans="2:17" x14ac:dyDescent="0.3">
      <c r="B314" s="63"/>
      <c r="C314" s="73">
        <f t="shared" si="66"/>
        <v>135000</v>
      </c>
      <c r="D314" s="62" t="e">
        <f t="shared" si="59"/>
        <v>#DIV/0!</v>
      </c>
      <c r="E314" s="62" t="e">
        <f t="shared" si="60"/>
        <v>#DIV/0!</v>
      </c>
      <c r="F314" s="62">
        <f t="shared" si="61"/>
        <v>-7.0862069188565595</v>
      </c>
      <c r="G314" s="67">
        <f t="shared" si="62"/>
        <v>-15.695901805230372</v>
      </c>
      <c r="H314" s="62" t="e">
        <f t="shared" si="63"/>
        <v>#DIV/0!</v>
      </c>
      <c r="I314" s="62" t="e">
        <f t="shared" si="64"/>
        <v>#DIV/0!</v>
      </c>
      <c r="J314" s="63"/>
      <c r="K314" s="63"/>
      <c r="L314" s="63"/>
      <c r="M314" s="63"/>
      <c r="N314" s="63"/>
      <c r="O314" s="63"/>
      <c r="P314" s="63"/>
      <c r="Q314" s="63"/>
    </row>
    <row r="315" spans="2:17" x14ac:dyDescent="0.3">
      <c r="B315" s="63"/>
      <c r="C315" s="73">
        <f t="shared" si="66"/>
        <v>140000</v>
      </c>
      <c r="D315" s="62" t="e">
        <f t="shared" si="59"/>
        <v>#DIV/0!</v>
      </c>
      <c r="E315" s="62" t="e">
        <f t="shared" si="60"/>
        <v>#DIV/0!</v>
      </c>
      <c r="F315" s="62">
        <f t="shared" si="61"/>
        <v>-7.1058978964484822</v>
      </c>
      <c r="G315" s="67">
        <f t="shared" si="62"/>
        <v>-16.140694283589053</v>
      </c>
      <c r="H315" s="62" t="e">
        <f t="shared" si="63"/>
        <v>#DIV/0!</v>
      </c>
      <c r="I315" s="62" t="e">
        <f t="shared" si="64"/>
        <v>#DIV/0!</v>
      </c>
      <c r="J315" s="63"/>
      <c r="K315" s="63"/>
      <c r="L315" s="63"/>
      <c r="M315" s="63"/>
      <c r="N315" s="63"/>
      <c r="O315" s="63"/>
      <c r="P315" s="63"/>
      <c r="Q315" s="63"/>
    </row>
    <row r="316" spans="2:17" x14ac:dyDescent="0.3">
      <c r="B316" s="63"/>
      <c r="C316" s="73">
        <f t="shared" si="66"/>
        <v>145000</v>
      </c>
      <c r="D316" s="62" t="e">
        <f t="shared" si="59"/>
        <v>#DIV/0!</v>
      </c>
      <c r="E316" s="62" t="e">
        <f t="shared" si="60"/>
        <v>#DIV/0!</v>
      </c>
      <c r="F316" s="62">
        <f t="shared" si="61"/>
        <v>-7.1261815866866378</v>
      </c>
      <c r="G316" s="67">
        <f t="shared" si="62"/>
        <v>-16.587084112194191</v>
      </c>
      <c r="H316" s="62" t="e">
        <f t="shared" si="63"/>
        <v>#DIV/0!</v>
      </c>
      <c r="I316" s="62" t="e">
        <f t="shared" si="64"/>
        <v>#DIV/0!</v>
      </c>
      <c r="J316" s="63"/>
      <c r="K316" s="63"/>
      <c r="L316" s="63"/>
      <c r="M316" s="63"/>
      <c r="N316" s="63"/>
      <c r="O316" s="63"/>
      <c r="P316" s="63"/>
      <c r="Q316" s="63"/>
    </row>
    <row r="317" spans="2:17" x14ac:dyDescent="0.3">
      <c r="B317" s="63"/>
      <c r="C317" s="73">
        <f t="shared" si="66"/>
        <v>150000</v>
      </c>
      <c r="D317" s="62" t="e">
        <f t="shared" si="59"/>
        <v>#DIV/0!</v>
      </c>
      <c r="E317" s="62" t="e">
        <f t="shared" si="60"/>
        <v>#DIV/0!</v>
      </c>
      <c r="F317" s="62">
        <f t="shared" si="61"/>
        <v>-7.1470521396189053</v>
      </c>
      <c r="G317" s="67">
        <f t="shared" si="62"/>
        <v>-17.034624776195628</v>
      </c>
      <c r="H317" s="62" t="e">
        <f t="shared" si="63"/>
        <v>#DIV/0!</v>
      </c>
      <c r="I317" s="62" t="e">
        <f t="shared" si="64"/>
        <v>#DIV/0!</v>
      </c>
      <c r="J317" s="63"/>
      <c r="K317" s="63"/>
      <c r="L317" s="63"/>
      <c r="M317" s="63"/>
      <c r="N317" s="63"/>
      <c r="O317" s="63"/>
      <c r="P317" s="63"/>
      <c r="Q317" s="63"/>
    </row>
    <row r="318" spans="2:17" x14ac:dyDescent="0.3">
      <c r="B318" s="63"/>
      <c r="C318" s="73">
        <f t="shared" si="66"/>
        <v>155000</v>
      </c>
      <c r="D318" s="62" t="e">
        <f t="shared" si="59"/>
        <v>#DIV/0!</v>
      </c>
      <c r="E318" s="62" t="e">
        <f t="shared" si="60"/>
        <v>#DIV/0!</v>
      </c>
      <c r="F318" s="62">
        <f t="shared" si="61"/>
        <v>-7.1685030519176518</v>
      </c>
      <c r="G318" s="67">
        <f t="shared" si="62"/>
        <v>-17.482921595381722</v>
      </c>
      <c r="H318" s="62" t="e">
        <f t="shared" si="63"/>
        <v>#DIV/0!</v>
      </c>
      <c r="I318" s="62" t="e">
        <f t="shared" si="64"/>
        <v>#DIV/0!</v>
      </c>
      <c r="J318" s="63"/>
      <c r="K318" s="63"/>
      <c r="L318" s="63"/>
      <c r="M318" s="63"/>
      <c r="N318" s="63"/>
      <c r="O318" s="63"/>
      <c r="P318" s="63"/>
      <c r="Q318" s="63"/>
    </row>
    <row r="319" spans="2:17" x14ac:dyDescent="0.3">
      <c r="B319" s="63"/>
      <c r="C319" s="73">
        <f t="shared" si="66"/>
        <v>160000</v>
      </c>
      <c r="D319" s="62" t="e">
        <f t="shared" si="59"/>
        <v>#DIV/0!</v>
      </c>
      <c r="E319" s="62" t="e">
        <f t="shared" si="60"/>
        <v>#DIV/0!</v>
      </c>
      <c r="F319" s="62">
        <f t="shared" si="61"/>
        <v>-7.1905272682330565</v>
      </c>
      <c r="G319" s="67">
        <f t="shared" si="62"/>
        <v>-17.931623958431736</v>
      </c>
      <c r="H319" s="62" t="e">
        <f t="shared" si="63"/>
        <v>#DIV/0!</v>
      </c>
      <c r="I319" s="62" t="e">
        <f t="shared" si="64"/>
        <v>#DIV/0!</v>
      </c>
      <c r="J319" s="63"/>
      <c r="K319" s="63"/>
      <c r="L319" s="63"/>
      <c r="M319" s="63"/>
      <c r="N319" s="63"/>
      <c r="O319" s="63"/>
      <c r="P319" s="63"/>
      <c r="Q319" s="63"/>
    </row>
    <row r="320" spans="2:17" x14ac:dyDescent="0.3">
      <c r="B320" s="63"/>
      <c r="C320" s="73">
        <f t="shared" si="66"/>
        <v>165000</v>
      </c>
      <c r="D320" s="62" t="e">
        <f t="shared" si="59"/>
        <v>#DIV/0!</v>
      </c>
      <c r="E320" s="62" t="e">
        <f t="shared" si="60"/>
        <v>#DIV/0!</v>
      </c>
      <c r="F320" s="62">
        <f t="shared" si="61"/>
        <v>-7.2131172638422134</v>
      </c>
      <c r="G320" s="67">
        <f t="shared" si="62"/>
        <v>-18.380418967027605</v>
      </c>
      <c r="H320" s="62" t="e">
        <f t="shared" si="63"/>
        <v>#DIV/0!</v>
      </c>
      <c r="I320" s="62" t="e">
        <f t="shared" si="64"/>
        <v>#DIV/0!</v>
      </c>
      <c r="J320" s="63"/>
      <c r="K320" s="63"/>
      <c r="L320" s="63"/>
      <c r="M320" s="63"/>
      <c r="N320" s="63"/>
      <c r="O320" s="63"/>
      <c r="P320" s="63"/>
      <c r="Q320" s="63"/>
    </row>
    <row r="321" spans="2:17" x14ac:dyDescent="0.3">
      <c r="B321" s="63"/>
      <c r="C321" s="73">
        <f t="shared" si="66"/>
        <v>170000</v>
      </c>
      <c r="D321" s="62" t="e">
        <f t="shared" si="59"/>
        <v>#DIV/0!</v>
      </c>
      <c r="E321" s="62" t="e">
        <f t="shared" si="60"/>
        <v>#DIV/0!</v>
      </c>
      <c r="F321" s="62">
        <f t="shared" si="61"/>
        <v>-7.2362651128886331</v>
      </c>
      <c r="G321" s="67">
        <f t="shared" si="62"/>
        <v>-18.829026199308299</v>
      </c>
      <c r="H321" s="62" t="e">
        <f t="shared" si="63"/>
        <v>#DIV/0!</v>
      </c>
      <c r="I321" s="62" t="e">
        <f t="shared" si="64"/>
        <v>#DIV/0!</v>
      </c>
      <c r="J321" s="63"/>
      <c r="K321" s="63"/>
      <c r="L321" s="63"/>
      <c r="M321" s="63"/>
      <c r="N321" s="63"/>
      <c r="O321" s="63"/>
      <c r="P321" s="63"/>
      <c r="Q321" s="63"/>
    </row>
    <row r="322" spans="2:17" x14ac:dyDescent="0.3">
      <c r="B322" s="63"/>
      <c r="C322" s="73">
        <f t="shared" si="66"/>
        <v>175000</v>
      </c>
      <c r="D322" s="62" t="e">
        <f t="shared" si="59"/>
        <v>#DIV/0!</v>
      </c>
      <c r="E322" s="62" t="e">
        <f t="shared" si="60"/>
        <v>#DIV/0!</v>
      </c>
      <c r="F322" s="62">
        <f t="shared" si="61"/>
        <v>-7.2599625454151582</v>
      </c>
      <c r="G322" s="67">
        <f t="shared" si="62"/>
        <v>-19.277193368473544</v>
      </c>
      <c r="H322" s="62" t="e">
        <f t="shared" si="63"/>
        <v>#DIV/0!</v>
      </c>
      <c r="I322" s="62" t="e">
        <f t="shared" si="64"/>
        <v>#DIV/0!</v>
      </c>
      <c r="J322" s="63"/>
      <c r="K322" s="63"/>
      <c r="L322" s="63"/>
      <c r="M322" s="63"/>
      <c r="N322" s="63"/>
      <c r="O322" s="63"/>
      <c r="P322" s="63"/>
      <c r="Q322" s="63"/>
    </row>
    <row r="323" spans="2:17" x14ac:dyDescent="0.3">
      <c r="B323" s="63"/>
      <c r="C323" s="73">
        <f t="shared" si="66"/>
        <v>180000</v>
      </c>
      <c r="D323" s="62" t="e">
        <f t="shared" si="59"/>
        <v>#DIV/0!</v>
      </c>
      <c r="E323" s="62" t="e">
        <f t="shared" si="60"/>
        <v>#DIV/0!</v>
      </c>
      <c r="F323" s="62">
        <f t="shared" si="61"/>
        <v>-7.2842009955992602</v>
      </c>
      <c r="G323" s="67">
        <f t="shared" si="62"/>
        <v>-19.724692702119519</v>
      </c>
      <c r="H323" s="62" t="e">
        <f t="shared" si="63"/>
        <v>#DIV/0!</v>
      </c>
      <c r="I323" s="62" t="e">
        <f t="shared" si="64"/>
        <v>#DIV/0!</v>
      </c>
      <c r="J323" s="63"/>
      <c r="K323" s="63"/>
      <c r="L323" s="63"/>
      <c r="M323" s="63"/>
      <c r="N323" s="63"/>
      <c r="O323" s="63"/>
      <c r="P323" s="63"/>
      <c r="Q323" s="63"/>
    </row>
    <row r="324" spans="2:17" x14ac:dyDescent="0.3">
      <c r="B324" s="63"/>
      <c r="C324" s="73">
        <f t="shared" si="66"/>
        <v>185000</v>
      </c>
      <c r="D324" s="62" t="e">
        <f t="shared" si="59"/>
        <v>#DIV/0!</v>
      </c>
      <c r="E324" s="62" t="e">
        <f t="shared" si="60"/>
        <v>#DIV/0!</v>
      </c>
      <c r="F324" s="62">
        <f t="shared" si="61"/>
        <v>-7.3089716430176885</v>
      </c>
      <c r="G324" s="67">
        <f t="shared" si="62"/>
        <v>-20.171317905575066</v>
      </c>
      <c r="H324" s="62" t="e">
        <f t="shared" si="63"/>
        <v>#DIV/0!</v>
      </c>
      <c r="I324" s="62" t="e">
        <f t="shared" si="64"/>
        <v>#DIV/0!</v>
      </c>
      <c r="J324" s="63"/>
      <c r="K324" s="63"/>
      <c r="L324" s="63"/>
      <c r="M324" s="63"/>
      <c r="N324" s="63"/>
      <c r="O324" s="63"/>
      <c r="P324" s="63"/>
      <c r="Q324" s="63"/>
    </row>
    <row r="325" spans="2:17" x14ac:dyDescent="0.3">
      <c r="B325" s="63"/>
      <c r="C325" s="73">
        <f t="shared" si="66"/>
        <v>190000</v>
      </c>
      <c r="D325" s="62" t="e">
        <f t="shared" si="59"/>
        <v>#DIV/0!</v>
      </c>
      <c r="E325" s="62" t="e">
        <f t="shared" si="60"/>
        <v>#DIV/0!</v>
      </c>
      <c r="F325" s="62">
        <f t="shared" si="61"/>
        <v>-7.3342654483364527</v>
      </c>
      <c r="G325" s="67">
        <f t="shared" si="62"/>
        <v>-20.616881601284256</v>
      </c>
      <c r="H325" s="62" t="e">
        <f t="shared" si="63"/>
        <v>#DIV/0!</v>
      </c>
      <c r="I325" s="62" t="e">
        <f t="shared" si="64"/>
        <v>#DIV/0!</v>
      </c>
      <c r="J325" s="63"/>
      <c r="K325" s="63"/>
      <c r="L325" s="63"/>
      <c r="M325" s="63"/>
      <c r="N325" s="63"/>
      <c r="O325" s="63"/>
      <c r="P325" s="63"/>
      <c r="Q325" s="63"/>
    </row>
    <row r="326" spans="2:17" x14ac:dyDescent="0.3">
      <c r="B326" s="63"/>
      <c r="C326" s="73">
        <f t="shared" si="66"/>
        <v>195000</v>
      </c>
      <c r="D326" s="62" t="e">
        <f t="shared" si="59"/>
        <v>#DIV/0!</v>
      </c>
      <c r="E326" s="62" t="e">
        <f t="shared" si="60"/>
        <v>#DIV/0!</v>
      </c>
      <c r="F326" s="62">
        <f t="shared" si="61"/>
        <v>-7.3600731845013936</v>
      </c>
      <c r="G326" s="67">
        <f t="shared" si="62"/>
        <v>-21.061213158423818</v>
      </c>
      <c r="H326" s="62" t="e">
        <f t="shared" si="63"/>
        <v>#DIV/0!</v>
      </c>
      <c r="I326" s="62" t="e">
        <f t="shared" si="64"/>
        <v>#DIV/0!</v>
      </c>
      <c r="J326" s="63"/>
      <c r="K326" s="63"/>
      <c r="L326" s="63"/>
      <c r="M326" s="63"/>
      <c r="N326" s="63"/>
      <c r="O326" s="63"/>
      <c r="P326" s="63"/>
      <c r="Q326" s="63"/>
    </row>
    <row r="327" spans="2:17" x14ac:dyDescent="0.3">
      <c r="B327" s="63"/>
      <c r="C327" s="73">
        <f t="shared" si="66"/>
        <v>200000</v>
      </c>
      <c r="D327" s="62" t="e">
        <f t="shared" si="59"/>
        <v>#DIV/0!</v>
      </c>
      <c r="E327" s="62" t="e">
        <f t="shared" si="60"/>
        <v>#DIV/0!</v>
      </c>
      <c r="F327" s="62">
        <f t="shared" si="61"/>
        <v>-7.3863854642618696</v>
      </c>
      <c r="G327" s="67">
        <f t="shared" si="62"/>
        <v>-21.504156844115453</v>
      </c>
      <c r="H327" s="62" t="e">
        <f t="shared" si="63"/>
        <v>#DIV/0!</v>
      </c>
      <c r="I327" s="62" t="e">
        <f t="shared" si="64"/>
        <v>#DIV/0!</v>
      </c>
      <c r="J327" s="63"/>
      <c r="K327" s="63"/>
      <c r="L327" s="63"/>
      <c r="M327" s="63"/>
      <c r="N327" s="63"/>
      <c r="O327" s="63"/>
      <c r="P327" s="63"/>
      <c r="Q327" s="63"/>
    </row>
    <row r="328" spans="2:17" x14ac:dyDescent="0.3">
      <c r="B328" s="63"/>
      <c r="C328" s="73">
        <f t="shared" si="66"/>
        <v>205000</v>
      </c>
      <c r="D328" s="62" t="e">
        <f t="shared" si="59"/>
        <v>#DIV/0!</v>
      </c>
      <c r="E328" s="62" t="e">
        <f t="shared" si="60"/>
        <v>#DIV/0!</v>
      </c>
      <c r="F328" s="62">
        <f t="shared" si="61"/>
        <v>-7.4131927646776568</v>
      </c>
      <c r="G328" s="67">
        <f t="shared" si="62"/>
        <v>-21.945570240995526</v>
      </c>
      <c r="H328" s="62" t="e">
        <f t="shared" si="63"/>
        <v>#DIV/0!</v>
      </c>
      <c r="I328" s="62" t="e">
        <f t="shared" si="64"/>
        <v>#DIV/0!</v>
      </c>
      <c r="J328" s="63"/>
      <c r="K328" s="63"/>
      <c r="L328" s="63"/>
      <c r="M328" s="63"/>
      <c r="N328" s="63"/>
      <c r="O328" s="63"/>
      <c r="P328" s="63"/>
      <c r="Q328" s="63"/>
    </row>
    <row r="329" spans="2:17" x14ac:dyDescent="0.3">
      <c r="B329" s="63"/>
      <c r="C329" s="73">
        <f t="shared" si="66"/>
        <v>210000</v>
      </c>
      <c r="D329" s="62" t="e">
        <f t="shared" si="59"/>
        <v>#DIV/0!</v>
      </c>
      <c r="E329" s="62" t="e">
        <f t="shared" si="60"/>
        <v>#DIV/0!</v>
      </c>
      <c r="F329" s="62">
        <f t="shared" si="61"/>
        <v>-7.4404854491189223</v>
      </c>
      <c r="G329" s="67">
        <f t="shared" si="62"/>
        <v>-22.38532288644792</v>
      </c>
      <c r="H329" s="62" t="e">
        <f t="shared" si="63"/>
        <v>#DIV/0!</v>
      </c>
      <c r="I329" s="62" t="e">
        <f t="shared" si="64"/>
        <v>#DIV/0!</v>
      </c>
      <c r="J329" s="63"/>
      <c r="K329" s="63"/>
      <c r="L329" s="63"/>
      <c r="M329" s="63"/>
      <c r="N329" s="63"/>
      <c r="O329" s="63"/>
      <c r="P329" s="63"/>
      <c r="Q329" s="63"/>
    </row>
    <row r="330" spans="2:17" x14ac:dyDescent="0.3">
      <c r="B330" s="63"/>
      <c r="C330" s="73">
        <f t="shared" si="66"/>
        <v>215000</v>
      </c>
      <c r="D330" s="62" t="e">
        <f t="shared" si="59"/>
        <v>#DIV/0!</v>
      </c>
      <c r="E330" s="62" t="e">
        <f t="shared" si="60"/>
        <v>#DIV/0!</v>
      </c>
      <c r="F330" s="62">
        <f t="shared" si="61"/>
        <v>-7.4682537871615304</v>
      </c>
      <c r="G330" s="67">
        <f t="shared" si="62"/>
        <v>-22.823295097129538</v>
      </c>
      <c r="H330" s="62" t="e">
        <f t="shared" si="63"/>
        <v>#DIV/0!</v>
      </c>
      <c r="I330" s="62" t="e">
        <f t="shared" si="64"/>
        <v>#DIV/0!</v>
      </c>
      <c r="J330" s="63"/>
      <c r="K330" s="63"/>
      <c r="L330" s="63"/>
      <c r="M330" s="63"/>
      <c r="N330" s="63"/>
      <c r="O330" s="63"/>
      <c r="P330" s="63"/>
      <c r="Q330" s="63"/>
    </row>
    <row r="331" spans="2:17" x14ac:dyDescent="0.3">
      <c r="B331" s="63"/>
      <c r="C331" s="73">
        <f t="shared" si="66"/>
        <v>220000</v>
      </c>
      <c r="D331" s="62" t="e">
        <f t="shared" si="59"/>
        <v>#DIV/0!</v>
      </c>
      <c r="E331" s="62" t="e">
        <f t="shared" si="60"/>
        <v>#DIV/0!</v>
      </c>
      <c r="F331" s="62">
        <f t="shared" si="61"/>
        <v>-7.496487972697361</v>
      </c>
      <c r="G331" s="67">
        <f t="shared" si="62"/>
        <v>-23.259376949060066</v>
      </c>
      <c r="H331" s="62" t="e">
        <f t="shared" si="63"/>
        <v>#DIV/0!</v>
      </c>
      <c r="I331" s="62" t="e">
        <f t="shared" si="64"/>
        <v>#DIV/0!</v>
      </c>
      <c r="J331" s="63"/>
      <c r="K331" s="63"/>
      <c r="L331" s="63"/>
      <c r="M331" s="63"/>
      <c r="N331" s="63"/>
      <c r="O331" s="63"/>
      <c r="P331" s="63"/>
      <c r="Q331" s="63"/>
    </row>
    <row r="332" spans="2:17" x14ac:dyDescent="0.3">
      <c r="B332" s="73"/>
      <c r="C332" s="73">
        <f t="shared" si="66"/>
        <v>225000</v>
      </c>
      <c r="D332" s="62" t="e">
        <f t="shared" si="59"/>
        <v>#DIV/0!</v>
      </c>
      <c r="E332" s="62" t="e">
        <f t="shared" si="60"/>
        <v>#DIV/0!</v>
      </c>
      <c r="F332" s="62">
        <f t="shared" si="61"/>
        <v>-7.5251781405147238</v>
      </c>
      <c r="G332" s="67">
        <f t="shared" si="62"/>
        <v>-23.693467388846855</v>
      </c>
      <c r="H332" s="62" t="e">
        <f t="shared" si="63"/>
        <v>#DIV/0!</v>
      </c>
      <c r="I332" s="62" t="e">
        <f t="shared" si="64"/>
        <v>#DIV/0!</v>
      </c>
      <c r="J332" s="74"/>
      <c r="K332" s="73"/>
      <c r="L332" s="73"/>
      <c r="M332" s="73"/>
      <c r="N332" s="73"/>
      <c r="O332" s="73"/>
      <c r="P332" s="73"/>
      <c r="Q332" s="63"/>
    </row>
    <row r="333" spans="2:17" x14ac:dyDescent="0.3">
      <c r="B333" s="73"/>
      <c r="C333" s="73">
        <f t="shared" si="66"/>
        <v>230000</v>
      </c>
      <c r="D333" s="62" t="e">
        <f t="shared" si="59"/>
        <v>#DIV/0!</v>
      </c>
      <c r="E333" s="62" t="e">
        <f t="shared" si="60"/>
        <v>#DIV/0!</v>
      </c>
      <c r="F333" s="62">
        <f t="shared" si="61"/>
        <v>-7.5543143815534961</v>
      </c>
      <c r="G333" s="67">
        <f t="shared" si="62"/>
        <v>-24.125473455885608</v>
      </c>
      <c r="H333" s="62" t="e">
        <f t="shared" si="63"/>
        <v>#DIV/0!</v>
      </c>
      <c r="I333" s="62" t="e">
        <f t="shared" si="64"/>
        <v>#DIV/0!</v>
      </c>
      <c r="J333" s="74"/>
      <c r="K333" s="73"/>
      <c r="L333" s="73"/>
      <c r="M333" s="73"/>
      <c r="N333" s="73"/>
      <c r="O333" s="73"/>
      <c r="P333" s="73"/>
      <c r="Q333" s="63"/>
    </row>
    <row r="334" spans="2:17" x14ac:dyDescent="0.3">
      <c r="B334" s="73"/>
      <c r="C334" s="73">
        <f t="shared" si="66"/>
        <v>235000</v>
      </c>
      <c r="D334" s="62" t="e">
        <f t="shared" si="59"/>
        <v>#DIV/0!</v>
      </c>
      <c r="E334" s="62" t="e">
        <f t="shared" si="60"/>
        <v>#DIV/0!</v>
      </c>
      <c r="F334" s="62">
        <f t="shared" si="61"/>
        <v>-7.5838867569999815</v>
      </c>
      <c r="G334" s="67">
        <f t="shared" si="62"/>
        <v>-24.555309598831528</v>
      </c>
      <c r="H334" s="62" t="e">
        <f t="shared" si="63"/>
        <v>#DIV/0!</v>
      </c>
      <c r="I334" s="62" t="e">
        <f t="shared" si="64"/>
        <v>#DIV/0!</v>
      </c>
      <c r="J334" s="74"/>
      <c r="K334" s="73"/>
      <c r="L334" s="73"/>
      <c r="M334" s="73"/>
      <c r="N334" s="73"/>
      <c r="O334" s="73"/>
      <c r="P334" s="73"/>
      <c r="Q334" s="63"/>
    </row>
    <row r="335" spans="2:17" x14ac:dyDescent="0.3">
      <c r="B335" s="73"/>
      <c r="C335" s="73">
        <f t="shared" si="66"/>
        <v>240000</v>
      </c>
      <c r="D335" s="62" t="e">
        <f t="shared" si="59"/>
        <v>#DIV/0!</v>
      </c>
      <c r="E335" s="62" t="e">
        <f t="shared" si="60"/>
        <v>#DIV/0!</v>
      </c>
      <c r="F335" s="62">
        <f t="shared" si="61"/>
        <v>-7.6138853113561105</v>
      </c>
      <c r="G335" s="67">
        <f t="shared" si="62"/>
        <v>-24.982897072438398</v>
      </c>
      <c r="H335" s="62" t="e">
        <f t="shared" si="63"/>
        <v>#DIV/0!</v>
      </c>
      <c r="I335" s="62" t="e">
        <f t="shared" si="64"/>
        <v>#DIV/0!</v>
      </c>
      <c r="J335" s="74"/>
      <c r="K335" s="73"/>
      <c r="L335" s="73"/>
      <c r="M335" s="73"/>
      <c r="N335" s="73"/>
      <c r="O335" s="73"/>
      <c r="P335" s="73"/>
      <c r="Q335" s="63"/>
    </row>
    <row r="336" spans="2:17" x14ac:dyDescent="0.3">
      <c r="B336" s="73"/>
      <c r="C336" s="73">
        <f t="shared" si="66"/>
        <v>245000</v>
      </c>
      <c r="D336" s="62" t="e">
        <f t="shared" si="59"/>
        <v>#DIV/0!</v>
      </c>
      <c r="E336" s="62" t="e">
        <f t="shared" si="60"/>
        <v>#DIV/0!</v>
      </c>
      <c r="F336" s="62">
        <f t="shared" si="61"/>
        <v>-7.6443000845922215</v>
      </c>
      <c r="G336" s="67">
        <f t="shared" si="62"/>
        <v>-25.408163403152404</v>
      </c>
      <c r="H336" s="62" t="e">
        <f t="shared" si="63"/>
        <v>#DIV/0!</v>
      </c>
      <c r="I336" s="62" t="e">
        <f t="shared" si="64"/>
        <v>#DIV/0!</v>
      </c>
      <c r="J336" s="74"/>
      <c r="K336" s="73"/>
      <c r="L336" s="73"/>
      <c r="M336" s="73"/>
      <c r="N336" s="73"/>
      <c r="O336" s="73"/>
      <c r="P336" s="73"/>
      <c r="Q336" s="63"/>
    </row>
    <row r="337" spans="2:17" x14ac:dyDescent="0.3">
      <c r="B337" s="73"/>
      <c r="C337" s="73">
        <f t="shared" si="66"/>
        <v>250000</v>
      </c>
      <c r="D337" s="62" t="e">
        <f t="shared" si="59"/>
        <v>#DIV/0!</v>
      </c>
      <c r="E337" s="62" t="e">
        <f t="shared" si="60"/>
        <v>#DIV/0!</v>
      </c>
      <c r="F337" s="62">
        <f t="shared" si="61"/>
        <v>-7.6751211234732946</v>
      </c>
      <c r="G337" s="67">
        <f t="shared" si="62"/>
        <v>-25.83104191372685</v>
      </c>
      <c r="H337" s="62" t="e">
        <f t="shared" si="63"/>
        <v>#DIV/0!</v>
      </c>
      <c r="I337" s="62" t="e">
        <f t="shared" si="64"/>
        <v>#DIV/0!</v>
      </c>
      <c r="J337" s="74"/>
      <c r="K337" s="73"/>
      <c r="L337" s="73"/>
      <c r="M337" s="73"/>
      <c r="N337" s="73"/>
      <c r="O337" s="73"/>
      <c r="P337" s="73"/>
      <c r="Q337" s="63"/>
    </row>
    <row r="338" spans="2:17" x14ac:dyDescent="0.3">
      <c r="B338" s="73"/>
      <c r="C338" s="73">
        <f t="shared" si="66"/>
        <v>255000</v>
      </c>
      <c r="D338" s="62" t="e">
        <f t="shared" ref="D338:D401" si="67">20*LOG(Am*IMABS(IMDIV(IMDIV(IMDIV(IMPRODUCT( COMPLEX(1,C338/Fzesr),COMPLEX(1,-C338/Frhp) ),COMPLEX(1,C338/Flp) ),COMPLEX(1,C338/Fesrp) ),COMPLEX(1-C338^2/(Fdp^2),C338/Fsp) )))</f>
        <v>#DIV/0!</v>
      </c>
      <c r="E338" s="62" t="e">
        <f t="shared" ref="E338:E401" si="68">IMARGUMENT(IMDIV(IMDIV(IMDIV(IMPRODUCT( COMPLEX(1,C338/Fzesr),COMPLEX(1,-C338/Frhp) ),COMPLEX(1,C338/Flp) ),COMPLEX(1,C338/Fesrp) ),COMPLEX(1-C338^2/(Fdp^2),C338/Fsp) ))*180/pi</f>
        <v>#DIV/0!</v>
      </c>
      <c r="F338" s="62">
        <f t="shared" ref="F338:F401" si="69">20*LOG(Afb*IMABS(IMDIV(IMDIV(COMPLEX(1,C338/Fzea),COMPLEX(1,C338/Fpea)),COMPLEX(0,2*3.14*C338))))</f>
        <v>-7.7063384921335505</v>
      </c>
      <c r="G338" s="67">
        <f t="shared" ref="G338:G401" si="70">IMARGUMENT(IMDIV(IMDIV(COMPLEX(1,C338/Fzea),COMPLEX(1,C338/Fpea)),COMPLEX(0,2*3.14*C338)))*180/pi</f>
        <v>-26.25147129866583</v>
      </c>
      <c r="H338" s="62" t="e">
        <f t="shared" ref="H338:H401" si="71">D338+F338</f>
        <v>#DIV/0!</v>
      </c>
      <c r="I338" s="62" t="e">
        <f t="shared" ref="I338:I401" si="72">E338+G338</f>
        <v>#DIV/0!</v>
      </c>
      <c r="J338" s="74"/>
      <c r="K338" s="73"/>
      <c r="L338" s="73"/>
      <c r="M338" s="73"/>
      <c r="N338" s="73"/>
      <c r="O338" s="73"/>
      <c r="P338" s="73"/>
      <c r="Q338" s="63"/>
    </row>
    <row r="339" spans="2:17" x14ac:dyDescent="0.3">
      <c r="B339" s="73"/>
      <c r="C339" s="73">
        <f t="shared" si="66"/>
        <v>260000</v>
      </c>
      <c r="D339" s="62" t="e">
        <f t="shared" si="67"/>
        <v>#DIV/0!</v>
      </c>
      <c r="E339" s="62" t="e">
        <f t="shared" si="68"/>
        <v>#DIV/0!</v>
      </c>
      <c r="F339" s="62">
        <f t="shared" si="69"/>
        <v>-7.7379422819615975</v>
      </c>
      <c r="G339" s="67">
        <f t="shared" si="70"/>
        <v>-26.669395243586681</v>
      </c>
      <c r="H339" s="62" t="e">
        <f t="shared" si="71"/>
        <v>#DIV/0!</v>
      </c>
      <c r="I339" s="62" t="e">
        <f t="shared" si="72"/>
        <v>#DIV/0!</v>
      </c>
      <c r="J339" s="74"/>
      <c r="K339" s="73"/>
      <c r="L339" s="73"/>
      <c r="M339" s="73"/>
      <c r="N339" s="73"/>
      <c r="O339" s="73"/>
      <c r="P339" s="73"/>
      <c r="Q339" s="63"/>
    </row>
    <row r="340" spans="2:17" x14ac:dyDescent="0.3">
      <c r="B340" s="73"/>
      <c r="C340" s="73">
        <f t="shared" si="66"/>
        <v>265000</v>
      </c>
      <c r="D340" s="62" t="e">
        <f t="shared" si="67"/>
        <v>#DIV/0!</v>
      </c>
      <c r="E340" s="62" t="e">
        <f t="shared" si="68"/>
        <v>#DIV/0!</v>
      </c>
      <c r="F340" s="62">
        <f t="shared" si="69"/>
        <v>-7.7699226208476482</v>
      </c>
      <c r="G340" s="67">
        <f t="shared" si="70"/>
        <v>-27.084762082647241</v>
      </c>
      <c r="H340" s="62" t="e">
        <f t="shared" si="71"/>
        <v>#DIV/0!</v>
      </c>
      <c r="I340" s="62" t="e">
        <f t="shared" si="72"/>
        <v>#DIV/0!</v>
      </c>
      <c r="J340" s="74"/>
      <c r="K340" s="73"/>
      <c r="L340" s="73"/>
      <c r="M340" s="73"/>
      <c r="N340" s="73"/>
      <c r="O340" s="73"/>
      <c r="P340" s="73"/>
      <c r="Q340" s="63"/>
    </row>
    <row r="341" spans="2:17" x14ac:dyDescent="0.3">
      <c r="B341" s="73"/>
      <c r="C341" s="73">
        <f t="shared" si="66"/>
        <v>270000</v>
      </c>
      <c r="D341" s="62" t="e">
        <f t="shared" si="67"/>
        <v>#DIV/0!</v>
      </c>
      <c r="E341" s="62" t="e">
        <f t="shared" si="68"/>
        <v>#DIV/0!</v>
      </c>
      <c r="F341" s="62">
        <f t="shared" si="69"/>
        <v>-7.8022696818381796</v>
      </c>
      <c r="G341" s="67">
        <f t="shared" si="70"/>
        <v>-27.497524489069061</v>
      </c>
      <c r="H341" s="62" t="e">
        <f t="shared" si="71"/>
        <v>#DIV/0!</v>
      </c>
      <c r="I341" s="62" t="e">
        <f t="shared" si="72"/>
        <v>#DIV/0!</v>
      </c>
      <c r="J341" s="74"/>
      <c r="K341" s="73"/>
      <c r="L341" s="73"/>
      <c r="M341" s="73"/>
      <c r="N341" s="73"/>
      <c r="O341" s="73"/>
      <c r="P341" s="73"/>
      <c r="Q341" s="63"/>
    </row>
    <row r="342" spans="2:17" x14ac:dyDescent="0.3">
      <c r="B342" s="73"/>
      <c r="C342" s="73">
        <f t="shared" si="66"/>
        <v>275000</v>
      </c>
      <c r="D342" s="62" t="e">
        <f t="shared" si="67"/>
        <v>#DIV/0!</v>
      </c>
      <c r="E342" s="62" t="e">
        <f t="shared" si="68"/>
        <v>#DIV/0!</v>
      </c>
      <c r="F342" s="62">
        <f t="shared" si="69"/>
        <v>-7.834973691235156</v>
      </c>
      <c r="G342" s="67">
        <f t="shared" si="70"/>
        <v>-27.907639194524783</v>
      </c>
      <c r="H342" s="62" t="e">
        <f t="shared" si="71"/>
        <v>#DIV/0!</v>
      </c>
      <c r="I342" s="62" t="e">
        <f t="shared" si="72"/>
        <v>#DIV/0!</v>
      </c>
      <c r="J342" s="74"/>
      <c r="K342" s="73"/>
      <c r="L342" s="73"/>
      <c r="M342" s="73"/>
      <c r="N342" s="73"/>
      <c r="O342" s="73"/>
      <c r="P342" s="73"/>
      <c r="Q342" s="63"/>
    </row>
    <row r="343" spans="2:17" x14ac:dyDescent="0.3">
      <c r="B343" s="73"/>
      <c r="C343" s="73">
        <f t="shared" si="66"/>
        <v>280000</v>
      </c>
      <c r="D343" s="62" t="e">
        <f t="shared" si="67"/>
        <v>#DIV/0!</v>
      </c>
      <c r="E343" s="62" t="e">
        <f t="shared" si="68"/>
        <v>#DIV/0!</v>
      </c>
      <c r="F343" s="62">
        <f t="shared" si="69"/>
        <v>-7.8680249361730805</v>
      </c>
      <c r="G343" s="67">
        <f t="shared" si="70"/>
        <v>-28.315066733776852</v>
      </c>
      <c r="H343" s="62" t="e">
        <f t="shared" si="71"/>
        <v>#DIV/0!</v>
      </c>
      <c r="I343" s="62" t="e">
        <f t="shared" si="72"/>
        <v>#DIV/0!</v>
      </c>
      <c r="J343" s="74"/>
      <c r="K343" s="73"/>
      <c r="L343" s="73"/>
      <c r="M343" s="73"/>
      <c r="N343" s="73"/>
      <c r="O343" s="73"/>
      <c r="P343" s="73"/>
      <c r="Q343" s="63"/>
    </row>
    <row r="344" spans="2:17" x14ac:dyDescent="0.3">
      <c r="B344" s="73"/>
      <c r="C344" s="73">
        <f t="shared" si="66"/>
        <v>285000</v>
      </c>
      <c r="D344" s="62" t="e">
        <f t="shared" si="67"/>
        <v>#DIV/0!</v>
      </c>
      <c r="E344" s="62" t="e">
        <f t="shared" si="68"/>
        <v>#DIV/0!</v>
      </c>
      <c r="F344" s="62">
        <f t="shared" si="69"/>
        <v>-7.90141377170238</v>
      </c>
      <c r="G344" s="67">
        <f t="shared" si="70"/>
        <v>-28.719771211471532</v>
      </c>
      <c r="H344" s="62" t="e">
        <f t="shared" si="71"/>
        <v>#DIV/0!</v>
      </c>
      <c r="I344" s="62" t="e">
        <f t="shared" si="72"/>
        <v>#DIV/0!</v>
      </c>
      <c r="J344" s="74"/>
      <c r="K344" s="73"/>
      <c r="L344" s="73"/>
      <c r="M344" s="73"/>
      <c r="N344" s="73"/>
      <c r="O344" s="73"/>
      <c r="P344" s="73"/>
      <c r="Q344" s="63"/>
    </row>
    <row r="345" spans="2:17" x14ac:dyDescent="0.3">
      <c r="B345" s="73"/>
      <c r="C345" s="73">
        <f t="shared" si="66"/>
        <v>290000</v>
      </c>
      <c r="D345" s="62" t="e">
        <f t="shared" si="67"/>
        <v>#DIV/0!</v>
      </c>
      <c r="E345" s="62" t="e">
        <f t="shared" si="68"/>
        <v>#DIV/0!</v>
      </c>
      <c r="F345" s="62">
        <f t="shared" si="69"/>
        <v>-7.9351306274047042</v>
      </c>
      <c r="G345" s="67">
        <f t="shared" si="70"/>
        <v>-29.121720088438035</v>
      </c>
      <c r="H345" s="62" t="e">
        <f t="shared" si="71"/>
        <v>#DIV/0!</v>
      </c>
      <c r="I345" s="62" t="e">
        <f t="shared" si="72"/>
        <v>#DIV/0!</v>
      </c>
      <c r="J345" s="74"/>
      <c r="K345" s="73"/>
      <c r="L345" s="73"/>
      <c r="M345" s="73"/>
      <c r="N345" s="73"/>
      <c r="O345" s="73"/>
      <c r="P345" s="73"/>
      <c r="Q345" s="63"/>
    </row>
    <row r="346" spans="2:17" x14ac:dyDescent="0.3">
      <c r="B346" s="73"/>
      <c r="C346" s="73">
        <f t="shared" si="66"/>
        <v>295000</v>
      </c>
      <c r="D346" s="62" t="e">
        <f t="shared" si="67"/>
        <v>#DIV/0!</v>
      </c>
      <c r="E346" s="62" t="e">
        <f t="shared" si="68"/>
        <v>#DIV/0!</v>
      </c>
      <c r="F346" s="62">
        <f t="shared" si="69"/>
        <v>-7.9691660135626208</v>
      </c>
      <c r="G346" s="67">
        <f t="shared" si="70"/>
        <v>-29.520883985203991</v>
      </c>
      <c r="H346" s="62" t="e">
        <f t="shared" si="71"/>
        <v>#DIV/0!</v>
      </c>
      <c r="I346" s="62" t="e">
        <f t="shared" si="72"/>
        <v>#DIV/0!</v>
      </c>
      <c r="J346" s="74"/>
      <c r="K346" s="73"/>
      <c r="L346" s="73"/>
      <c r="M346" s="73"/>
      <c r="N346" s="73"/>
      <c r="O346" s="73"/>
      <c r="P346" s="73"/>
      <c r="Q346" s="63"/>
    </row>
    <row r="347" spans="2:17" x14ac:dyDescent="0.3">
      <c r="B347" s="73"/>
      <c r="C347" s="73">
        <f t="shared" si="66"/>
        <v>300000</v>
      </c>
      <c r="D347" s="62" t="e">
        <f t="shared" si="67"/>
        <v>#DIV/0!</v>
      </c>
      <c r="E347" s="62" t="e">
        <f t="shared" si="68"/>
        <v>#DIV/0!</v>
      </c>
      <c r="F347" s="62">
        <f t="shared" si="69"/>
        <v>-8.0035105269044582</v>
      </c>
      <c r="G347" s="67">
        <f t="shared" si="70"/>
        <v>-29.917236500761948</v>
      </c>
      <c r="H347" s="62" t="e">
        <f t="shared" si="71"/>
        <v>#DIV/0!</v>
      </c>
      <c r="I347" s="62" t="e">
        <f t="shared" si="72"/>
        <v>#DIV/0!</v>
      </c>
      <c r="J347" s="74"/>
      <c r="K347" s="73"/>
      <c r="L347" s="73"/>
      <c r="M347" s="73"/>
      <c r="N347" s="73"/>
      <c r="O347" s="73"/>
      <c r="P347" s="73"/>
      <c r="Q347" s="63"/>
    </row>
    <row r="348" spans="2:17" x14ac:dyDescent="0.3">
      <c r="B348" s="73"/>
      <c r="C348" s="73">
        <f t="shared" si="66"/>
        <v>305000</v>
      </c>
      <c r="D348" s="62" t="e">
        <f t="shared" si="67"/>
        <v>#DIV/0!</v>
      </c>
      <c r="E348" s="62" t="e">
        <f t="shared" si="68"/>
        <v>#DIV/0!</v>
      </c>
      <c r="F348" s="62">
        <f t="shared" si="69"/>
        <v>-8.0381548559430591</v>
      </c>
      <c r="G348" s="67">
        <f t="shared" si="70"/>
        <v>-30.310754044883435</v>
      </c>
      <c r="H348" s="62" t="e">
        <f t="shared" si="71"/>
        <v>#DIV/0!</v>
      </c>
      <c r="I348" s="62" t="e">
        <f t="shared" si="72"/>
        <v>#DIV/0!</v>
      </c>
      <c r="J348" s="74"/>
      <c r="K348" s="73"/>
      <c r="L348" s="73"/>
      <c r="M348" s="73"/>
      <c r="N348" s="73"/>
      <c r="O348" s="73"/>
      <c r="P348" s="73"/>
      <c r="Q348" s="63"/>
    </row>
    <row r="349" spans="2:17" x14ac:dyDescent="0.3">
      <c r="B349" s="73"/>
      <c r="C349" s="73">
        <f t="shared" si="66"/>
        <v>310000</v>
      </c>
      <c r="D349" s="62" t="e">
        <f t="shared" si="67"/>
        <v>#DIV/0!</v>
      </c>
      <c r="E349" s="62" t="e">
        <f t="shared" si="68"/>
        <v>#DIV/0!</v>
      </c>
      <c r="F349" s="62">
        <f t="shared" si="69"/>
        <v>-8.0730897859255251</v>
      </c>
      <c r="G349" s="67">
        <f t="shared" si="70"/>
        <v>-30.701415682507612</v>
      </c>
      <c r="H349" s="62" t="e">
        <f t="shared" si="71"/>
        <v>#DIV/0!</v>
      </c>
      <c r="I349" s="62" t="e">
        <f t="shared" si="72"/>
        <v>#DIV/0!</v>
      </c>
      <c r="J349" s="74"/>
      <c r="K349" s="73"/>
      <c r="L349" s="73"/>
      <c r="M349" s="73"/>
      <c r="N349" s="73"/>
      <c r="O349" s="73"/>
      <c r="P349" s="73"/>
      <c r="Q349" s="63"/>
    </row>
    <row r="350" spans="2:17" x14ac:dyDescent="0.3">
      <c r="B350" s="73"/>
      <c r="C350" s="73">
        <f t="shared" si="66"/>
        <v>315000</v>
      </c>
      <c r="D350" s="62" t="e">
        <f t="shared" si="67"/>
        <v>#DIV/0!</v>
      </c>
      <c r="E350" s="62" t="e">
        <f t="shared" si="68"/>
        <v>#DIV/0!</v>
      </c>
      <c r="F350" s="62">
        <f t="shared" si="69"/>
        <v>-8.1083062034107236</v>
      </c>
      <c r="G350" s="67">
        <f t="shared" si="70"/>
        <v>-31.089202988924637</v>
      </c>
      <c r="H350" s="62" t="e">
        <f t="shared" si="71"/>
        <v>#DIV/0!</v>
      </c>
      <c r="I350" s="62" t="e">
        <f t="shared" si="72"/>
        <v>#DIV/0!</v>
      </c>
      <c r="J350" s="74"/>
      <c r="K350" s="73"/>
      <c r="L350" s="73"/>
      <c r="M350" s="73"/>
      <c r="N350" s="73"/>
      <c r="O350" s="73"/>
      <c r="P350" s="73"/>
      <c r="Q350" s="63"/>
    </row>
    <row r="351" spans="2:17" x14ac:dyDescent="0.3">
      <c r="B351" s="73"/>
      <c r="C351" s="73">
        <f t="shared" si="66"/>
        <v>320000</v>
      </c>
      <c r="D351" s="62" t="e">
        <f t="shared" si="67"/>
        <v>#DIV/0!</v>
      </c>
      <c r="E351" s="62" t="e">
        <f t="shared" si="68"/>
        <v>#DIV/0!</v>
      </c>
      <c r="F351" s="62">
        <f t="shared" si="69"/>
        <v>-8.143795100489136</v>
      </c>
      <c r="G351" s="67">
        <f t="shared" si="70"/>
        <v>-31.474099914642913</v>
      </c>
      <c r="H351" s="62" t="e">
        <f t="shared" si="71"/>
        <v>#DIV/0!</v>
      </c>
      <c r="I351" s="62" t="e">
        <f t="shared" si="72"/>
        <v>#DIV/0!</v>
      </c>
      <c r="J351" s="74"/>
      <c r="K351" s="73"/>
      <c r="L351" s="73"/>
      <c r="M351" s="73"/>
      <c r="N351" s="73"/>
      <c r="O351" s="73"/>
      <c r="P351" s="73"/>
      <c r="Q351" s="63"/>
    </row>
    <row r="352" spans="2:17" x14ac:dyDescent="0.3">
      <c r="B352" s="73"/>
      <c r="C352" s="73">
        <f t="shared" si="66"/>
        <v>325000</v>
      </c>
      <c r="D352" s="62" t="e">
        <f t="shared" si="67"/>
        <v>#DIV/0!</v>
      </c>
      <c r="E352" s="62" t="e">
        <f t="shared" si="68"/>
        <v>#DIV/0!</v>
      </c>
      <c r="F352" s="62">
        <f t="shared" si="69"/>
        <v>-8.1795475786601788</v>
      </c>
      <c r="G352" s="67">
        <f t="shared" si="70"/>
        <v>-31.856092658969505</v>
      </c>
      <c r="H352" s="62" t="e">
        <f t="shared" si="71"/>
        <v>#DIV/0!</v>
      </c>
      <c r="I352" s="62" t="e">
        <f t="shared" si="72"/>
        <v>#DIV/0!</v>
      </c>
      <c r="J352" s="74"/>
      <c r="K352" s="73"/>
      <c r="L352" s="73"/>
      <c r="M352" s="73"/>
      <c r="N352" s="73"/>
      <c r="O352" s="73"/>
      <c r="P352" s="73"/>
      <c r="Q352" s="63"/>
    </row>
    <row r="353" spans="2:17" x14ac:dyDescent="0.3">
      <c r="B353" s="73"/>
      <c r="C353" s="73">
        <f t="shared" si="66"/>
        <v>330000</v>
      </c>
      <c r="D353" s="62" t="e">
        <f t="shared" si="67"/>
        <v>#DIV/0!</v>
      </c>
      <c r="E353" s="62" t="e">
        <f t="shared" si="68"/>
        <v>#DIV/0!</v>
      </c>
      <c r="F353" s="62">
        <f t="shared" si="69"/>
        <v>-8.2155548523802011</v>
      </c>
      <c r="G353" s="67">
        <f t="shared" si="70"/>
        <v>-32.235169551458938</v>
      </c>
      <c r="H353" s="62" t="e">
        <f t="shared" si="71"/>
        <v>#DIV/0!</v>
      </c>
      <c r="I353" s="62" t="e">
        <f t="shared" si="72"/>
        <v>#DIV/0!</v>
      </c>
      <c r="J353" s="74"/>
      <c r="K353" s="73"/>
      <c r="L353" s="73"/>
      <c r="M353" s="73"/>
      <c r="N353" s="73"/>
      <c r="O353" s="73"/>
      <c r="P353" s="73"/>
      <c r="Q353" s="63"/>
    </row>
    <row r="354" spans="2:17" x14ac:dyDescent="0.3">
      <c r="B354" s="73"/>
      <c r="C354" s="73">
        <f t="shared" si="66"/>
        <v>335000</v>
      </c>
      <c r="D354" s="62" t="e">
        <f t="shared" si="67"/>
        <v>#DIV/0!</v>
      </c>
      <c r="E354" s="62" t="e">
        <f t="shared" si="68"/>
        <v>#DIV/0!</v>
      </c>
      <c r="F354" s="62">
        <f t="shared" si="69"/>
        <v>-8.2518082522949268</v>
      </c>
      <c r="G354" s="67">
        <f t="shared" si="70"/>
        <v>-32.611320940486678</v>
      </c>
      <c r="H354" s="62" t="e">
        <f t="shared" si="71"/>
        <v>#DIV/0!</v>
      </c>
      <c r="I354" s="62" t="e">
        <f t="shared" si="72"/>
        <v>#DIV/0!</v>
      </c>
      <c r="J354" s="74"/>
      <c r="K354" s="73"/>
      <c r="L354" s="73"/>
      <c r="M354" s="73"/>
      <c r="N354" s="73"/>
      <c r="O354" s="73"/>
      <c r="P354" s="73"/>
      <c r="Q354" s="63"/>
    </row>
    <row r="355" spans="2:17" x14ac:dyDescent="0.3">
      <c r="B355" s="73"/>
      <c r="C355" s="73">
        <f t="shared" si="66"/>
        <v>340000</v>
      </c>
      <c r="D355" s="62" t="e">
        <f t="shared" si="67"/>
        <v>#DIV/0!</v>
      </c>
      <c r="E355" s="62" t="e">
        <f t="shared" si="68"/>
        <v>#DIV/0!</v>
      </c>
      <c r="F355" s="62">
        <f t="shared" si="69"/>
        <v>-8.2882992281688441</v>
      </c>
      <c r="G355" s="67">
        <f t="shared" si="70"/>
        <v>-32.984539088302093</v>
      </c>
      <c r="H355" s="62" t="e">
        <f t="shared" si="71"/>
        <v>#DIV/0!</v>
      </c>
      <c r="I355" s="62" t="e">
        <f t="shared" si="72"/>
        <v>#DIV/0!</v>
      </c>
      <c r="J355" s="74"/>
      <c r="K355" s="73"/>
      <c r="L355" s="73"/>
      <c r="M355" s="73"/>
      <c r="N355" s="73"/>
      <c r="O355" s="73"/>
      <c r="P355" s="73"/>
      <c r="Q355" s="63"/>
    </row>
    <row r="356" spans="2:17" x14ac:dyDescent="0.3">
      <c r="B356" s="73"/>
      <c r="C356" s="73">
        <f t="shared" si="66"/>
        <v>345000</v>
      </c>
      <c r="D356" s="62" t="e">
        <f t="shared" si="67"/>
        <v>#DIV/0!</v>
      </c>
      <c r="E356" s="62" t="e">
        <f t="shared" si="68"/>
        <v>#DIV/0!</v>
      </c>
      <c r="F356" s="62">
        <f t="shared" si="69"/>
        <v>-8.3250193515241673</v>
      </c>
      <c r="G356" s="67">
        <f t="shared" si="70"/>
        <v>-33.354818071986337</v>
      </c>
      <c r="H356" s="62" t="e">
        <f t="shared" si="71"/>
        <v>#DIV/0!</v>
      </c>
      <c r="I356" s="62" t="e">
        <f t="shared" si="72"/>
        <v>#DIV/0!</v>
      </c>
      <c r="J356" s="74"/>
      <c r="K356" s="73"/>
      <c r="L356" s="73"/>
      <c r="M356" s="73"/>
      <c r="N356" s="73"/>
      <c r="O356" s="73"/>
      <c r="P356" s="73"/>
      <c r="Q356" s="63"/>
    </row>
    <row r="357" spans="2:17" x14ac:dyDescent="0.3">
      <c r="B357" s="73"/>
      <c r="C357" s="73">
        <f t="shared" si="66"/>
        <v>350000</v>
      </c>
      <c r="D357" s="62" t="e">
        <f t="shared" si="67"/>
        <v>#DIV/0!</v>
      </c>
      <c r="E357" s="62" t="e">
        <f t="shared" si="68"/>
        <v>#DIV/0!</v>
      </c>
      <c r="F357" s="62">
        <f t="shared" si="69"/>
        <v>-8.3619603180012252</v>
      </c>
      <c r="G357" s="67">
        <f t="shared" si="70"/>
        <v>-33.72215368981449</v>
      </c>
      <c r="H357" s="62" t="e">
        <f t="shared" si="71"/>
        <v>#DIV/0!</v>
      </c>
      <c r="I357" s="62" t="e">
        <f t="shared" si="72"/>
        <v>#DIV/0!</v>
      </c>
      <c r="J357" s="74"/>
      <c r="K357" s="73"/>
      <c r="L357" s="73"/>
      <c r="M357" s="73"/>
      <c r="N357" s="73"/>
      <c r="O357" s="73"/>
      <c r="P357" s="73"/>
      <c r="Q357" s="63"/>
    </row>
    <row r="358" spans="2:17" x14ac:dyDescent="0.3">
      <c r="B358" s="73"/>
      <c r="C358" s="73">
        <f t="shared" si="66"/>
        <v>355000</v>
      </c>
      <c r="D358" s="62" t="e">
        <f t="shared" si="67"/>
        <v>#DIV/0!</v>
      </c>
      <c r="E358" s="62" t="e">
        <f t="shared" si="68"/>
        <v>#DIV/0!</v>
      </c>
      <c r="F358" s="62">
        <f t="shared" si="69"/>
        <v>-8.399113949452234</v>
      </c>
      <c r="G358" s="67">
        <f t="shared" si="70"/>
        <v>-34.086543372578319</v>
      </c>
      <c r="H358" s="62" t="e">
        <f t="shared" si="71"/>
        <v>#DIV/0!</v>
      </c>
      <c r="I358" s="62" t="e">
        <f t="shared" si="72"/>
        <v>#DIV/0!</v>
      </c>
      <c r="J358" s="74"/>
      <c r="K358" s="73"/>
      <c r="L358" s="73"/>
      <c r="M358" s="73"/>
      <c r="N358" s="73"/>
      <c r="O358" s="73"/>
      <c r="P358" s="73"/>
      <c r="Q358" s="63"/>
    </row>
    <row r="359" spans="2:17" x14ac:dyDescent="0.3">
      <c r="B359" s="73"/>
      <c r="C359" s="73">
        <f t="shared" si="66"/>
        <v>360000</v>
      </c>
      <c r="D359" s="62" t="e">
        <f t="shared" si="67"/>
        <v>#DIV/0!</v>
      </c>
      <c r="E359" s="62" t="e">
        <f t="shared" si="68"/>
        <v>#DIV/0!</v>
      </c>
      <c r="F359" s="62">
        <f t="shared" si="69"/>
        <v>-8.4364721957796078</v>
      </c>
      <c r="G359" s="67">
        <f t="shared" si="70"/>
        <v>-34.447986099476921</v>
      </c>
      <c r="H359" s="62" t="e">
        <f t="shared" si="71"/>
        <v>#DIV/0!</v>
      </c>
      <c r="I359" s="62" t="e">
        <f t="shared" si="72"/>
        <v>#DIV/0!</v>
      </c>
      <c r="J359" s="74"/>
      <c r="K359" s="73"/>
      <c r="L359" s="73"/>
      <c r="M359" s="73"/>
      <c r="N359" s="73"/>
      <c r="O359" s="73"/>
      <c r="P359" s="73"/>
      <c r="Q359" s="63"/>
    </row>
    <row r="360" spans="2:17" x14ac:dyDescent="0.3">
      <c r="B360" s="73"/>
      <c r="C360" s="73">
        <f t="shared" si="66"/>
        <v>365000</v>
      </c>
      <c r="D360" s="62" t="e">
        <f t="shared" si="67"/>
        <v>#DIV/0!</v>
      </c>
      <c r="E360" s="62" t="e">
        <f t="shared" si="68"/>
        <v>#DIV/0!</v>
      </c>
      <c r="F360" s="62">
        <f t="shared" si="69"/>
        <v>-8.4740271365303936</v>
      </c>
      <c r="G360" s="67">
        <f t="shared" si="70"/>
        <v>-34.806482318227779</v>
      </c>
      <c r="H360" s="62" t="e">
        <f t="shared" si="71"/>
        <v>#DIV/0!</v>
      </c>
      <c r="I360" s="62" t="e">
        <f t="shared" si="72"/>
        <v>#DIV/0!</v>
      </c>
      <c r="J360" s="74"/>
      <c r="K360" s="73"/>
      <c r="L360" s="73"/>
      <c r="M360" s="73"/>
      <c r="N360" s="73"/>
      <c r="O360" s="73"/>
      <c r="P360" s="73"/>
      <c r="Q360" s="63"/>
    </row>
    <row r="361" spans="2:17" x14ac:dyDescent="0.3">
      <c r="B361" s="73"/>
      <c r="C361" s="73">
        <f t="shared" si="66"/>
        <v>370000</v>
      </c>
      <c r="D361" s="62" t="e">
        <f t="shared" si="67"/>
        <v>#DIV/0!</v>
      </c>
      <c r="E361" s="62" t="e">
        <f t="shared" si="68"/>
        <v>#DIV/0!</v>
      </c>
      <c r="F361" s="62">
        <f t="shared" si="69"/>
        <v>-8.5117709822575076</v>
      </c>
      <c r="G361" s="67">
        <f t="shared" si="70"/>
        <v>-35.162033869089441</v>
      </c>
      <c r="H361" s="62" t="e">
        <f t="shared" si="71"/>
        <v>#DIV/0!</v>
      </c>
      <c r="I361" s="62" t="e">
        <f t="shared" si="72"/>
        <v>#DIV/0!</v>
      </c>
      <c r="J361" s="74"/>
      <c r="K361" s="73"/>
      <c r="L361" s="73"/>
      <c r="M361" s="73"/>
      <c r="N361" s="73"/>
      <c r="O361" s="73"/>
      <c r="P361" s="73"/>
      <c r="Q361" s="63"/>
    </row>
    <row r="362" spans="2:17" x14ac:dyDescent="0.3">
      <c r="B362" s="73"/>
      <c r="C362" s="73">
        <f t="shared" si="66"/>
        <v>375000</v>
      </c>
      <c r="D362" s="62" t="e">
        <f t="shared" si="67"/>
        <v>#DIV/0!</v>
      </c>
      <c r="E362" s="62" t="e">
        <f t="shared" si="68"/>
        <v>#DIV/0!</v>
      </c>
      <c r="F362" s="62">
        <f t="shared" si="69"/>
        <v>-8.5496960756583373</v>
      </c>
      <c r="G362" s="67">
        <f t="shared" si="70"/>
        <v>-35.514643912519894</v>
      </c>
      <c r="H362" s="62" t="e">
        <f t="shared" si="71"/>
        <v>#DIV/0!</v>
      </c>
      <c r="I362" s="62" t="e">
        <f t="shared" si="72"/>
        <v>#DIV/0!</v>
      </c>
      <c r="J362" s="74"/>
      <c r="K362" s="73"/>
      <c r="L362" s="73"/>
      <c r="M362" s="73"/>
      <c r="N362" s="73"/>
      <c r="O362" s="73"/>
      <c r="P362" s="73"/>
      <c r="Q362" s="63"/>
    </row>
    <row r="363" spans="2:17" x14ac:dyDescent="0.3">
      <c r="B363" s="73"/>
      <c r="C363" s="73">
        <f t="shared" si="66"/>
        <v>380000</v>
      </c>
      <c r="D363" s="62" t="e">
        <f t="shared" si="67"/>
        <v>#DIV/0!</v>
      </c>
      <c r="E363" s="62" t="e">
        <f t="shared" si="68"/>
        <v>#DIV/0!</v>
      </c>
      <c r="F363" s="62">
        <f t="shared" si="69"/>
        <v>-8.5877948925015861</v>
      </c>
      <c r="G363" s="67">
        <f t="shared" si="70"/>
        <v>-35.864316860224058</v>
      </c>
      <c r="H363" s="62" t="e">
        <f t="shared" si="71"/>
        <v>#DIV/0!</v>
      </c>
      <c r="I363" s="62" t="e">
        <f t="shared" si="72"/>
        <v>#DIV/0!</v>
      </c>
      <c r="J363" s="74"/>
      <c r="K363" s="73"/>
      <c r="L363" s="73"/>
      <c r="M363" s="73"/>
      <c r="N363" s="73"/>
      <c r="O363" s="73"/>
      <c r="P363" s="73"/>
      <c r="Q363" s="63"/>
    </row>
    <row r="364" spans="2:17" x14ac:dyDescent="0.3">
      <c r="B364" s="73"/>
      <c r="C364" s="73">
        <f t="shared" si="66"/>
        <v>385000</v>
      </c>
      <c r="D364" s="62" t="e">
        <f t="shared" si="67"/>
        <v>#DIV/0!</v>
      </c>
      <c r="E364" s="62" t="e">
        <f t="shared" si="68"/>
        <v>#DIV/0!</v>
      </c>
      <c r="F364" s="62">
        <f t="shared" si="69"/>
        <v>-8.6260600423521279</v>
      </c>
      <c r="G364" s="67">
        <f t="shared" si="70"/>
        <v>-36.211058309373406</v>
      </c>
      <c r="H364" s="62" t="e">
        <f t="shared" si="71"/>
        <v>#DIV/0!</v>
      </c>
      <c r="I364" s="62" t="e">
        <f t="shared" si="72"/>
        <v>#DIV/0!</v>
      </c>
      <c r="J364" s="74"/>
      <c r="K364" s="73"/>
      <c r="L364" s="73"/>
      <c r="M364" s="73"/>
      <c r="N364" s="73"/>
      <c r="O364" s="73"/>
      <c r="P364" s="73"/>
      <c r="Q364" s="63"/>
    </row>
    <row r="365" spans="2:17" x14ac:dyDescent="0.3">
      <c r="B365" s="73"/>
      <c r="C365" s="73">
        <f t="shared" si="66"/>
        <v>390000</v>
      </c>
      <c r="D365" s="62" t="e">
        <f t="shared" si="67"/>
        <v>#DIV/0!</v>
      </c>
      <c r="E365" s="62" t="e">
        <f t="shared" si="68"/>
        <v>#DIV/0!</v>
      </c>
      <c r="F365" s="62">
        <f t="shared" si="69"/>
        <v>-8.664484269104058</v>
      </c>
      <c r="G365" s="67">
        <f t="shared" si="70"/>
        <v>-36.55487497979464</v>
      </c>
      <c r="H365" s="62" t="e">
        <f t="shared" si="71"/>
        <v>#DIV/0!</v>
      </c>
      <c r="I365" s="62" t="e">
        <f t="shared" si="72"/>
        <v>#DIV/0!</v>
      </c>
      <c r="J365" s="74"/>
      <c r="K365" s="73"/>
      <c r="L365" s="73"/>
      <c r="M365" s="73"/>
      <c r="N365" s="73"/>
      <c r="O365" s="73"/>
      <c r="P365" s="73"/>
      <c r="Q365" s="63"/>
    </row>
    <row r="366" spans="2:17" x14ac:dyDescent="0.3">
      <c r="B366" s="73"/>
      <c r="C366" s="73">
        <f t="shared" si="66"/>
        <v>395000</v>
      </c>
      <c r="D366" s="62" t="e">
        <f t="shared" si="67"/>
        <v>#DIV/0!</v>
      </c>
      <c r="E366" s="62" t="e">
        <f t="shared" si="68"/>
        <v>#DIV/0!</v>
      </c>
      <c r="F366" s="62">
        <f t="shared" si="69"/>
        <v>-8.7030604513316341</v>
      </c>
      <c r="G366" s="67">
        <f t="shared" si="70"/>
        <v>-36.89577465395336</v>
      </c>
      <c r="H366" s="62" t="e">
        <f t="shared" si="71"/>
        <v>#DIV/0!</v>
      </c>
      <c r="I366" s="62" t="e">
        <f t="shared" si="72"/>
        <v>#DIV/0!</v>
      </c>
      <c r="J366" s="74"/>
      <c r="K366" s="73"/>
      <c r="L366" s="73"/>
      <c r="M366" s="73"/>
      <c r="N366" s="73"/>
      <c r="O366" s="73"/>
      <c r="P366" s="73"/>
      <c r="Q366" s="63"/>
    </row>
    <row r="367" spans="2:17" x14ac:dyDescent="0.3">
      <c r="B367" s="73"/>
      <c r="C367" s="73">
        <f t="shared" si="66"/>
        <v>400000</v>
      </c>
      <c r="D367" s="62" t="e">
        <f t="shared" si="67"/>
        <v>#DIV/0!</v>
      </c>
      <c r="E367" s="62" t="e">
        <f t="shared" si="68"/>
        <v>#DIV/0!</v>
      </c>
      <c r="F367" s="62">
        <f t="shared" si="69"/>
        <v>-8.7417816024676274</v>
      </c>
      <c r="G367" s="67">
        <f t="shared" si="70"/>
        <v>-37.233766119571179</v>
      </c>
      <c r="H367" s="62" t="e">
        <f t="shared" si="71"/>
        <v>#DIV/0!</v>
      </c>
      <c r="I367" s="62" t="e">
        <f t="shared" si="72"/>
        <v>#DIV/0!</v>
      </c>
      <c r="J367" s="74"/>
      <c r="K367" s="73"/>
      <c r="L367" s="73"/>
      <c r="M367" s="73"/>
      <c r="N367" s="73"/>
      <c r="O367" s="73"/>
      <c r="P367" s="73"/>
      <c r="Q367" s="63"/>
    </row>
    <row r="368" spans="2:17" x14ac:dyDescent="0.3">
      <c r="B368" s="73"/>
      <c r="C368" s="73">
        <f t="shared" si="66"/>
        <v>405000</v>
      </c>
      <c r="D368" s="62" t="e">
        <f t="shared" si="67"/>
        <v>#DIV/0!</v>
      </c>
      <c r="E368" s="62" t="e">
        <f t="shared" si="68"/>
        <v>#DIV/0!</v>
      </c>
      <c r="F368" s="62">
        <f t="shared" si="69"/>
        <v>-8.7806408708183135</v>
      </c>
      <c r="G368" s="67">
        <f t="shared" si="70"/>
        <v>-37.568859114726642</v>
      </c>
      <c r="H368" s="62" t="e">
        <f t="shared" si="71"/>
        <v>#DIV/0!</v>
      </c>
      <c r="I368" s="62" t="e">
        <f t="shared" si="72"/>
        <v>#DIV/0!</v>
      </c>
      <c r="J368" s="74"/>
      <c r="K368" s="73"/>
      <c r="L368" s="73"/>
      <c r="M368" s="73"/>
      <c r="N368" s="73"/>
      <c r="O368" s="73"/>
      <c r="P368" s="73"/>
      <c r="Q368" s="63"/>
    </row>
    <row r="369" spans="2:17" x14ac:dyDescent="0.3">
      <c r="B369" s="73"/>
      <c r="C369" s="73">
        <f t="shared" si="66"/>
        <v>410000</v>
      </c>
      <c r="D369" s="62" t="e">
        <f t="shared" si="67"/>
        <v>#DIV/0!</v>
      </c>
      <c r="E369" s="62" t="e">
        <f t="shared" si="68"/>
        <v>#DIV/0!</v>
      </c>
      <c r="F369" s="62">
        <f t="shared" si="69"/>
        <v>-8.8196315394239768</v>
      </c>
      <c r="G369" s="67">
        <f t="shared" si="70"/>
        <v>-37.901064275312798</v>
      </c>
      <c r="H369" s="62" t="e">
        <f t="shared" si="71"/>
        <v>#DIV/0!</v>
      </c>
      <c r="I369" s="62" t="e">
        <f t="shared" si="72"/>
        <v>#DIV/0!</v>
      </c>
      <c r="J369" s="74"/>
      <c r="K369" s="73"/>
      <c r="L369" s="73"/>
      <c r="M369" s="73"/>
      <c r="N369" s="73"/>
      <c r="O369" s="73"/>
      <c r="P369" s="73"/>
      <c r="Q369" s="63"/>
    </row>
    <row r="370" spans="2:17" x14ac:dyDescent="0.3">
      <c r="B370" s="73"/>
      <c r="C370" s="73">
        <f t="shared" si="66"/>
        <v>415000</v>
      </c>
      <c r="D370" s="62" t="e">
        <f t="shared" si="67"/>
        <v>#DIV/0!</v>
      </c>
      <c r="E370" s="62" t="e">
        <f t="shared" si="68"/>
        <v>#DIV/0!</v>
      </c>
      <c r="F370" s="62">
        <f t="shared" si="69"/>
        <v>-8.8587470257739138</v>
      </c>
      <c r="G370" s="67">
        <f t="shared" si="70"/>
        <v>-38.230393084726124</v>
      </c>
      <c r="H370" s="62" t="e">
        <f t="shared" si="71"/>
        <v>#DIV/0!</v>
      </c>
      <c r="I370" s="62" t="e">
        <f t="shared" si="72"/>
        <v>#DIV/0!</v>
      </c>
      <c r="J370" s="74"/>
      <c r="K370" s="73"/>
      <c r="L370" s="73"/>
      <c r="M370" s="73"/>
      <c r="N370" s="73"/>
      <c r="O370" s="73"/>
      <c r="P370" s="73"/>
      <c r="Q370" s="63"/>
    </row>
    <row r="371" spans="2:17" x14ac:dyDescent="0.3">
      <c r="B371" s="73"/>
      <c r="C371" s="73">
        <f t="shared" si="66"/>
        <v>420000</v>
      </c>
      <c r="D371" s="62" t="e">
        <f t="shared" si="67"/>
        <v>#DIV/0!</v>
      </c>
      <c r="E371" s="62" t="e">
        <f t="shared" si="68"/>
        <v>#DIV/0!</v>
      </c>
      <c r="F371" s="62">
        <f t="shared" si="69"/>
        <v>-8.8979808813843331</v>
      </c>
      <c r="G371" s="67">
        <f t="shared" si="70"/>
        <v>-38.556857825676481</v>
      </c>
      <c r="H371" s="62" t="e">
        <f t="shared" si="71"/>
        <v>#DIV/0!</v>
      </c>
      <c r="I371" s="62" t="e">
        <f t="shared" si="72"/>
        <v>#DIV/0!</v>
      </c>
      <c r="J371" s="74"/>
      <c r="K371" s="73"/>
      <c r="L371" s="73"/>
      <c r="M371" s="73"/>
      <c r="N371" s="73"/>
      <c r="O371" s="73"/>
      <c r="P371" s="73"/>
      <c r="Q371" s="63"/>
    </row>
    <row r="372" spans="2:17" x14ac:dyDescent="0.3">
      <c r="B372" s="73"/>
      <c r="C372" s="73">
        <f t="shared" ref="C372:C435" si="73">C371+5000</f>
        <v>425000</v>
      </c>
      <c r="D372" s="62" t="e">
        <f t="shared" si="67"/>
        <v>#DIV/0!</v>
      </c>
      <c r="E372" s="62" t="e">
        <f t="shared" si="68"/>
        <v>#DIV/0!</v>
      </c>
      <c r="F372" s="62">
        <f t="shared" si="69"/>
        <v>-8.9373267912472674</v>
      </c>
      <c r="G372" s="67">
        <f t="shared" si="70"/>
        <v>-38.88047153401947</v>
      </c>
      <c r="H372" s="62" t="e">
        <f t="shared" si="71"/>
        <v>#DIV/0!</v>
      </c>
      <c r="I372" s="62" t="e">
        <f t="shared" si="72"/>
        <v>#DIV/0!</v>
      </c>
      <c r="J372" s="74"/>
      <c r="K372" s="73"/>
      <c r="L372" s="73"/>
      <c r="M372" s="73"/>
      <c r="N372" s="73"/>
      <c r="O372" s="73"/>
      <c r="P372" s="73"/>
      <c r="Q372" s="63"/>
    </row>
    <row r="373" spans="2:17" x14ac:dyDescent="0.3">
      <c r="B373" s="73"/>
      <c r="C373" s="73">
        <f t="shared" si="73"/>
        <v>430000</v>
      </c>
      <c r="D373" s="62" t="e">
        <f t="shared" si="67"/>
        <v>#DIV/0!</v>
      </c>
      <c r="E373" s="62" t="e">
        <f t="shared" si="68"/>
        <v>#DIV/0!</v>
      </c>
      <c r="F373" s="62">
        <f t="shared" si="69"/>
        <v>-8.9767785731587662</v>
      </c>
      <c r="G373" s="67">
        <f t="shared" si="70"/>
        <v>-39.20124795451212</v>
      </c>
      <c r="H373" s="62" t="e">
        <f t="shared" si="71"/>
        <v>#DIV/0!</v>
      </c>
      <c r="I373" s="62" t="e">
        <f t="shared" si="72"/>
        <v>#DIV/0!</v>
      </c>
      <c r="J373" s="74"/>
      <c r="K373" s="73"/>
      <c r="L373" s="73"/>
      <c r="M373" s="73"/>
      <c r="N373" s="73"/>
      <c r="O373" s="73"/>
      <c r="P373" s="73"/>
      <c r="Q373" s="63"/>
    </row>
    <row r="374" spans="2:17" x14ac:dyDescent="0.3">
      <c r="B374" s="73"/>
      <c r="C374" s="73">
        <f t="shared" si="73"/>
        <v>435000</v>
      </c>
      <c r="D374" s="62" t="e">
        <f t="shared" si="67"/>
        <v>#DIV/0!</v>
      </c>
      <c r="E374" s="62" t="e">
        <f t="shared" si="68"/>
        <v>#DIV/0!</v>
      </c>
      <c r="F374" s="62">
        <f t="shared" si="69"/>
        <v>-9.0163301769337991</v>
      </c>
      <c r="G374" s="67">
        <f t="shared" si="70"/>
        <v>-39.519201498409949</v>
      </c>
      <c r="H374" s="62" t="e">
        <f t="shared" si="71"/>
        <v>#DIV/0!</v>
      </c>
      <c r="I374" s="62" t="e">
        <f t="shared" si="72"/>
        <v>#DIV/0!</v>
      </c>
      <c r="J374" s="74"/>
      <c r="K374" s="73"/>
      <c r="L374" s="73"/>
      <c r="M374" s="73"/>
      <c r="N374" s="73"/>
      <c r="O374" s="73"/>
      <c r="P374" s="73"/>
      <c r="Q374" s="63"/>
    </row>
    <row r="375" spans="2:17" x14ac:dyDescent="0.3">
      <c r="B375" s="73"/>
      <c r="C375" s="73">
        <f t="shared" si="73"/>
        <v>440000</v>
      </c>
      <c r="D375" s="62" t="e">
        <f t="shared" si="67"/>
        <v>#DIV/0!</v>
      </c>
      <c r="E375" s="62" t="e">
        <f t="shared" si="68"/>
        <v>#DIV/0!</v>
      </c>
      <c r="F375" s="62">
        <f t="shared" si="69"/>
        <v>-9.0559756835157312</v>
      </c>
      <c r="G375" s="67">
        <f t="shared" si="70"/>
        <v>-39.834347202821306</v>
      </c>
      <c r="H375" s="62" t="e">
        <f t="shared" si="71"/>
        <v>#DIV/0!</v>
      </c>
      <c r="I375" s="62" t="e">
        <f t="shared" si="72"/>
        <v>#DIV/0!</v>
      </c>
      <c r="J375" s="74"/>
      <c r="K375" s="73"/>
      <c r="L375" s="73"/>
      <c r="M375" s="73"/>
      <c r="N375" s="73"/>
      <c r="O375" s="73"/>
      <c r="P375" s="73"/>
      <c r="Q375" s="63"/>
    </row>
    <row r="376" spans="2:17" x14ac:dyDescent="0.3">
      <c r="B376" s="73"/>
      <c r="C376" s="73">
        <f t="shared" si="73"/>
        <v>445000</v>
      </c>
      <c r="D376" s="62" t="e">
        <f t="shared" si="67"/>
        <v>#DIV/0!</v>
      </c>
      <c r="E376" s="62" t="e">
        <f t="shared" si="68"/>
        <v>#DIV/0!</v>
      </c>
      <c r="F376" s="62">
        <f t="shared" si="69"/>
        <v>-9.0957093039870216</v>
      </c>
      <c r="G376" s="67">
        <f t="shared" si="70"/>
        <v>-40.146700691747462</v>
      </c>
      <c r="H376" s="62" t="e">
        <f t="shared" si="71"/>
        <v>#DIV/0!</v>
      </c>
      <c r="I376" s="62" t="e">
        <f t="shared" si="72"/>
        <v>#DIV/0!</v>
      </c>
      <c r="J376" s="74"/>
      <c r="K376" s="73"/>
      <c r="L376" s="73"/>
      <c r="M376" s="73"/>
      <c r="N376" s="73"/>
      <c r="O376" s="73"/>
      <c r="P376" s="73"/>
      <c r="Q376" s="63"/>
    </row>
    <row r="377" spans="2:17" x14ac:dyDescent="0.3">
      <c r="B377" s="73"/>
      <c r="C377" s="73">
        <f t="shared" si="73"/>
        <v>450000</v>
      </c>
      <c r="D377" s="62" t="e">
        <f t="shared" si="67"/>
        <v>#DIV/0!</v>
      </c>
      <c r="E377" s="62" t="e">
        <f t="shared" si="68"/>
        <v>#DIV/0!</v>
      </c>
      <c r="F377" s="62">
        <f t="shared" si="69"/>
        <v>-9.1355253784889445</v>
      </c>
      <c r="G377" s="67">
        <f t="shared" si="70"/>
        <v>-40.456278138734206</v>
      </c>
      <c r="H377" s="62" t="e">
        <f t="shared" si="71"/>
        <v>#DIV/0!</v>
      </c>
      <c r="I377" s="62" t="e">
        <f t="shared" si="72"/>
        <v>#DIV/0!</v>
      </c>
      <c r="J377" s="74"/>
      <c r="K377" s="73"/>
      <c r="L377" s="73"/>
      <c r="M377" s="73"/>
      <c r="N377" s="73"/>
      <c r="O377" s="73"/>
      <c r="P377" s="73"/>
      <c r="Q377" s="63"/>
    </row>
    <row r="378" spans="2:17" x14ac:dyDescent="0.3">
      <c r="B378" s="73"/>
      <c r="C378" s="73">
        <f t="shared" si="73"/>
        <v>455000</v>
      </c>
      <c r="D378" s="62" t="e">
        <f t="shared" si="67"/>
        <v>#DIV/0!</v>
      </c>
      <c r="E378" s="62" t="e">
        <f t="shared" si="68"/>
        <v>#DIV/0!</v>
      </c>
      <c r="F378" s="62">
        <f t="shared" si="69"/>
        <v>-9.1754183750560419</v>
      </c>
      <c r="G378" s="67">
        <f t="shared" si="70"/>
        <v>-40.763096231073128</v>
      </c>
      <c r="H378" s="62" t="e">
        <f t="shared" si="71"/>
        <v>#DIV/0!</v>
      </c>
      <c r="I378" s="62" t="e">
        <f t="shared" si="72"/>
        <v>#DIV/0!</v>
      </c>
      <c r="J378" s="74"/>
      <c r="K378" s="73"/>
      <c r="L378" s="73"/>
      <c r="M378" s="73"/>
      <c r="N378" s="73"/>
      <c r="O378" s="73"/>
      <c r="P378" s="73"/>
      <c r="Q378" s="63"/>
    </row>
    <row r="379" spans="2:17" x14ac:dyDescent="0.3">
      <c r="B379" s="73"/>
      <c r="C379" s="73">
        <f t="shared" si="73"/>
        <v>460000</v>
      </c>
      <c r="D379" s="62" t="e">
        <f t="shared" si="67"/>
        <v>#DIV/0!</v>
      </c>
      <c r="E379" s="62" t="e">
        <f t="shared" si="68"/>
        <v>#DIV/0!</v>
      </c>
      <c r="F379" s="62">
        <f t="shared" si="69"/>
        <v>-9.2153828883727158</v>
      </c>
      <c r="G379" s="67">
        <f t="shared" si="70"/>
        <v>-41.067172135488974</v>
      </c>
      <c r="H379" s="62" t="e">
        <f t="shared" si="71"/>
        <v>#DIV/0!</v>
      </c>
      <c r="I379" s="62" t="e">
        <f t="shared" si="72"/>
        <v>#DIV/0!</v>
      </c>
      <c r="J379" s="74"/>
      <c r="K379" s="73"/>
      <c r="L379" s="73"/>
      <c r="M379" s="73"/>
      <c r="N379" s="73"/>
      <c r="O379" s="73"/>
      <c r="P379" s="73"/>
      <c r="Q379" s="63"/>
    </row>
    <row r="380" spans="2:17" x14ac:dyDescent="0.3">
      <c r="B380" s="73"/>
      <c r="C380" s="73">
        <f t="shared" si="73"/>
        <v>465000</v>
      </c>
      <c r="D380" s="62" t="e">
        <f t="shared" si="67"/>
        <v>#DIV/0!</v>
      </c>
      <c r="E380" s="62" t="e">
        <f t="shared" si="68"/>
        <v>#DIV/0!</v>
      </c>
      <c r="F380" s="62">
        <f t="shared" si="69"/>
        <v>-9.2554136384574548</v>
      </c>
      <c r="G380" s="67">
        <f t="shared" si="70"/>
        <v>-41.368523465254839</v>
      </c>
      <c r="H380" s="62" t="e">
        <f t="shared" si="71"/>
        <v>#DIV/0!</v>
      </c>
      <c r="I380" s="62" t="e">
        <f t="shared" si="72"/>
        <v>#DIV/0!</v>
      </c>
      <c r="J380" s="74"/>
      <c r="K380" s="73"/>
      <c r="L380" s="73"/>
      <c r="M380" s="73"/>
      <c r="N380" s="73"/>
      <c r="O380" s="73"/>
      <c r="P380" s="73"/>
      <c r="Q380" s="63"/>
    </row>
    <row r="381" spans="2:17" x14ac:dyDescent="0.3">
      <c r="B381" s="73"/>
      <c r="C381" s="73">
        <f t="shared" si="73"/>
        <v>470000</v>
      </c>
      <c r="D381" s="62" t="e">
        <f t="shared" si="67"/>
        <v>#DIV/0!</v>
      </c>
      <c r="E381" s="62" t="e">
        <f t="shared" si="68"/>
        <v>#DIV/0!</v>
      </c>
      <c r="F381" s="62">
        <f t="shared" si="69"/>
        <v>-9.2955054692809842</v>
      </c>
      <c r="G381" s="67">
        <f t="shared" si="70"/>
        <v>-41.667168248681755</v>
      </c>
      <c r="H381" s="62" t="e">
        <f t="shared" si="71"/>
        <v>#DIV/0!</v>
      </c>
      <c r="I381" s="62" t="e">
        <f t="shared" si="72"/>
        <v>#DIV/0!</v>
      </c>
      <c r="J381" s="74"/>
      <c r="K381" s="73"/>
      <c r="L381" s="73"/>
      <c r="M381" s="73"/>
      <c r="N381" s="73"/>
      <c r="O381" s="73"/>
      <c r="P381" s="73"/>
      <c r="Q381" s="63"/>
    </row>
    <row r="382" spans="2:17" x14ac:dyDescent="0.3">
      <c r="B382" s="73"/>
      <c r="C382" s="73">
        <f t="shared" si="73"/>
        <v>475000</v>
      </c>
      <c r="D382" s="62" t="e">
        <f t="shared" si="67"/>
        <v>#DIV/0!</v>
      </c>
      <c r="E382" s="62" t="e">
        <f t="shared" si="68"/>
        <v>#DIV/0!</v>
      </c>
      <c r="F382" s="62">
        <f t="shared" si="69"/>
        <v>-9.3356533473241328</v>
      </c>
      <c r="G382" s="67">
        <f t="shared" si="70"/>
        <v>-41.963124898927241</v>
      </c>
      <c r="H382" s="62" t="e">
        <f t="shared" si="71"/>
        <v>#DIV/0!</v>
      </c>
      <c r="I382" s="62" t="e">
        <f t="shared" si="72"/>
        <v>#DIV/0!</v>
      </c>
      <c r="J382" s="74"/>
      <c r="K382" s="73"/>
      <c r="L382" s="73"/>
      <c r="M382" s="73"/>
      <c r="N382" s="73"/>
      <c r="O382" s="73"/>
      <c r="P382" s="73"/>
      <c r="Q382" s="63"/>
    </row>
    <row r="383" spans="2:17" x14ac:dyDescent="0.3">
      <c r="B383" s="73"/>
      <c r="C383" s="73">
        <f t="shared" si="73"/>
        <v>480000</v>
      </c>
      <c r="D383" s="62" t="e">
        <f t="shared" si="67"/>
        <v>#DIV/0!</v>
      </c>
      <c r="E383" s="62" t="e">
        <f t="shared" si="68"/>
        <v>#DIV/0!</v>
      </c>
      <c r="F383" s="62">
        <f t="shared" si="69"/>
        <v>-9.3758523600803994</v>
      </c>
      <c r="G383" s="67">
        <f t="shared" si="70"/>
        <v>-42.256412185078709</v>
      </c>
      <c r="H383" s="62" t="e">
        <f t="shared" si="71"/>
        <v>#DIV/0!</v>
      </c>
      <c r="I383" s="62" t="e">
        <f t="shared" si="72"/>
        <v>#DIV/0!</v>
      </c>
      <c r="J383" s="74"/>
      <c r="K383" s="73"/>
      <c r="L383" s="73"/>
      <c r="M383" s="73"/>
      <c r="N383" s="73"/>
      <c r="O383" s="73"/>
      <c r="P383" s="73"/>
      <c r="Q383" s="63"/>
    </row>
    <row r="384" spans="2:17" x14ac:dyDescent="0.3">
      <c r="B384" s="73"/>
      <c r="C384" s="73">
        <f t="shared" si="73"/>
        <v>485000</v>
      </c>
      <c r="D384" s="62" t="e">
        <f t="shared" si="67"/>
        <v>#DIV/0!</v>
      </c>
      <c r="E384" s="62" t="e">
        <f t="shared" si="68"/>
        <v>#DIV/0!</v>
      </c>
      <c r="F384" s="62">
        <f t="shared" si="69"/>
        <v>-9.4160977145091493</v>
      </c>
      <c r="G384" s="67">
        <f t="shared" si="70"/>
        <v>-42.547049204458375</v>
      </c>
      <c r="H384" s="62" t="e">
        <f t="shared" si="71"/>
        <v>#DIV/0!</v>
      </c>
      <c r="I384" s="62" t="e">
        <f t="shared" si="72"/>
        <v>#DIV/0!</v>
      </c>
      <c r="J384" s="74"/>
      <c r="K384" s="73"/>
      <c r="L384" s="73"/>
      <c r="M384" s="73"/>
      <c r="N384" s="73"/>
      <c r="O384" s="73"/>
      <c r="P384" s="73"/>
      <c r="Q384" s="63"/>
    </row>
    <row r="385" spans="2:17" x14ac:dyDescent="0.3">
      <c r="B385" s="73"/>
      <c r="C385" s="73">
        <f t="shared" si="73"/>
        <v>490000</v>
      </c>
      <c r="D385" s="62" t="e">
        <f t="shared" si="67"/>
        <v>#DIV/0!</v>
      </c>
      <c r="E385" s="62" t="e">
        <f t="shared" si="68"/>
        <v>#DIV/0!</v>
      </c>
      <c r="F385" s="62">
        <f t="shared" si="69"/>
        <v>-9.4563847354436401</v>
      </c>
      <c r="G385" s="67">
        <f t="shared" si="70"/>
        <v>-42.835055356109471</v>
      </c>
      <c r="H385" s="62" t="e">
        <f t="shared" si="71"/>
        <v>#DIV/0!</v>
      </c>
      <c r="I385" s="62" t="e">
        <f t="shared" si="72"/>
        <v>#DIV/0!</v>
      </c>
      <c r="J385" s="74"/>
      <c r="K385" s="73"/>
      <c r="L385" s="73"/>
      <c r="M385" s="73"/>
      <c r="N385" s="73"/>
      <c r="O385" s="73"/>
      <c r="P385" s="73"/>
      <c r="Q385" s="63"/>
    </row>
    <row r="386" spans="2:17" x14ac:dyDescent="0.3">
      <c r="B386" s="73"/>
      <c r="C386" s="73">
        <f t="shared" si="73"/>
        <v>495000</v>
      </c>
      <c r="D386" s="62" t="e">
        <f t="shared" si="67"/>
        <v>#DIV/0!</v>
      </c>
      <c r="E386" s="62" t="e">
        <f t="shared" si="68"/>
        <v>#DIV/0!</v>
      </c>
      <c r="F386" s="62">
        <f t="shared" si="69"/>
        <v>-9.49670886395932</v>
      </c>
      <c r="G386" s="67">
        <f t="shared" si="70"/>
        <v>-43.120450315418353</v>
      </c>
      <c r="H386" s="62" t="e">
        <f t="shared" si="71"/>
        <v>#DIV/0!</v>
      </c>
      <c r="I386" s="62" t="e">
        <f t="shared" si="72"/>
        <v>#DIV/0!</v>
      </c>
      <c r="J386" s="74"/>
      <c r="K386" s="73"/>
      <c r="L386" s="73"/>
      <c r="M386" s="73"/>
      <c r="N386" s="73"/>
      <c r="O386" s="73"/>
      <c r="P386" s="73"/>
      <c r="Q386" s="63"/>
    </row>
    <row r="387" spans="2:17" x14ac:dyDescent="0.3">
      <c r="B387" s="73"/>
      <c r="C387" s="73">
        <f t="shared" si="73"/>
        <v>500000</v>
      </c>
      <c r="D387" s="62" t="e">
        <f t="shared" si="67"/>
        <v>#DIV/0!</v>
      </c>
      <c r="E387" s="62" t="e">
        <f t="shared" si="68"/>
        <v>#DIV/0!</v>
      </c>
      <c r="F387" s="62">
        <f t="shared" si="69"/>
        <v>-9.5370656557065185</v>
      </c>
      <c r="G387" s="67">
        <f t="shared" si="70"/>
        <v>-43.403254009831258</v>
      </c>
      <c r="H387" s="62" t="e">
        <f t="shared" si="71"/>
        <v>#DIV/0!</v>
      </c>
      <c r="I387" s="62" t="e">
        <f t="shared" si="72"/>
        <v>#DIV/0!</v>
      </c>
      <c r="J387" s="74"/>
      <c r="K387" s="73"/>
      <c r="L387" s="73"/>
      <c r="M387" s="73"/>
      <c r="N387" s="73"/>
      <c r="O387" s="73"/>
      <c r="P387" s="73"/>
      <c r="Q387" s="63"/>
    </row>
    <row r="388" spans="2:17" x14ac:dyDescent="0.3">
      <c r="B388" s="73"/>
      <c r="C388" s="73">
        <f t="shared" si="73"/>
        <v>505000</v>
      </c>
      <c r="D388" s="62" t="e">
        <f t="shared" si="67"/>
        <v>#DIV/0!</v>
      </c>
      <c r="E388" s="62" t="e">
        <f t="shared" si="68"/>
        <v>#DIV/0!</v>
      </c>
      <c r="F388" s="62">
        <f t="shared" si="69"/>
        <v>-9.5774507792117962</v>
      </c>
      <c r="G388" s="67">
        <f t="shared" si="70"/>
        <v>-43.683486595627564</v>
      </c>
      <c r="H388" s="62" t="e">
        <f t="shared" si="71"/>
        <v>#DIV/0!</v>
      </c>
      <c r="I388" s="62" t="e">
        <f t="shared" si="72"/>
        <v>#DIV/0!</v>
      </c>
      <c r="J388" s="74"/>
      <c r="K388" s="73"/>
      <c r="L388" s="73"/>
      <c r="M388" s="73"/>
      <c r="N388" s="73"/>
      <c r="O388" s="73"/>
      <c r="P388" s="73"/>
      <c r="Q388" s="63"/>
    </row>
    <row r="389" spans="2:17" x14ac:dyDescent="0.3">
      <c r="B389" s="73"/>
      <c r="C389" s="73">
        <f t="shared" si="73"/>
        <v>510000</v>
      </c>
      <c r="D389" s="62" t="e">
        <f t="shared" si="67"/>
        <v>#DIV/0!</v>
      </c>
      <c r="E389" s="62" t="e">
        <f t="shared" si="68"/>
        <v>#DIV/0!</v>
      </c>
      <c r="F389" s="62">
        <f t="shared" si="69"/>
        <v>-9.6178600141524857</v>
      </c>
      <c r="G389" s="67">
        <f t="shared" si="70"/>
        <v>-43.961168435710682</v>
      </c>
      <c r="H389" s="62" t="e">
        <f t="shared" si="71"/>
        <v>#DIV/0!</v>
      </c>
      <c r="I389" s="62" t="e">
        <f t="shared" si="72"/>
        <v>#DIV/0!</v>
      </c>
      <c r="J389" s="74"/>
      <c r="K389" s="73"/>
      <c r="L389" s="73"/>
      <c r="M389" s="73"/>
      <c r="N389" s="73"/>
      <c r="O389" s="73"/>
      <c r="P389" s="73"/>
      <c r="Q389" s="63"/>
    </row>
    <row r="390" spans="2:17" x14ac:dyDescent="0.3">
      <c r="B390" s="73"/>
      <c r="C390" s="73">
        <f t="shared" si="73"/>
        <v>515000</v>
      </c>
      <c r="D390" s="62" t="e">
        <f t="shared" si="67"/>
        <v>#DIV/0!</v>
      </c>
      <c r="E390" s="62" t="e">
        <f t="shared" si="68"/>
        <v>#DIV/0!</v>
      </c>
      <c r="F390" s="62">
        <f t="shared" si="69"/>
        <v>-9.6582892496076003</v>
      </c>
      <c r="G390" s="67">
        <f t="shared" si="70"/>
        <v>-44.236320078378832</v>
      </c>
      <c r="H390" s="62" t="e">
        <f t="shared" si="71"/>
        <v>#DIV/0!</v>
      </c>
      <c r="I390" s="62" t="e">
        <f t="shared" si="72"/>
        <v>#DIV/0!</v>
      </c>
      <c r="J390" s="74"/>
      <c r="K390" s="73"/>
      <c r="L390" s="73"/>
      <c r="M390" s="73"/>
      <c r="N390" s="73"/>
      <c r="O390" s="73"/>
      <c r="P390" s="73"/>
      <c r="Q390" s="63"/>
    </row>
    <row r="391" spans="2:17" x14ac:dyDescent="0.3">
      <c r="B391" s="73"/>
      <c r="C391" s="73">
        <f t="shared" si="73"/>
        <v>520000</v>
      </c>
      <c r="D391" s="62" t="e">
        <f t="shared" si="67"/>
        <v>#DIV/0!</v>
      </c>
      <c r="E391" s="62" t="e">
        <f t="shared" si="68"/>
        <v>#DIV/0!</v>
      </c>
      <c r="F391" s="62">
        <f t="shared" si="69"/>
        <v>-9.6987344822895931</v>
      </c>
      <c r="G391" s="67">
        <f t="shared" si="70"/>
        <v>-44.508962237042297</v>
      </c>
      <c r="H391" s="62" t="e">
        <f t="shared" si="71"/>
        <v>#DIV/0!</v>
      </c>
      <c r="I391" s="62" t="e">
        <f t="shared" si="72"/>
        <v>#DIV/0!</v>
      </c>
      <c r="J391" s="74"/>
      <c r="K391" s="73"/>
      <c r="L391" s="73"/>
      <c r="M391" s="73"/>
      <c r="N391" s="73"/>
      <c r="O391" s="73"/>
      <c r="P391" s="73"/>
      <c r="Q391" s="63"/>
    </row>
    <row r="392" spans="2:17" x14ac:dyDescent="0.3">
      <c r="B392" s="73"/>
      <c r="C392" s="73">
        <f t="shared" si="73"/>
        <v>525000</v>
      </c>
      <c r="D392" s="62" t="e">
        <f t="shared" si="67"/>
        <v>#DIV/0!</v>
      </c>
      <c r="E392" s="62" t="e">
        <f t="shared" si="68"/>
        <v>#DIV/0!</v>
      </c>
      <c r="F392" s="62">
        <f t="shared" si="69"/>
        <v>-9.7391918147596339</v>
      </c>
      <c r="G392" s="67">
        <f t="shared" si="70"/>
        <v>-44.779115770853082</v>
      </c>
      <c r="H392" s="62" t="e">
        <f t="shared" si="71"/>
        <v>#DIV/0!</v>
      </c>
      <c r="I392" s="62" t="e">
        <f t="shared" si="72"/>
        <v>#DIV/0!</v>
      </c>
      <c r="J392" s="74"/>
      <c r="K392" s="73"/>
      <c r="L392" s="73"/>
      <c r="M392" s="73"/>
      <c r="N392" s="73"/>
      <c r="O392" s="73"/>
      <c r="P392" s="73"/>
      <c r="Q392" s="63"/>
    </row>
    <row r="393" spans="2:17" x14ac:dyDescent="0.3">
      <c r="B393" s="73"/>
      <c r="C393" s="73">
        <f t="shared" si="73"/>
        <v>530000</v>
      </c>
      <c r="D393" s="62" t="e">
        <f t="shared" si="67"/>
        <v>#DIV/0!</v>
      </c>
      <c r="E393" s="62" t="e">
        <f t="shared" si="68"/>
        <v>#DIV/0!</v>
      </c>
      <c r="F393" s="62">
        <f t="shared" si="69"/>
        <v>-9.7796574536302909</v>
      </c>
      <c r="G393" s="67">
        <f t="shared" si="70"/>
        <v>-45.046801666211941</v>
      </c>
      <c r="H393" s="62" t="e">
        <f t="shared" si="71"/>
        <v>#DIV/0!</v>
      </c>
      <c r="I393" s="62" t="e">
        <f t="shared" si="72"/>
        <v>#DIV/0!</v>
      </c>
      <c r="J393" s="74"/>
      <c r="K393" s="73"/>
      <c r="L393" s="73"/>
      <c r="M393" s="73"/>
      <c r="N393" s="73"/>
      <c r="O393" s="73"/>
      <c r="P393" s="73"/>
      <c r="Q393" s="63"/>
    </row>
    <row r="394" spans="2:17" x14ac:dyDescent="0.3">
      <c r="B394" s="73"/>
      <c r="C394" s="73">
        <f t="shared" si="73"/>
        <v>535000</v>
      </c>
      <c r="D394" s="62" t="e">
        <f t="shared" si="67"/>
        <v>#DIV/0!</v>
      </c>
      <c r="E394" s="62" t="e">
        <f t="shared" si="68"/>
        <v>#DIV/0!</v>
      </c>
      <c r="F394" s="62">
        <f t="shared" si="69"/>
        <v>-9.8201277077583722</v>
      </c>
      <c r="G394" s="67">
        <f t="shared" si="70"/>
        <v>-45.312041019124365</v>
      </c>
      <c r="H394" s="62" t="e">
        <f t="shared" si="71"/>
        <v>#DIV/0!</v>
      </c>
      <c r="I394" s="62" t="e">
        <f t="shared" si="72"/>
        <v>#DIV/0!</v>
      </c>
      <c r="J394" s="74"/>
      <c r="K394" s="73"/>
      <c r="L394" s="73"/>
      <c r="M394" s="73"/>
      <c r="N394" s="73"/>
      <c r="O394" s="73"/>
      <c r="P394" s="73"/>
      <c r="Q394" s="63"/>
    </row>
    <row r="395" spans="2:17" x14ac:dyDescent="0.3">
      <c r="B395" s="73"/>
      <c r="C395" s="73">
        <f t="shared" si="73"/>
        <v>540000</v>
      </c>
      <c r="D395" s="62" t="e">
        <f t="shared" si="67"/>
        <v>#DIV/0!</v>
      </c>
      <c r="E395" s="62" t="e">
        <f t="shared" si="68"/>
        <v>#DIV/0!</v>
      </c>
      <c r="F395" s="62">
        <f t="shared" si="69"/>
        <v>-9.8605989864311798</v>
      </c>
      <c r="G395" s="67">
        <f t="shared" si="70"/>
        <v>-45.57485501837126</v>
      </c>
      <c r="H395" s="62" t="e">
        <f t="shared" si="71"/>
        <v>#DIV/0!</v>
      </c>
      <c r="I395" s="62" t="e">
        <f t="shared" si="72"/>
        <v>#DIV/0!</v>
      </c>
      <c r="J395" s="74"/>
      <c r="K395" s="73"/>
      <c r="L395" s="73"/>
      <c r="M395" s="73"/>
      <c r="N395" s="73"/>
      <c r="O395" s="73"/>
      <c r="P395" s="73"/>
      <c r="Q395" s="63"/>
    </row>
    <row r="396" spans="2:17" x14ac:dyDescent="0.3">
      <c r="B396" s="73"/>
      <c r="C396" s="73">
        <f t="shared" si="73"/>
        <v>545000</v>
      </c>
      <c r="D396" s="62" t="e">
        <f t="shared" si="67"/>
        <v>#DIV/0!</v>
      </c>
      <c r="E396" s="62" t="e">
        <f t="shared" si="68"/>
        <v>#DIV/0!</v>
      </c>
      <c r="F396" s="62">
        <f t="shared" si="69"/>
        <v>-9.9010677975482047</v>
      </c>
      <c r="G396" s="67">
        <f t="shared" si="70"/>
        <v>-45.835264929469083</v>
      </c>
      <c r="H396" s="62" t="e">
        <f t="shared" si="71"/>
        <v>#DIV/0!</v>
      </c>
      <c r="I396" s="62" t="e">
        <f t="shared" si="72"/>
        <v>#DIV/0!</v>
      </c>
      <c r="J396" s="74"/>
      <c r="K396" s="73"/>
      <c r="L396" s="73"/>
      <c r="M396" s="73"/>
      <c r="N396" s="73"/>
      <c r="O396" s="73"/>
      <c r="P396" s="73"/>
      <c r="Q396" s="63"/>
    </row>
    <row r="397" spans="2:17" x14ac:dyDescent="0.3">
      <c r="B397" s="73"/>
      <c r="C397" s="73">
        <f t="shared" si="73"/>
        <v>550000</v>
      </c>
      <c r="D397" s="62" t="e">
        <f t="shared" si="67"/>
        <v>#DIV/0!</v>
      </c>
      <c r="E397" s="62" t="e">
        <f t="shared" si="68"/>
        <v>#DIV/0!</v>
      </c>
      <c r="F397" s="62">
        <f t="shared" si="69"/>
        <v>-9.9415307458019058</v>
      </c>
      <c r="G397" s="67">
        <f t="shared" si="70"/>
        <v>-46.09329207938525</v>
      </c>
      <c r="H397" s="62" t="e">
        <f t="shared" si="71"/>
        <v>#DIV/0!</v>
      </c>
      <c r="I397" s="62" t="e">
        <f t="shared" si="72"/>
        <v>#DIV/0!</v>
      </c>
      <c r="J397" s="74"/>
      <c r="K397" s="73"/>
      <c r="L397" s="73"/>
      <c r="M397" s="73"/>
      <c r="N397" s="73"/>
      <c r="O397" s="73"/>
      <c r="P397" s="73"/>
      <c r="Q397" s="63"/>
    </row>
    <row r="398" spans="2:17" x14ac:dyDescent="0.3">
      <c r="B398" s="73"/>
      <c r="C398" s="73">
        <f t="shared" si="73"/>
        <v>555000</v>
      </c>
      <c r="D398" s="62" t="e">
        <f t="shared" si="67"/>
        <v>#DIV/0!</v>
      </c>
      <c r="E398" s="62" t="e">
        <f t="shared" si="68"/>
        <v>#DIV/0!</v>
      </c>
      <c r="F398" s="62">
        <f t="shared" si="69"/>
        <v>-9.9819845308589201</v>
      </c>
      <c r="G398" s="67">
        <f t="shared" si="70"/>
        <v>-46.348957841987612</v>
      </c>
      <c r="H398" s="62" t="e">
        <f t="shared" si="71"/>
        <v>#DIV/0!</v>
      </c>
      <c r="I398" s="62" t="e">
        <f t="shared" si="72"/>
        <v>#DIV/0!</v>
      </c>
      <c r="J398" s="74"/>
      <c r="K398" s="73"/>
      <c r="L398" s="73"/>
      <c r="M398" s="73"/>
      <c r="N398" s="73"/>
      <c r="O398" s="73"/>
      <c r="P398" s="73"/>
      <c r="Q398" s="63"/>
    </row>
    <row r="399" spans="2:17" x14ac:dyDescent="0.3">
      <c r="B399" s="73"/>
      <c r="C399" s="73">
        <f t="shared" si="73"/>
        <v>560000</v>
      </c>
      <c r="D399" s="62" t="e">
        <f t="shared" si="67"/>
        <v>#DIV/0!</v>
      </c>
      <c r="E399" s="62" t="e">
        <f t="shared" si="68"/>
        <v>#DIV/0!</v>
      </c>
      <c r="F399" s="62">
        <f t="shared" si="69"/>
        <v>-10.022425945544597</v>
      </c>
      <c r="G399" s="67">
        <f t="shared" si="70"/>
        <v>-46.602283624193745</v>
      </c>
      <c r="H399" s="62" t="e">
        <f t="shared" si="71"/>
        <v>#DIV/0!</v>
      </c>
      <c r="I399" s="62" t="e">
        <f t="shared" si="72"/>
        <v>#DIV/0!</v>
      </c>
      <c r="J399" s="74"/>
      <c r="K399" s="73"/>
      <c r="L399" s="73"/>
      <c r="M399" s="73"/>
      <c r="N399" s="73"/>
      <c r="O399" s="73"/>
      <c r="P399" s="73"/>
      <c r="Q399" s="63"/>
    </row>
    <row r="400" spans="2:17" x14ac:dyDescent="0.3">
      <c r="B400" s="73"/>
      <c r="C400" s="73">
        <f t="shared" si="73"/>
        <v>565000</v>
      </c>
      <c r="D400" s="62" t="e">
        <f t="shared" si="67"/>
        <v>#DIV/0!</v>
      </c>
      <c r="E400" s="62" t="e">
        <f t="shared" si="68"/>
        <v>#DIV/0!</v>
      </c>
      <c r="F400" s="62">
        <f t="shared" si="69"/>
        <v>-10.062851874032962</v>
      </c>
      <c r="G400" s="67">
        <f t="shared" si="70"/>
        <v>-46.853290852802033</v>
      </c>
      <c r="H400" s="62" t="e">
        <f t="shared" si="71"/>
        <v>#DIV/0!</v>
      </c>
      <c r="I400" s="62" t="e">
        <f t="shared" si="72"/>
        <v>#DIV/0!</v>
      </c>
      <c r="J400" s="74"/>
      <c r="K400" s="73"/>
      <c r="L400" s="73"/>
      <c r="M400" s="73"/>
      <c r="N400" s="73"/>
      <c r="O400" s="73"/>
      <c r="P400" s="73"/>
      <c r="Q400" s="63"/>
    </row>
    <row r="401" spans="2:17" x14ac:dyDescent="0.3">
      <c r="B401" s="73"/>
      <c r="C401" s="73">
        <f t="shared" si="73"/>
        <v>570000</v>
      </c>
      <c r="D401" s="62" t="e">
        <f t="shared" si="67"/>
        <v>#DIV/0!</v>
      </c>
      <c r="E401" s="62" t="e">
        <f t="shared" si="68"/>
        <v>#DIV/0!</v>
      </c>
      <c r="F401" s="62">
        <f t="shared" si="69"/>
        <v>-10.103259290043436</v>
      </c>
      <c r="G401" s="67">
        <f t="shared" si="70"/>
        <v>-47.10200096197191</v>
      </c>
      <c r="H401" s="62" t="e">
        <f t="shared" si="71"/>
        <v>#DIV/0!</v>
      </c>
      <c r="I401" s="62" t="e">
        <f t="shared" si="72"/>
        <v>#DIV/0!</v>
      </c>
      <c r="J401" s="74"/>
      <c r="K401" s="73"/>
      <c r="L401" s="73"/>
      <c r="M401" s="73"/>
      <c r="N401" s="73"/>
      <c r="O401" s="73"/>
      <c r="P401" s="73"/>
      <c r="Q401" s="63"/>
    </row>
    <row r="402" spans="2:17" x14ac:dyDescent="0.3">
      <c r="B402" s="73"/>
      <c r="C402" s="73">
        <f t="shared" si="73"/>
        <v>575000</v>
      </c>
      <c r="D402" s="62" t="e">
        <f t="shared" ref="D402:D465" si="74">20*LOG(Am*IMABS(IMDIV(IMDIV(IMDIV(IMPRODUCT( COMPLEX(1,C402/Fzesr),COMPLEX(1,-C402/Frhp) ),COMPLEX(1,C402/Flp) ),COMPLEX(1,C402/Fesrp) ),COMPLEX(1-C402^2/(Fdp^2),C402/Fsp) )))</f>
        <v>#DIV/0!</v>
      </c>
      <c r="E402" s="62" t="e">
        <f t="shared" ref="E402:E465" si="75">IMARGUMENT(IMDIV(IMDIV(IMDIV(IMPRODUCT( COMPLEX(1,C402/Fzesr),COMPLEX(1,-C402/Frhp) ),COMPLEX(1,C402/Flp) ),COMPLEX(1,C402/Fesrp) ),COMPLEX(1-C402^2/(Fdp^2),C402/Fsp) ))*180/pi</f>
        <v>#DIV/0!</v>
      </c>
      <c r="F402" s="62">
        <f t="shared" ref="F402:F465" si="76">20*LOG(Afb*IMABS(IMDIV(IMDIV(COMPLEX(1,C402/Fzea),COMPLEX(1,C402/Fpea)),COMPLEX(0,2*3.14*C402))))</f>
        <v>-10.143645255047005</v>
      </c>
      <c r="G402" s="67">
        <f t="shared" ref="G402:G465" si="77">IMARGUMENT(IMDIV(IMDIV(COMPLEX(1,C402/Fzea),COMPLEX(1,C402/Fpea)),COMPLEX(0,2*3.14*C402)))*180/pi</f>
        <v>-47.348435381333346</v>
      </c>
      <c r="H402" s="62" t="e">
        <f t="shared" ref="H402:H465" si="78">D402+F402</f>
        <v>#DIV/0!</v>
      </c>
      <c r="I402" s="62" t="e">
        <f t="shared" ref="I402:I465" si="79">E402+G402</f>
        <v>#DIV/0!</v>
      </c>
      <c r="J402" s="74"/>
      <c r="K402" s="73"/>
      <c r="L402" s="73"/>
      <c r="M402" s="73"/>
      <c r="N402" s="73"/>
      <c r="O402" s="73"/>
      <c r="P402" s="73"/>
      <c r="Q402" s="63"/>
    </row>
    <row r="403" spans="2:17" x14ac:dyDescent="0.3">
      <c r="B403" s="73"/>
      <c r="C403" s="73">
        <f t="shared" si="73"/>
        <v>580000</v>
      </c>
      <c r="D403" s="62" t="e">
        <f t="shared" si="74"/>
        <v>#DIV/0!</v>
      </c>
      <c r="E403" s="62" t="e">
        <f t="shared" si="75"/>
        <v>#DIV/0!</v>
      </c>
      <c r="F403" s="62">
        <f t="shared" si="76"/>
        <v>-10.184006916483144</v>
      </c>
      <c r="G403" s="67">
        <f t="shared" si="77"/>
        <v>-47.59261552470214</v>
      </c>
      <c r="H403" s="62" t="e">
        <f t="shared" si="78"/>
        <v>#DIV/0!</v>
      </c>
      <c r="I403" s="62" t="e">
        <f t="shared" si="79"/>
        <v>#DIV/0!</v>
      </c>
      <c r="J403" s="74"/>
      <c r="K403" s="73"/>
      <c r="L403" s="73"/>
      <c r="M403" s="73"/>
      <c r="N403" s="73"/>
      <c r="O403" s="73"/>
      <c r="P403" s="73"/>
      <c r="Q403" s="63"/>
    </row>
    <row r="404" spans="2:17" x14ac:dyDescent="0.3">
      <c r="B404" s="73"/>
      <c r="C404" s="73">
        <f t="shared" si="73"/>
        <v>585000</v>
      </c>
      <c r="D404" s="62" t="e">
        <f t="shared" si="74"/>
        <v>#DIV/0!</v>
      </c>
      <c r="E404" s="62" t="e">
        <f t="shared" si="75"/>
        <v>#DIV/0!</v>
      </c>
      <c r="F404" s="62">
        <f t="shared" si="76"/>
        <v>-10.224341505988633</v>
      </c>
      <c r="G404" s="67">
        <f t="shared" si="77"/>
        <v>-47.834562779375233</v>
      </c>
      <c r="H404" s="62" t="e">
        <f t="shared" si="78"/>
        <v>#DIV/0!</v>
      </c>
      <c r="I404" s="62" t="e">
        <f t="shared" si="79"/>
        <v>#DIV/0!</v>
      </c>
      <c r="J404" s="74"/>
      <c r="K404" s="73"/>
      <c r="L404" s="73"/>
      <c r="M404" s="73"/>
      <c r="N404" s="73"/>
      <c r="O404" s="73"/>
      <c r="P404" s="73"/>
      <c r="Q404" s="63"/>
    </row>
    <row r="405" spans="2:17" x14ac:dyDescent="0.3">
      <c r="B405" s="73"/>
      <c r="C405" s="73">
        <f t="shared" si="73"/>
        <v>590000</v>
      </c>
      <c r="D405" s="62" t="e">
        <f t="shared" si="74"/>
        <v>#DIV/0!</v>
      </c>
      <c r="E405" s="62" t="e">
        <f t="shared" si="75"/>
        <v>#DIV/0!</v>
      </c>
      <c r="F405" s="62">
        <f t="shared" si="76"/>
        <v>-10.264646337640343</v>
      </c>
      <c r="G405" s="67">
        <f t="shared" si="77"/>
        <v>-48.074298495985211</v>
      </c>
      <c r="H405" s="62" t="e">
        <f t="shared" si="78"/>
        <v>#DIV/0!</v>
      </c>
      <c r="I405" s="62" t="e">
        <f t="shared" si="79"/>
        <v>#DIV/0!</v>
      </c>
      <c r="J405" s="74"/>
      <c r="K405" s="73"/>
      <c r="L405" s="73"/>
      <c r="M405" s="73"/>
      <c r="N405" s="73"/>
      <c r="O405" s="73"/>
      <c r="P405" s="73"/>
      <c r="Q405" s="63"/>
    </row>
    <row r="406" spans="2:17" x14ac:dyDescent="0.3">
      <c r="B406" s="73"/>
      <c r="C406" s="73">
        <f t="shared" si="73"/>
        <v>595000</v>
      </c>
      <c r="D406" s="62" t="e">
        <f t="shared" si="74"/>
        <v>#DIV/0!</v>
      </c>
      <c r="E406" s="62" t="e">
        <f t="shared" si="75"/>
        <v>#DIV/0!</v>
      </c>
      <c r="F406" s="62">
        <f t="shared" si="76"/>
        <v>-10.304918806213298</v>
      </c>
      <c r="G406" s="67">
        <f t="shared" si="77"/>
        <v>-48.311843978894807</v>
      </c>
      <c r="H406" s="62" t="e">
        <f t="shared" si="78"/>
        <v>#DIV/0!</v>
      </c>
      <c r="I406" s="62" t="e">
        <f t="shared" si="79"/>
        <v>#DIV/0!</v>
      </c>
      <c r="J406" s="74"/>
      <c r="K406" s="73"/>
      <c r="L406" s="73"/>
      <c r="M406" s="73"/>
      <c r="N406" s="73"/>
      <c r="O406" s="73"/>
      <c r="P406" s="73"/>
      <c r="Q406" s="63"/>
    </row>
    <row r="407" spans="2:17" x14ac:dyDescent="0.3">
      <c r="B407" s="73"/>
      <c r="C407" s="73">
        <f t="shared" si="73"/>
        <v>600000</v>
      </c>
      <c r="D407" s="62" t="e">
        <f t="shared" si="74"/>
        <v>#DIV/0!</v>
      </c>
      <c r="E407" s="62" t="e">
        <f t="shared" si="75"/>
        <v>#DIV/0!</v>
      </c>
      <c r="F407" s="62">
        <f t="shared" si="76"/>
        <v>-10.345156385454592</v>
      </c>
      <c r="G407" s="67">
        <f t="shared" si="77"/>
        <v>-48.547220477105057</v>
      </c>
      <c r="H407" s="62" t="e">
        <f t="shared" si="78"/>
        <v>#DIV/0!</v>
      </c>
      <c r="I407" s="62" t="e">
        <f t="shared" si="79"/>
        <v>#DIV/0!</v>
      </c>
      <c r="J407" s="74"/>
      <c r="K407" s="73"/>
      <c r="L407" s="73"/>
      <c r="M407" s="73"/>
      <c r="N407" s="73"/>
      <c r="O407" s="73"/>
      <c r="P407" s="73"/>
      <c r="Q407" s="63"/>
    </row>
    <row r="408" spans="2:17" x14ac:dyDescent="0.3">
      <c r="B408" s="73"/>
      <c r="C408" s="73">
        <f t="shared" si="73"/>
        <v>605000</v>
      </c>
      <c r="D408" s="62" t="e">
        <f t="shared" si="74"/>
        <v>#DIV/0!</v>
      </c>
      <c r="E408" s="62" t="e">
        <f t="shared" si="75"/>
        <v>#DIV/0!</v>
      </c>
      <c r="F408" s="62">
        <f t="shared" si="76"/>
        <v>-10.385356626375028</v>
      </c>
      <c r="G408" s="67">
        <f t="shared" si="77"/>
        <v>-48.78044917566482</v>
      </c>
      <c r="H408" s="62" t="e">
        <f t="shared" si="78"/>
        <v>#DIV/0!</v>
      </c>
      <c r="I408" s="62" t="e">
        <f t="shared" si="79"/>
        <v>#DIV/0!</v>
      </c>
      <c r="J408" s="74"/>
      <c r="K408" s="73"/>
      <c r="L408" s="73"/>
      <c r="M408" s="73"/>
      <c r="N408" s="73"/>
      <c r="O408" s="73"/>
      <c r="P408" s="73"/>
      <c r="Q408" s="63"/>
    </row>
    <row r="409" spans="2:17" x14ac:dyDescent="0.3">
      <c r="B409" s="73"/>
      <c r="C409" s="73">
        <f t="shared" si="73"/>
        <v>610000</v>
      </c>
      <c r="D409" s="62" t="e">
        <f t="shared" si="74"/>
        <v>#DIV/0!</v>
      </c>
      <c r="E409" s="62" t="e">
        <f t="shared" si="75"/>
        <v>#DIV/0!</v>
      </c>
      <c r="F409" s="62">
        <f t="shared" si="76"/>
        <v>-10.425517155559096</v>
      </c>
      <c r="G409" s="67">
        <f t="shared" si="77"/>
        <v>-49.011551187553771</v>
      </c>
      <c r="H409" s="62" t="e">
        <f t="shared" si="78"/>
        <v>#DIV/0!</v>
      </c>
      <c r="I409" s="62" t="e">
        <f t="shared" si="79"/>
        <v>#DIV/0!</v>
      </c>
      <c r="J409" s="74"/>
      <c r="K409" s="73"/>
      <c r="L409" s="73"/>
      <c r="M409" s="73"/>
      <c r="N409" s="73"/>
      <c r="O409" s="73"/>
      <c r="P409" s="73"/>
      <c r="Q409" s="63"/>
    </row>
    <row r="410" spans="2:17" x14ac:dyDescent="0.3">
      <c r="B410" s="73"/>
      <c r="C410" s="73">
        <f t="shared" si="73"/>
        <v>615000</v>
      </c>
      <c r="D410" s="62" t="e">
        <f t="shared" si="74"/>
        <v>#DIV/0!</v>
      </c>
      <c r="E410" s="62" t="e">
        <f t="shared" si="75"/>
        <v>#DIV/0!</v>
      </c>
      <c r="F410" s="62">
        <f t="shared" si="76"/>
        <v>-10.4656356734942</v>
      </c>
      <c r="G410" s="67">
        <f t="shared" si="77"/>
        <v>-49.24054754602615</v>
      </c>
      <c r="H410" s="62" t="e">
        <f t="shared" si="78"/>
        <v>#DIV/0!</v>
      </c>
      <c r="I410" s="62" t="e">
        <f t="shared" si="79"/>
        <v>#DIV/0!</v>
      </c>
      <c r="J410" s="74"/>
      <c r="K410" s="73"/>
      <c r="L410" s="73"/>
      <c r="M410" s="73"/>
      <c r="N410" s="73"/>
      <c r="O410" s="73"/>
      <c r="P410" s="73"/>
      <c r="Q410" s="63"/>
    </row>
    <row r="411" spans="2:17" x14ac:dyDescent="0.3">
      <c r="B411" s="73"/>
      <c r="C411" s="73">
        <f t="shared" si="73"/>
        <v>620000</v>
      </c>
      <c r="D411" s="62" t="e">
        <f t="shared" si="74"/>
        <v>#DIV/0!</v>
      </c>
      <c r="E411" s="62" t="e">
        <f t="shared" si="75"/>
        <v>#DIV/0!</v>
      </c>
      <c r="F411" s="62">
        <f t="shared" si="76"/>
        <v>-10.505709952920155</v>
      </c>
      <c r="G411" s="67">
        <f t="shared" si="77"/>
        <v>-49.467459197395172</v>
      </c>
      <c r="H411" s="62" t="e">
        <f t="shared" si="78"/>
        <v>#DIV/0!</v>
      </c>
      <c r="I411" s="62" t="e">
        <f t="shared" si="79"/>
        <v>#DIV/0!</v>
      </c>
      <c r="J411" s="74"/>
      <c r="K411" s="73"/>
      <c r="L411" s="73"/>
      <c r="M411" s="73"/>
      <c r="N411" s="73"/>
      <c r="O411" s="73"/>
      <c r="P411" s="73"/>
      <c r="Q411" s="63"/>
    </row>
    <row r="412" spans="2:17" x14ac:dyDescent="0.3">
      <c r="B412" s="73"/>
      <c r="C412" s="73">
        <f t="shared" si="73"/>
        <v>625000</v>
      </c>
      <c r="D412" s="62" t="e">
        <f t="shared" si="74"/>
        <v>#DIV/0!</v>
      </c>
      <c r="E412" s="62" t="e">
        <f t="shared" si="75"/>
        <v>#DIV/0!</v>
      </c>
      <c r="F412" s="62">
        <f t="shared" si="76"/>
        <v>-10.545737837199683</v>
      </c>
      <c r="G412" s="67">
        <f t="shared" si="77"/>
        <v>-49.69230699423845</v>
      </c>
      <c r="H412" s="62" t="e">
        <f t="shared" si="78"/>
        <v>#DIV/0!</v>
      </c>
      <c r="I412" s="62" t="e">
        <f t="shared" si="79"/>
        <v>#DIV/0!</v>
      </c>
      <c r="J412" s="74"/>
      <c r="K412" s="73"/>
      <c r="L412" s="73"/>
      <c r="M412" s="73"/>
      <c r="N412" s="73"/>
      <c r="O412" s="73"/>
      <c r="P412" s="73"/>
      <c r="Q412" s="63"/>
    </row>
    <row r="413" spans="2:17" x14ac:dyDescent="0.3">
      <c r="B413" s="73"/>
      <c r="C413" s="73">
        <f t="shared" si="73"/>
        <v>630000</v>
      </c>
      <c r="D413" s="62" t="e">
        <f t="shared" si="74"/>
        <v>#DIV/0!</v>
      </c>
      <c r="E413" s="62" t="e">
        <f t="shared" si="75"/>
        <v>#DIV/0!</v>
      </c>
      <c r="F413" s="62">
        <f t="shared" si="76"/>
        <v>-10.585717238710489</v>
      </c>
      <c r="G413" s="67">
        <f t="shared" si="77"/>
        <v>-49.915111689010388</v>
      </c>
      <c r="H413" s="62" t="e">
        <f t="shared" si="78"/>
        <v>#DIV/0!</v>
      </c>
      <c r="I413" s="62" t="e">
        <f t="shared" si="79"/>
        <v>#DIV/0!</v>
      </c>
      <c r="J413" s="74"/>
      <c r="K413" s="73"/>
      <c r="L413" s="73"/>
      <c r="M413" s="73"/>
      <c r="N413" s="73"/>
      <c r="O413" s="73"/>
      <c r="P413" s="73"/>
      <c r="Q413" s="63"/>
    </row>
    <row r="414" spans="2:17" x14ac:dyDescent="0.3">
      <c r="B414" s="73"/>
      <c r="C414" s="73">
        <f t="shared" si="73"/>
        <v>635000</v>
      </c>
      <c r="D414" s="62" t="e">
        <f t="shared" si="74"/>
        <v>#DIV/0!</v>
      </c>
      <c r="E414" s="62" t="e">
        <f t="shared" si="75"/>
        <v>#DIV/0!</v>
      </c>
      <c r="F414" s="62">
        <f t="shared" si="76"/>
        <v>-10.62564613725918</v>
      </c>
      <c r="G414" s="67">
        <f t="shared" si="77"/>
        <v>-50.135893928043203</v>
      </c>
      <c r="H414" s="62" t="e">
        <f t="shared" si="78"/>
        <v>#DIV/0!</v>
      </c>
      <c r="I414" s="62" t="e">
        <f t="shared" si="79"/>
        <v>#DIV/0!</v>
      </c>
      <c r="J414" s="74"/>
      <c r="K414" s="73"/>
      <c r="L414" s="73"/>
      <c r="M414" s="73"/>
      <c r="N414" s="73"/>
      <c r="O414" s="73"/>
      <c r="P414" s="73"/>
      <c r="Q414" s="63"/>
    </row>
    <row r="415" spans="2:17" x14ac:dyDescent="0.3">
      <c r="B415" s="73"/>
      <c r="C415" s="73">
        <f t="shared" si="73"/>
        <v>640000</v>
      </c>
      <c r="D415" s="62" t="e">
        <f t="shared" si="74"/>
        <v>#DIV/0!</v>
      </c>
      <c r="E415" s="62" t="e">
        <f t="shared" si="75"/>
        <v>#DIV/0!</v>
      </c>
      <c r="F415" s="62">
        <f t="shared" si="76"/>
        <v>-10.665522578518569</v>
      </c>
      <c r="G415" s="67">
        <f t="shared" si="77"/>
        <v>-50.354674245919917</v>
      </c>
      <c r="H415" s="62" t="e">
        <f t="shared" si="78"/>
        <v>#DIV/0!</v>
      </c>
      <c r="I415" s="62" t="e">
        <f t="shared" si="79"/>
        <v>#DIV/0!</v>
      </c>
      <c r="J415" s="74"/>
      <c r="K415" s="73"/>
      <c r="L415" s="73"/>
      <c r="M415" s="73"/>
      <c r="N415" s="73"/>
      <c r="O415" s="73"/>
      <c r="P415" s="73"/>
      <c r="Q415" s="63"/>
    </row>
    <row r="416" spans="2:17" x14ac:dyDescent="0.3">
      <c r="B416" s="73"/>
      <c r="C416" s="73">
        <f t="shared" si="73"/>
        <v>645000</v>
      </c>
      <c r="D416" s="62" t="e">
        <f t="shared" si="74"/>
        <v>#DIV/0!</v>
      </c>
      <c r="E416" s="62" t="e">
        <f t="shared" si="75"/>
        <v>#DIV/0!</v>
      </c>
      <c r="F416" s="62">
        <f t="shared" si="76"/>
        <v>-10.705344672487612</v>
      </c>
      <c r="G416" s="67">
        <f t="shared" si="77"/>
        <v>-50.571473060207794</v>
      </c>
      <c r="H416" s="62" t="e">
        <f t="shared" si="78"/>
        <v>#DIV/0!</v>
      </c>
      <c r="I416" s="62" t="e">
        <f t="shared" si="79"/>
        <v>#DIV/0!</v>
      </c>
      <c r="J416" s="74"/>
      <c r="K416" s="73"/>
      <c r="L416" s="73"/>
      <c r="M416" s="73"/>
      <c r="N416" s="73"/>
      <c r="O416" s="73"/>
      <c r="P416" s="73"/>
      <c r="Q416" s="63"/>
    </row>
    <row r="417" spans="2:17" x14ac:dyDescent="0.3">
      <c r="B417" s="73"/>
      <c r="C417" s="73">
        <f t="shared" si="73"/>
        <v>650000</v>
      </c>
      <c r="D417" s="62" t="e">
        <f t="shared" si="74"/>
        <v>#DIV/0!</v>
      </c>
      <c r="E417" s="62" t="e">
        <f t="shared" si="75"/>
        <v>#DIV/0!</v>
      </c>
      <c r="F417" s="62">
        <f t="shared" si="76"/>
        <v>-10.745110591975088</v>
      </c>
      <c r="G417" s="67">
        <f t="shared" si="77"/>
        <v>-50.786310666530788</v>
      </c>
      <c r="H417" s="62" t="e">
        <f t="shared" si="78"/>
        <v>#DIV/0!</v>
      </c>
      <c r="I417" s="62" t="e">
        <f t="shared" si="79"/>
        <v>#DIV/0!</v>
      </c>
      <c r="J417" s="74"/>
      <c r="K417" s="73"/>
      <c r="L417" s="73"/>
      <c r="M417" s="73"/>
      <c r="N417" s="73"/>
      <c r="O417" s="73"/>
      <c r="P417" s="73"/>
      <c r="Q417" s="63"/>
    </row>
    <row r="418" spans="2:17" x14ac:dyDescent="0.3">
      <c r="B418" s="73"/>
      <c r="C418" s="73">
        <f t="shared" si="73"/>
        <v>655000</v>
      </c>
      <c r="D418" s="62" t="e">
        <f t="shared" si="74"/>
        <v>#DIV/0!</v>
      </c>
      <c r="E418" s="62" t="e">
        <f t="shared" si="75"/>
        <v>#DIV/0!</v>
      </c>
      <c r="F418" s="62">
        <f t="shared" si="76"/>
        <v>-10.784818571107353</v>
      </c>
      <c r="G418" s="67">
        <f t="shared" si="77"/>
        <v>-50.999207233973273</v>
      </c>
      <c r="H418" s="62" t="e">
        <f t="shared" si="78"/>
        <v>#DIV/0!</v>
      </c>
      <c r="I418" s="62" t="e">
        <f t="shared" si="79"/>
        <v>#DIV/0!</v>
      </c>
      <c r="J418" s="74"/>
      <c r="K418" s="73"/>
      <c r="L418" s="73"/>
      <c r="M418" s="73"/>
      <c r="N418" s="73"/>
      <c r="O418" s="73"/>
      <c r="P418" s="73"/>
      <c r="Q418" s="63"/>
    </row>
    <row r="419" spans="2:17" x14ac:dyDescent="0.3">
      <c r="B419" s="73"/>
      <c r="C419" s="73">
        <f t="shared" si="73"/>
        <v>660000</v>
      </c>
      <c r="D419" s="62" t="e">
        <f t="shared" si="74"/>
        <v>#DIV/0!</v>
      </c>
      <c r="E419" s="62" t="e">
        <f t="shared" si="75"/>
        <v>#DIV/0!</v>
      </c>
      <c r="F419" s="62">
        <f t="shared" si="76"/>
        <v>-10.82446690385998</v>
      </c>
      <c r="G419" s="67">
        <f t="shared" si="77"/>
        <v>-51.210182800795828</v>
      </c>
      <c r="H419" s="62" t="e">
        <f t="shared" si="78"/>
        <v>#DIV/0!</v>
      </c>
      <c r="I419" s="62" t="e">
        <f t="shared" si="79"/>
        <v>#DIV/0!</v>
      </c>
      <c r="J419" s="74"/>
      <c r="K419" s="73"/>
      <c r="L419" s="73"/>
      <c r="M419" s="73"/>
      <c r="N419" s="73"/>
      <c r="O419" s="73"/>
      <c r="P419" s="73"/>
      <c r="Q419" s="63"/>
    </row>
    <row r="420" spans="2:17" x14ac:dyDescent="0.3">
      <c r="B420" s="73"/>
      <c r="C420" s="73">
        <f t="shared" si="73"/>
        <v>665000</v>
      </c>
      <c r="D420" s="62" t="e">
        <f t="shared" si="74"/>
        <v>#DIV/0!</v>
      </c>
      <c r="E420" s="62" t="e">
        <f t="shared" si="75"/>
        <v>#DIV/0!</v>
      </c>
      <c r="F420" s="62">
        <f t="shared" si="76"/>
        <v>-10.864053942614087</v>
      </c>
      <c r="G420" s="67">
        <f t="shared" si="77"/>
        <v>-51.419257270454082</v>
      </c>
      <c r="H420" s="62" t="e">
        <f t="shared" si="78"/>
        <v>#DIV/0!</v>
      </c>
      <c r="I420" s="62" t="e">
        <f t="shared" si="79"/>
        <v>#DIV/0!</v>
      </c>
      <c r="J420" s="74"/>
      <c r="K420" s="73"/>
      <c r="L420" s="73"/>
      <c r="M420" s="73"/>
      <c r="N420" s="73"/>
      <c r="O420" s="73"/>
      <c r="P420" s="73"/>
      <c r="Q420" s="63"/>
    </row>
    <row r="421" spans="2:17" x14ac:dyDescent="0.3">
      <c r="B421" s="73"/>
      <c r="C421" s="73">
        <f t="shared" si="73"/>
        <v>670000</v>
      </c>
      <c r="D421" s="62" t="e">
        <f t="shared" si="74"/>
        <v>#DIV/0!</v>
      </c>
      <c r="E421" s="62" t="e">
        <f t="shared" si="75"/>
        <v>#DIV/0!</v>
      </c>
      <c r="F421" s="62">
        <f t="shared" si="76"/>
        <v>-10.903578096737164</v>
      </c>
      <c r="G421" s="67">
        <f t="shared" si="77"/>
        <v>-51.626450407902972</v>
      </c>
      <c r="H421" s="62" t="e">
        <f t="shared" si="78"/>
        <v>#DIV/0!</v>
      </c>
      <c r="I421" s="62" t="e">
        <f t="shared" si="79"/>
        <v>#DIV/0!</v>
      </c>
      <c r="J421" s="74"/>
      <c r="K421" s="73"/>
      <c r="L421" s="73"/>
      <c r="M421" s="73"/>
      <c r="N421" s="73"/>
      <c r="O421" s="73"/>
      <c r="P421" s="73"/>
      <c r="Q421" s="63"/>
    </row>
    <row r="422" spans="2:17" x14ac:dyDescent="0.3">
      <c r="B422" s="73"/>
      <c r="C422" s="73">
        <f t="shared" si="73"/>
        <v>675000</v>
      </c>
      <c r="D422" s="62" t="e">
        <f t="shared" si="74"/>
        <v>#DIV/0!</v>
      </c>
      <c r="E422" s="62" t="e">
        <f t="shared" si="75"/>
        <v>#DIV/0!</v>
      </c>
      <c r="F422" s="62">
        <f t="shared" si="76"/>
        <v>-10.943037831188446</v>
      </c>
      <c r="G422" s="67">
        <f t="shared" si="77"/>
        <v>-51.831781836178514</v>
      </c>
      <c r="H422" s="62" t="e">
        <f t="shared" si="78"/>
        <v>#DIV/0!</v>
      </c>
      <c r="I422" s="62" t="e">
        <f t="shared" si="79"/>
        <v>#DIV/0!</v>
      </c>
      <c r="J422" s="74"/>
      <c r="K422" s="73"/>
      <c r="L422" s="73"/>
      <c r="M422" s="73"/>
      <c r="N422" s="73"/>
      <c r="O422" s="73"/>
      <c r="P422" s="73"/>
      <c r="Q422" s="63"/>
    </row>
    <row r="423" spans="2:17" x14ac:dyDescent="0.3">
      <c r="B423" s="73"/>
      <c r="C423" s="73">
        <f t="shared" si="73"/>
        <v>680000</v>
      </c>
      <c r="D423" s="62" t="e">
        <f t="shared" si="74"/>
        <v>#DIV/0!</v>
      </c>
      <c r="E423" s="62" t="e">
        <f t="shared" si="75"/>
        <v>#DIV/0!</v>
      </c>
      <c r="F423" s="62">
        <f t="shared" si="76"/>
        <v>-10.982431665149425</v>
      </c>
      <c r="G423" s="67">
        <f t="shared" si="77"/>
        <v>-52.035271033241415</v>
      </c>
      <c r="H423" s="62" t="e">
        <f t="shared" si="78"/>
        <v>#DIV/0!</v>
      </c>
      <c r="I423" s="62" t="e">
        <f t="shared" si="79"/>
        <v>#DIV/0!</v>
      </c>
      <c r="J423" s="74"/>
      <c r="K423" s="73"/>
      <c r="L423" s="73"/>
      <c r="M423" s="73"/>
      <c r="N423" s="73"/>
      <c r="O423" s="73"/>
      <c r="P423" s="73"/>
      <c r="Q423" s="63"/>
    </row>
    <row r="424" spans="2:17" x14ac:dyDescent="0.3">
      <c r="B424" s="73"/>
      <c r="C424" s="73">
        <f t="shared" si="73"/>
        <v>685000</v>
      </c>
      <c r="D424" s="62" t="e">
        <f t="shared" si="74"/>
        <v>#DIV/0!</v>
      </c>
      <c r="E424" s="62" t="e">
        <f t="shared" si="75"/>
        <v>#DIV/0!</v>
      </c>
      <c r="F424" s="62">
        <f t="shared" si="76"/>
        <v>-11.021758170678977</v>
      </c>
      <c r="G424" s="67">
        <f t="shared" si="77"/>
        <v>-52.236937329072958</v>
      </c>
      <c r="H424" s="62" t="e">
        <f t="shared" si="78"/>
        <v>#DIV/0!</v>
      </c>
      <c r="I424" s="62" t="e">
        <f t="shared" si="79"/>
        <v>#DIV/0!</v>
      </c>
      <c r="J424" s="74"/>
      <c r="K424" s="73"/>
      <c r="L424" s="73"/>
      <c r="M424" s="73"/>
      <c r="N424" s="73"/>
      <c r="O424" s="73"/>
      <c r="P424" s="73"/>
      <c r="Q424" s="63"/>
    </row>
    <row r="425" spans="2:17" x14ac:dyDescent="0.3">
      <c r="B425" s="73"/>
      <c r="C425" s="73">
        <f t="shared" si="73"/>
        <v>690000</v>
      </c>
      <c r="D425" s="62" t="e">
        <f t="shared" si="74"/>
        <v>#DIV/0!</v>
      </c>
      <c r="E425" s="62" t="e">
        <f t="shared" si="75"/>
        <v>#DIV/0!</v>
      </c>
      <c r="F425" s="62">
        <f t="shared" si="76"/>
        <v>-11.061015971393438</v>
      </c>
      <c r="G425" s="67">
        <f t="shared" si="77"/>
        <v>-52.43679990301051</v>
      </c>
      <c r="H425" s="62" t="e">
        <f t="shared" si="78"/>
        <v>#DIV/0!</v>
      </c>
      <c r="I425" s="62" t="e">
        <f t="shared" si="79"/>
        <v>#DIV/0!</v>
      </c>
      <c r="J425" s="74"/>
      <c r="K425" s="73"/>
      <c r="L425" s="73"/>
      <c r="M425" s="73"/>
      <c r="N425" s="73"/>
      <c r="O425" s="73"/>
      <c r="P425" s="73"/>
      <c r="Q425" s="63"/>
    </row>
    <row r="426" spans="2:17" x14ac:dyDescent="0.3">
      <c r="B426" s="73"/>
      <c r="C426" s="73">
        <f t="shared" si="73"/>
        <v>695000</v>
      </c>
      <c r="D426" s="62" t="e">
        <f t="shared" si="74"/>
        <v>#DIV/0!</v>
      </c>
      <c r="E426" s="62" t="e">
        <f t="shared" si="75"/>
        <v>#DIV/0!</v>
      </c>
      <c r="F426" s="62">
        <f t="shared" si="76"/>
        <v>-11.100203741171487</v>
      </c>
      <c r="G426" s="67">
        <f t="shared" si="77"/>
        <v>-52.634877781313968</v>
      </c>
      <c r="H426" s="62" t="e">
        <f t="shared" si="78"/>
        <v>#DIV/0!</v>
      </c>
      <c r="I426" s="62" t="e">
        <f t="shared" si="79"/>
        <v>#DIV/0!</v>
      </c>
      <c r="J426" s="74"/>
      <c r="K426" s="73"/>
      <c r="L426" s="73"/>
      <c r="M426" s="73"/>
      <c r="N426" s="73"/>
      <c r="O426" s="73"/>
      <c r="P426" s="73"/>
      <c r="Q426" s="63"/>
    </row>
    <row r="427" spans="2:17" x14ac:dyDescent="0.3">
      <c r="B427" s="73"/>
      <c r="C427" s="73">
        <f t="shared" si="73"/>
        <v>700000</v>
      </c>
      <c r="D427" s="62" t="e">
        <f t="shared" si="74"/>
        <v>#DIV/0!</v>
      </c>
      <c r="E427" s="62" t="e">
        <f t="shared" si="75"/>
        <v>#DIV/0!</v>
      </c>
      <c r="F427" s="62">
        <f t="shared" si="76"/>
        <v>-11.139320202883745</v>
      </c>
      <c r="G427" s="67">
        <f t="shared" si="77"/>
        <v>-52.831189834949043</v>
      </c>
      <c r="H427" s="62" t="e">
        <f t="shared" si="78"/>
        <v>#DIV/0!</v>
      </c>
      <c r="I427" s="62" t="e">
        <f t="shared" si="79"/>
        <v>#DIV/0!</v>
      </c>
      <c r="J427" s="74"/>
      <c r="K427" s="73"/>
      <c r="L427" s="73"/>
      <c r="M427" s="73"/>
      <c r="N427" s="73"/>
      <c r="O427" s="73"/>
      <c r="P427" s="73"/>
      <c r="Q427" s="63"/>
    </row>
    <row r="428" spans="2:17" x14ac:dyDescent="0.3">
      <c r="B428" s="73"/>
      <c r="C428" s="73">
        <f t="shared" si="73"/>
        <v>705000</v>
      </c>
      <c r="D428" s="62" t="e">
        <f t="shared" si="74"/>
        <v>#DIV/0!</v>
      </c>
      <c r="E428" s="62" t="e">
        <f t="shared" si="75"/>
        <v>#DIV/0!</v>
      </c>
      <c r="F428" s="62">
        <f t="shared" si="76"/>
        <v>-11.17836412714745</v>
      </c>
      <c r="G428" s="67">
        <f t="shared" si="77"/>
        <v>-53.025754777581987</v>
      </c>
      <c r="H428" s="62" t="e">
        <f t="shared" si="78"/>
        <v>#DIV/0!</v>
      </c>
      <c r="I428" s="62" t="e">
        <f t="shared" si="79"/>
        <v>#DIV/0!</v>
      </c>
      <c r="J428" s="74"/>
      <c r="K428" s="73"/>
      <c r="L428" s="73"/>
      <c r="M428" s="73"/>
      <c r="N428" s="73"/>
      <c r="O428" s="73"/>
      <c r="P428" s="73"/>
      <c r="Q428" s="63"/>
    </row>
    <row r="429" spans="2:17" x14ac:dyDescent="0.3">
      <c r="B429" s="73"/>
      <c r="C429" s="73">
        <f t="shared" si="73"/>
        <v>710000</v>
      </c>
      <c r="D429" s="62" t="e">
        <f t="shared" si="74"/>
        <v>#DIV/0!</v>
      </c>
      <c r="E429" s="62" t="e">
        <f t="shared" si="75"/>
        <v>#DIV/0!</v>
      </c>
      <c r="F429" s="62">
        <f t="shared" si="76"/>
        <v>-11.217334331105189</v>
      </c>
      <c r="G429" s="67">
        <f t="shared" si="77"/>
        <v>-53.218591163772189</v>
      </c>
      <c r="H429" s="62" t="e">
        <f t="shared" si="78"/>
        <v>#DIV/0!</v>
      </c>
      <c r="I429" s="62" t="e">
        <f t="shared" si="79"/>
        <v>#DIV/0!</v>
      </c>
      <c r="J429" s="74"/>
      <c r="K429" s="73"/>
      <c r="L429" s="73"/>
      <c r="M429" s="73"/>
      <c r="N429" s="73"/>
      <c r="O429" s="73"/>
      <c r="P429" s="73"/>
      <c r="Q429" s="63"/>
    </row>
    <row r="430" spans="2:17" x14ac:dyDescent="0.3">
      <c r="B430" s="73"/>
      <c r="C430" s="73">
        <f t="shared" si="73"/>
        <v>715000</v>
      </c>
      <c r="D430" s="62" t="e">
        <f t="shared" si="74"/>
        <v>#DIV/0!</v>
      </c>
      <c r="E430" s="62" t="e">
        <f t="shared" si="75"/>
        <v>#DIV/0!</v>
      </c>
      <c r="F430" s="62">
        <f t="shared" si="76"/>
        <v>-11.256229677228369</v>
      </c>
      <c r="G430" s="67">
        <f t="shared" si="77"/>
        <v>-53.409717387354704</v>
      </c>
      <c r="H430" s="62" t="e">
        <f t="shared" si="78"/>
        <v>#DIV/0!</v>
      </c>
      <c r="I430" s="62" t="e">
        <f t="shared" si="79"/>
        <v>#DIV/0!</v>
      </c>
      <c r="J430" s="74"/>
      <c r="K430" s="73"/>
      <c r="L430" s="73"/>
      <c r="M430" s="73"/>
      <c r="N430" s="73"/>
      <c r="O430" s="73"/>
      <c r="P430" s="73"/>
      <c r="Q430" s="63"/>
    </row>
    <row r="431" spans="2:17" x14ac:dyDescent="0.3">
      <c r="B431" s="73"/>
      <c r="C431" s="73">
        <f t="shared" si="73"/>
        <v>720000</v>
      </c>
      <c r="D431" s="62" t="e">
        <f t="shared" si="74"/>
        <v>#DIV/0!</v>
      </c>
      <c r="E431" s="62" t="e">
        <f t="shared" si="75"/>
        <v>#DIV/0!</v>
      </c>
      <c r="F431" s="62">
        <f t="shared" si="76"/>
        <v>-11.295049072144929</v>
      </c>
      <c r="G431" s="67">
        <f t="shared" si="77"/>
        <v>-53.599151680004773</v>
      </c>
      <c r="H431" s="62" t="e">
        <f t="shared" si="78"/>
        <v>#DIV/0!</v>
      </c>
      <c r="I431" s="62" t="e">
        <f t="shared" si="79"/>
        <v>#DIV/0!</v>
      </c>
      <c r="J431" s="74"/>
      <c r="K431" s="73"/>
      <c r="L431" s="73"/>
      <c r="M431" s="73"/>
      <c r="N431" s="73"/>
      <c r="O431" s="73"/>
      <c r="P431" s="73"/>
      <c r="Q431" s="63"/>
    </row>
    <row r="432" spans="2:17" x14ac:dyDescent="0.3">
      <c r="B432" s="73"/>
      <c r="C432" s="73">
        <f t="shared" si="73"/>
        <v>725000</v>
      </c>
      <c r="D432" s="62" t="e">
        <f t="shared" si="74"/>
        <v>#DIV/0!</v>
      </c>
      <c r="E432" s="62" t="e">
        <f t="shared" si="75"/>
        <v>#DIV/0!</v>
      </c>
      <c r="F432" s="62">
        <f t="shared" si="76"/>
        <v>-11.333791465491228</v>
      </c>
      <c r="G432" s="67">
        <f t="shared" si="77"/>
        <v>-53.786912109973642</v>
      </c>
      <c r="H432" s="62" t="e">
        <f t="shared" si="78"/>
        <v>#DIV/0!</v>
      </c>
      <c r="I432" s="62" t="e">
        <f t="shared" si="79"/>
        <v>#DIV/0!</v>
      </c>
      <c r="J432" s="74"/>
      <c r="K432" s="73"/>
      <c r="L432" s="73"/>
      <c r="M432" s="73"/>
      <c r="N432" s="73"/>
      <c r="O432" s="73"/>
      <c r="P432" s="73"/>
      <c r="Q432" s="63"/>
    </row>
    <row r="433" spans="2:17" x14ac:dyDescent="0.3">
      <c r="B433" s="73"/>
      <c r="C433" s="73">
        <f t="shared" si="73"/>
        <v>730000</v>
      </c>
      <c r="D433" s="62" t="e">
        <f t="shared" si="74"/>
        <v>#DIV/0!</v>
      </c>
      <c r="E433" s="62" t="e">
        <f t="shared" si="75"/>
        <v>#DIV/0!</v>
      </c>
      <c r="F433" s="62">
        <f t="shared" si="76"/>
        <v>-11.372455848787503</v>
      </c>
      <c r="G433" s="67">
        <f t="shared" si="77"/>
        <v>-53.973016580989437</v>
      </c>
      <c r="H433" s="62" t="e">
        <f t="shared" si="78"/>
        <v>#DIV/0!</v>
      </c>
      <c r="I433" s="62" t="e">
        <f t="shared" si="79"/>
        <v>#DIV/0!</v>
      </c>
      <c r="J433" s="74"/>
      <c r="K433" s="73"/>
      <c r="L433" s="73"/>
      <c r="M433" s="73"/>
      <c r="N433" s="73"/>
      <c r="O433" s="73"/>
      <c r="P433" s="73"/>
      <c r="Q433" s="63"/>
    </row>
    <row r="434" spans="2:17" x14ac:dyDescent="0.3">
      <c r="B434" s="73"/>
      <c r="C434" s="73">
        <f t="shared" si="73"/>
        <v>735000</v>
      </c>
      <c r="D434" s="62" t="e">
        <f t="shared" si="74"/>
        <v>#DIV/0!</v>
      </c>
      <c r="E434" s="62" t="e">
        <f t="shared" si="75"/>
        <v>#DIV/0!</v>
      </c>
      <c r="F434" s="62">
        <f t="shared" si="76"/>
        <v>-11.411041254337528</v>
      </c>
      <c r="G434" s="67">
        <f t="shared" si="77"/>
        <v>-54.157482831313814</v>
      </c>
      <c r="H434" s="62" t="e">
        <f t="shared" si="78"/>
        <v>#DIV/0!</v>
      </c>
      <c r="I434" s="62" t="e">
        <f t="shared" si="79"/>
        <v>#DIV/0!</v>
      </c>
      <c r="J434" s="74"/>
      <c r="K434" s="73"/>
      <c r="L434" s="73"/>
      <c r="M434" s="73"/>
      <c r="N434" s="73"/>
      <c r="O434" s="73"/>
      <c r="P434" s="73"/>
      <c r="Q434" s="63"/>
    </row>
    <row r="435" spans="2:17" x14ac:dyDescent="0.3">
      <c r="B435" s="73"/>
      <c r="C435" s="73">
        <f t="shared" si="73"/>
        <v>740000</v>
      </c>
      <c r="D435" s="62" t="e">
        <f t="shared" si="74"/>
        <v>#DIV/0!</v>
      </c>
      <c r="E435" s="62" t="e">
        <f t="shared" si="75"/>
        <v>#DIV/0!</v>
      </c>
      <c r="F435" s="62">
        <f t="shared" si="76"/>
        <v>-11.449546754151012</v>
      </c>
      <c r="G435" s="67">
        <f t="shared" si="77"/>
        <v>-54.34032843294559</v>
      </c>
      <c r="H435" s="62" t="e">
        <f t="shared" si="78"/>
        <v>#DIV/0!</v>
      </c>
      <c r="I435" s="62" t="e">
        <f t="shared" si="79"/>
        <v>#DIV/0!</v>
      </c>
      <c r="J435" s="74"/>
      <c r="K435" s="73"/>
      <c r="L435" s="73"/>
      <c r="M435" s="73"/>
      <c r="N435" s="73"/>
      <c r="O435" s="73"/>
      <c r="P435" s="73"/>
      <c r="Q435" s="63"/>
    </row>
    <row r="436" spans="2:17" x14ac:dyDescent="0.3">
      <c r="B436" s="73"/>
      <c r="C436" s="73">
        <f t="shared" ref="C436:C499" si="80">C435+5000</f>
        <v>745000</v>
      </c>
      <c r="D436" s="62" t="e">
        <f t="shared" si="74"/>
        <v>#DIV/0!</v>
      </c>
      <c r="E436" s="62" t="e">
        <f t="shared" si="75"/>
        <v>#DIV/0!</v>
      </c>
      <c r="F436" s="62">
        <f t="shared" si="76"/>
        <v>-11.487971458889916</v>
      </c>
      <c r="G436" s="67">
        <f t="shared" si="77"/>
        <v>-54.521570790969101</v>
      </c>
      <c r="H436" s="62" t="e">
        <f t="shared" si="78"/>
        <v>#DIV/0!</v>
      </c>
      <c r="I436" s="62" t="e">
        <f t="shared" si="79"/>
        <v>#DIV/0!</v>
      </c>
      <c r="J436" s="74"/>
      <c r="K436" s="73"/>
      <c r="L436" s="73"/>
      <c r="M436" s="73"/>
      <c r="N436" s="73"/>
      <c r="O436" s="73"/>
      <c r="P436" s="73"/>
      <c r="Q436" s="63"/>
    </row>
    <row r="437" spans="2:17" x14ac:dyDescent="0.3">
      <c r="B437" s="73"/>
      <c r="C437" s="73">
        <f t="shared" si="80"/>
        <v>750000</v>
      </c>
      <c r="D437" s="62" t="e">
        <f t="shared" si="74"/>
        <v>#DIV/0!</v>
      </c>
      <c r="E437" s="62" t="e">
        <f t="shared" si="75"/>
        <v>#DIV/0!</v>
      </c>
      <c r="F437" s="62">
        <f t="shared" si="76"/>
        <v>-11.526314516837108</v>
      </c>
      <c r="G437" s="67">
        <f t="shared" si="77"/>
        <v>-54.701227143032291</v>
      </c>
      <c r="H437" s="62" t="e">
        <f t="shared" si="78"/>
        <v>#DIV/0!</v>
      </c>
      <c r="I437" s="62" t="e">
        <f t="shared" si="79"/>
        <v>#DIV/0!</v>
      </c>
      <c r="J437" s="74"/>
      <c r="K437" s="73"/>
      <c r="L437" s="73"/>
      <c r="M437" s="73"/>
      <c r="N437" s="73"/>
      <c r="O437" s="73"/>
      <c r="P437" s="73"/>
      <c r="Q437" s="63"/>
    </row>
    <row r="438" spans="2:17" x14ac:dyDescent="0.3">
      <c r="B438" s="73"/>
      <c r="C438" s="73">
        <f t="shared" si="80"/>
        <v>755000</v>
      </c>
      <c r="D438" s="62" t="e">
        <f t="shared" si="74"/>
        <v>#DIV/0!</v>
      </c>
      <c r="E438" s="62" t="e">
        <f t="shared" si="75"/>
        <v>#DIV/0!</v>
      </c>
      <c r="F438" s="62">
        <f t="shared" si="76"/>
        <v>-11.56457511288786</v>
      </c>
      <c r="G438" s="67">
        <f t="shared" si="77"/>
        <v>-54.879314558955556</v>
      </c>
      <c r="H438" s="62" t="e">
        <f t="shared" si="78"/>
        <v>#DIV/0!</v>
      </c>
      <c r="I438" s="62" t="e">
        <f t="shared" si="79"/>
        <v>#DIV/0!</v>
      </c>
      <c r="J438" s="74"/>
      <c r="K438" s="73"/>
      <c r="L438" s="73"/>
      <c r="M438" s="73"/>
      <c r="N438" s="73"/>
      <c r="O438" s="73"/>
      <c r="P438" s="73"/>
      <c r="Q438" s="63"/>
    </row>
    <row r="439" spans="2:17" x14ac:dyDescent="0.3">
      <c r="B439" s="73"/>
      <c r="C439" s="73">
        <f t="shared" si="80"/>
        <v>760000</v>
      </c>
      <c r="D439" s="62" t="e">
        <f t="shared" si="74"/>
        <v>#DIV/0!</v>
      </c>
      <c r="E439" s="62" t="e">
        <f t="shared" si="75"/>
        <v>#DIV/0!</v>
      </c>
      <c r="F439" s="62">
        <f t="shared" si="76"/>
        <v>-11.602752467563661</v>
      </c>
      <c r="G439" s="67">
        <f t="shared" si="77"/>
        <v>-55.055849940457897</v>
      </c>
      <c r="H439" s="62" t="e">
        <f t="shared" si="78"/>
        <v>#DIV/0!</v>
      </c>
      <c r="I439" s="62" t="e">
        <f t="shared" si="79"/>
        <v>#DIV/0!</v>
      </c>
      <c r="J439" s="74"/>
      <c r="K439" s="73"/>
      <c r="L439" s="73"/>
      <c r="M439" s="73"/>
      <c r="N439" s="73"/>
      <c r="O439" s="73"/>
      <c r="P439" s="73"/>
      <c r="Q439" s="63"/>
    </row>
    <row r="440" spans="2:17" x14ac:dyDescent="0.3">
      <c r="B440" s="73"/>
      <c r="C440" s="73">
        <f t="shared" si="80"/>
        <v>765000</v>
      </c>
      <c r="D440" s="62" t="e">
        <f t="shared" si="74"/>
        <v>#DIV/0!</v>
      </c>
      <c r="E440" s="62" t="e">
        <f t="shared" si="75"/>
        <v>#DIV/0!</v>
      </c>
      <c r="F440" s="62">
        <f t="shared" si="76"/>
        <v>-11.640845836048136</v>
      </c>
      <c r="G440" s="67">
        <f t="shared" si="77"/>
        <v>-55.230850021000265</v>
      </c>
      <c r="H440" s="62" t="e">
        <f t="shared" si="78"/>
        <v>#DIV/0!</v>
      </c>
      <c r="I440" s="62" t="e">
        <f t="shared" si="79"/>
        <v>#DIV/0!</v>
      </c>
      <c r="J440" s="74"/>
      <c r="K440" s="73"/>
      <c r="L440" s="73"/>
      <c r="M440" s="73"/>
      <c r="N440" s="73"/>
      <c r="O440" s="73"/>
      <c r="P440" s="73"/>
      <c r="Q440" s="63"/>
    </row>
    <row r="441" spans="2:17" x14ac:dyDescent="0.3">
      <c r="B441" s="73"/>
      <c r="C441" s="73">
        <f t="shared" si="80"/>
        <v>770000</v>
      </c>
      <c r="D441" s="62" t="e">
        <f t="shared" si="74"/>
        <v>#DIV/0!</v>
      </c>
      <c r="E441" s="62" t="e">
        <f t="shared" si="75"/>
        <v>#DIV/0!</v>
      </c>
      <c r="F441" s="62">
        <f t="shared" si="76"/>
        <v>-11.678854507244496</v>
      </c>
      <c r="G441" s="67">
        <f t="shared" si="77"/>
        <v>-55.404331365735445</v>
      </c>
      <c r="H441" s="62" t="e">
        <f t="shared" si="78"/>
        <v>#DIV/0!</v>
      </c>
      <c r="I441" s="62" t="e">
        <f t="shared" si="79"/>
        <v>#DIV/0!</v>
      </c>
      <c r="J441" s="74"/>
      <c r="K441" s="73"/>
      <c r="L441" s="73"/>
      <c r="M441" s="73"/>
      <c r="N441" s="73"/>
      <c r="O441" s="73"/>
      <c r="P441" s="73"/>
      <c r="Q441" s="63"/>
    </row>
    <row r="442" spans="2:17" x14ac:dyDescent="0.3">
      <c r="B442" s="73"/>
      <c r="C442" s="73">
        <f t="shared" si="80"/>
        <v>775000</v>
      </c>
      <c r="D442" s="62" t="e">
        <f t="shared" si="74"/>
        <v>#DIV/0!</v>
      </c>
      <c r="E442" s="62" t="e">
        <f t="shared" si="75"/>
        <v>#DIV/0!</v>
      </c>
      <c r="F442" s="62">
        <f t="shared" si="76"/>
        <v>-11.71677780285458</v>
      </c>
      <c r="G442" s="67">
        <f t="shared" si="77"/>
        <v>-55.576310371561839</v>
      </c>
      <c r="H442" s="62" t="e">
        <f t="shared" si="78"/>
        <v>#DIV/0!</v>
      </c>
      <c r="I442" s="62" t="e">
        <f t="shared" si="79"/>
        <v>#DIV/0!</v>
      </c>
      <c r="J442" s="74"/>
      <c r="K442" s="73"/>
      <c r="L442" s="73"/>
      <c r="M442" s="73"/>
      <c r="N442" s="73"/>
      <c r="O442" s="73"/>
      <c r="P442" s="73"/>
      <c r="Q442" s="63"/>
    </row>
    <row r="443" spans="2:17" x14ac:dyDescent="0.3">
      <c r="B443" s="73"/>
      <c r="C443" s="73">
        <f t="shared" si="80"/>
        <v>780000</v>
      </c>
      <c r="D443" s="62" t="e">
        <f t="shared" si="74"/>
        <v>#DIV/0!</v>
      </c>
      <c r="E443" s="62" t="e">
        <f t="shared" si="75"/>
        <v>#DIV/0!</v>
      </c>
      <c r="F443" s="62">
        <f t="shared" si="76"/>
        <v>-11.754615076478919</v>
      </c>
      <c r="G443" s="67">
        <f t="shared" si="77"/>
        <v>-55.746803267273521</v>
      </c>
      <c r="H443" s="62" t="e">
        <f t="shared" si="78"/>
        <v>#DIV/0!</v>
      </c>
      <c r="I443" s="62" t="e">
        <f t="shared" si="79"/>
        <v>#DIV/0!</v>
      </c>
      <c r="J443" s="74"/>
      <c r="K443" s="73"/>
      <c r="L443" s="73"/>
      <c r="M443" s="73"/>
      <c r="N443" s="73"/>
      <c r="O443" s="73"/>
      <c r="P443" s="73"/>
      <c r="Q443" s="63"/>
    </row>
    <row r="444" spans="2:17" x14ac:dyDescent="0.3">
      <c r="B444" s="73"/>
      <c r="C444" s="73">
        <f t="shared" si="80"/>
        <v>785000</v>
      </c>
      <c r="D444" s="62" t="e">
        <f t="shared" si="74"/>
        <v>#DIV/0!</v>
      </c>
      <c r="E444" s="62" t="e">
        <f t="shared" si="75"/>
        <v>#DIV/0!</v>
      </c>
      <c r="F444" s="62">
        <f t="shared" si="76"/>
        <v>-11.79236571273745</v>
      </c>
      <c r="G444" s="67">
        <f t="shared" si="77"/>
        <v>-55.915826113800875</v>
      </c>
      <c r="H444" s="62" t="e">
        <f t="shared" si="78"/>
        <v>#DIV/0!</v>
      </c>
      <c r="I444" s="62" t="e">
        <f t="shared" si="79"/>
        <v>#DIV/0!</v>
      </c>
      <c r="J444" s="74"/>
      <c r="K444" s="73"/>
      <c r="L444" s="73"/>
      <c r="M444" s="73"/>
      <c r="N444" s="73"/>
      <c r="O444" s="73"/>
      <c r="P444" s="73"/>
      <c r="Q444" s="63"/>
    </row>
    <row r="445" spans="2:17" x14ac:dyDescent="0.3">
      <c r="B445" s="73"/>
      <c r="C445" s="73">
        <f t="shared" si="80"/>
        <v>790000</v>
      </c>
      <c r="D445" s="62" t="e">
        <f t="shared" si="74"/>
        <v>#DIV/0!</v>
      </c>
      <c r="E445" s="62" t="e">
        <f t="shared" si="75"/>
        <v>#DIV/0!</v>
      </c>
      <c r="F445" s="62">
        <f t="shared" si="76"/>
        <v>-11.830029126410961</v>
      </c>
      <c r="G445" s="67">
        <f t="shared" si="77"/>
        <v>-56.083394804540227</v>
      </c>
      <c r="H445" s="62" t="e">
        <f t="shared" si="78"/>
        <v>#DIV/0!</v>
      </c>
      <c r="I445" s="62" t="e">
        <f t="shared" si="79"/>
        <v>#DIV/0!</v>
      </c>
      <c r="J445" s="74"/>
      <c r="K445" s="73"/>
      <c r="L445" s="73"/>
      <c r="M445" s="73"/>
      <c r="N445" s="73"/>
      <c r="O445" s="73"/>
      <c r="P445" s="73"/>
      <c r="Q445" s="63"/>
    </row>
    <row r="446" spans="2:17" x14ac:dyDescent="0.3">
      <c r="B446" s="73"/>
      <c r="C446" s="73">
        <f t="shared" si="80"/>
        <v>795000</v>
      </c>
      <c r="D446" s="62" t="e">
        <f t="shared" si="74"/>
        <v>#DIV/0!</v>
      </c>
      <c r="E446" s="62" t="e">
        <f t="shared" si="75"/>
        <v>#DIV/0!</v>
      </c>
      <c r="F446" s="62">
        <f t="shared" si="76"/>
        <v>-11.867604761602209</v>
      </c>
      <c r="G446" s="67">
        <f t="shared" si="77"/>
        <v>-56.249525065764793</v>
      </c>
      <c r="H446" s="62" t="e">
        <f t="shared" si="78"/>
        <v>#DIV/0!</v>
      </c>
      <c r="I446" s="62" t="e">
        <f t="shared" si="79"/>
        <v>#DIV/0!</v>
      </c>
      <c r="J446" s="74"/>
      <c r="K446" s="73"/>
      <c r="L446" s="73"/>
      <c r="M446" s="73"/>
      <c r="N446" s="73"/>
      <c r="O446" s="73"/>
      <c r="P446" s="73"/>
      <c r="Q446" s="63"/>
    </row>
    <row r="447" spans="2:17" x14ac:dyDescent="0.3">
      <c r="B447" s="73"/>
      <c r="C447" s="73">
        <f t="shared" si="80"/>
        <v>800000</v>
      </c>
      <c r="D447" s="62" t="e">
        <f t="shared" si="74"/>
        <v>#DIV/0!</v>
      </c>
      <c r="E447" s="62" t="e">
        <f t="shared" si="75"/>
        <v>#DIV/0!</v>
      </c>
      <c r="F447" s="62">
        <f t="shared" si="76"/>
        <v>-11.90509209091706</v>
      </c>
      <c r="G447" s="67">
        <f t="shared" si="77"/>
        <v>-56.414232457109819</v>
      </c>
      <c r="H447" s="62" t="e">
        <f t="shared" si="78"/>
        <v>#DIV/0!</v>
      </c>
      <c r="I447" s="62" t="e">
        <f t="shared" si="79"/>
        <v>#DIV/0!</v>
      </c>
      <c r="J447" s="74"/>
      <c r="K447" s="73"/>
      <c r="L447" s="73"/>
      <c r="M447" s="73"/>
      <c r="N447" s="73"/>
      <c r="O447" s="73"/>
      <c r="P447" s="73"/>
      <c r="Q447" s="63"/>
    </row>
    <row r="448" spans="2:17" x14ac:dyDescent="0.3">
      <c r="B448" s="73"/>
      <c r="C448" s="73">
        <f t="shared" si="80"/>
        <v>805000</v>
      </c>
      <c r="D448" s="62" t="e">
        <f t="shared" si="74"/>
        <v>#DIV/0!</v>
      </c>
      <c r="E448" s="62" t="e">
        <f t="shared" si="75"/>
        <v>#DIV/0!</v>
      </c>
      <c r="F448" s="62">
        <f t="shared" si="76"/>
        <v>-11.942490614665175</v>
      </c>
      <c r="G448" s="67">
        <f t="shared" si="77"/>
        <v>-56.57753237213398</v>
      </c>
      <c r="H448" s="62" t="e">
        <f t="shared" si="78"/>
        <v>#DIV/0!</v>
      </c>
      <c r="I448" s="62" t="e">
        <f t="shared" si="79"/>
        <v>#DIV/0!</v>
      </c>
      <c r="J448" s="74"/>
      <c r="K448" s="73"/>
      <c r="L448" s="73"/>
      <c r="M448" s="73"/>
      <c r="N448" s="73"/>
      <c r="O448" s="73"/>
      <c r="P448" s="73"/>
      <c r="Q448" s="63"/>
    </row>
    <row r="449" spans="2:17" x14ac:dyDescent="0.3">
      <c r="B449" s="73"/>
      <c r="C449" s="73">
        <f t="shared" si="80"/>
        <v>810000</v>
      </c>
      <c r="D449" s="62" t="e">
        <f t="shared" si="74"/>
        <v>#DIV/0!</v>
      </c>
      <c r="E449" s="62" t="e">
        <f t="shared" si="75"/>
        <v>#DIV/0!</v>
      </c>
      <c r="F449" s="62">
        <f t="shared" si="76"/>
        <v>-11.97979986007911</v>
      </c>
      <c r="G449" s="67">
        <f t="shared" si="77"/>
        <v>-56.739440038947421</v>
      </c>
      <c r="H449" s="62" t="e">
        <f t="shared" si="78"/>
        <v>#DIV/0!</v>
      </c>
      <c r="I449" s="62" t="e">
        <f t="shared" si="79"/>
        <v>#DIV/0!</v>
      </c>
      <c r="J449" s="74"/>
      <c r="K449" s="73"/>
      <c r="L449" s="73"/>
      <c r="M449" s="73"/>
      <c r="N449" s="73"/>
      <c r="O449" s="73"/>
      <c r="P449" s="73"/>
      <c r="Q449" s="63"/>
    </row>
    <row r="450" spans="2:17" x14ac:dyDescent="0.3">
      <c r="B450" s="73"/>
      <c r="C450" s="73">
        <f t="shared" si="80"/>
        <v>815000</v>
      </c>
      <c r="D450" s="62" t="e">
        <f t="shared" si="74"/>
        <v>#DIV/0!</v>
      </c>
      <c r="E450" s="62" t="e">
        <f t="shared" si="75"/>
        <v>#DIV/0!</v>
      </c>
      <c r="F450" s="62">
        <f t="shared" si="76"/>
        <v>-12.017019380553005</v>
      </c>
      <c r="G450" s="67">
        <f t="shared" si="77"/>
        <v>-56.899970520904212</v>
      </c>
      <c r="H450" s="62" t="e">
        <f t="shared" si="78"/>
        <v>#DIV/0!</v>
      </c>
      <c r="I450" s="62" t="e">
        <f t="shared" si="79"/>
        <v>#DIV/0!</v>
      </c>
      <c r="J450" s="74"/>
      <c r="K450" s="73"/>
      <c r="L450" s="73"/>
      <c r="M450" s="73"/>
      <c r="N450" s="73"/>
      <c r="O450" s="73"/>
      <c r="P450" s="73"/>
      <c r="Q450" s="63"/>
    </row>
    <row r="451" spans="2:17" x14ac:dyDescent="0.3">
      <c r="B451" s="73"/>
      <c r="C451" s="73">
        <f t="shared" si="80"/>
        <v>820000</v>
      </c>
      <c r="D451" s="62" t="e">
        <f t="shared" si="74"/>
        <v>#DIV/0!</v>
      </c>
      <c r="E451" s="62" t="e">
        <f t="shared" si="75"/>
        <v>#DIV/0!</v>
      </c>
      <c r="F451" s="62">
        <f t="shared" si="76"/>
        <v>-12.054148754899149</v>
      </c>
      <c r="G451" s="67">
        <f t="shared" si="77"/>
        <v>-57.059138717354145</v>
      </c>
      <c r="H451" s="62" t="e">
        <f t="shared" si="78"/>
        <v>#DIV/0!</v>
      </c>
      <c r="I451" s="62" t="e">
        <f t="shared" si="79"/>
        <v>#DIV/0!</v>
      </c>
      <c r="J451" s="74"/>
      <c r="K451" s="73"/>
      <c r="L451" s="73"/>
      <c r="M451" s="73"/>
      <c r="N451" s="73"/>
      <c r="O451" s="73"/>
      <c r="P451" s="73"/>
      <c r="Q451" s="63"/>
    </row>
    <row r="452" spans="2:17" x14ac:dyDescent="0.3">
      <c r="B452" s="73"/>
      <c r="C452" s="73">
        <f t="shared" si="80"/>
        <v>825000</v>
      </c>
      <c r="D452" s="62" t="e">
        <f t="shared" si="74"/>
        <v>#DIV/0!</v>
      </c>
      <c r="E452" s="62" t="e">
        <f t="shared" si="75"/>
        <v>#DIV/0!</v>
      </c>
      <c r="F452" s="62">
        <f t="shared" si="76"/>
        <v>-12.091187586622265</v>
      </c>
      <c r="G452" s="67">
        <f t="shared" si="77"/>
        <v>-57.216959364452762</v>
      </c>
      <c r="H452" s="62" t="e">
        <f t="shared" si="78"/>
        <v>#DIV/0!</v>
      </c>
      <c r="I452" s="62" t="e">
        <f t="shared" si="79"/>
        <v>#DIV/0!</v>
      </c>
      <c r="J452" s="74"/>
      <c r="K452" s="73"/>
      <c r="L452" s="73"/>
      <c r="M452" s="73"/>
      <c r="N452" s="73"/>
      <c r="O452" s="73"/>
      <c r="P452" s="73"/>
      <c r="Q452" s="63"/>
    </row>
    <row r="453" spans="2:17" x14ac:dyDescent="0.3">
      <c r="B453" s="73"/>
      <c r="C453" s="73">
        <f t="shared" si="80"/>
        <v>830000</v>
      </c>
      <c r="D453" s="62" t="e">
        <f t="shared" si="74"/>
        <v>#DIV/0!</v>
      </c>
      <c r="E453" s="62" t="e">
        <f t="shared" si="75"/>
        <v>#DIV/0!</v>
      </c>
      <c r="F453" s="62">
        <f t="shared" si="76"/>
        <v>-12.128135503212485</v>
      </c>
      <c r="G453" s="67">
        <f t="shared" si="77"/>
        <v>-57.373447036024203</v>
      </c>
      <c r="H453" s="62" t="e">
        <f t="shared" si="78"/>
        <v>#DIV/0!</v>
      </c>
      <c r="I453" s="62" t="e">
        <f t="shared" si="79"/>
        <v>#DIV/0!</v>
      </c>
      <c r="J453" s="74"/>
      <c r="K453" s="73"/>
      <c r="L453" s="73"/>
      <c r="M453" s="73"/>
      <c r="N453" s="73"/>
      <c r="O453" s="73"/>
      <c r="P453" s="73"/>
      <c r="Q453" s="63"/>
    </row>
    <row r="454" spans="2:17" x14ac:dyDescent="0.3">
      <c r="B454" s="73"/>
      <c r="C454" s="73">
        <f t="shared" si="80"/>
        <v>835000</v>
      </c>
      <c r="D454" s="62" t="e">
        <f t="shared" si="74"/>
        <v>#DIV/0!</v>
      </c>
      <c r="E454" s="62" t="e">
        <f t="shared" si="75"/>
        <v>#DIV/0!</v>
      </c>
      <c r="F454" s="62">
        <f t="shared" si="76"/>
        <v>-12.164992155454469</v>
      </c>
      <c r="G454" s="67">
        <f t="shared" si="77"/>
        <v>-57.528616144471798</v>
      </c>
      <c r="H454" s="62" t="e">
        <f t="shared" si="78"/>
        <v>#DIV/0!</v>
      </c>
      <c r="I454" s="62" t="e">
        <f t="shared" si="79"/>
        <v>#DIV/0!</v>
      </c>
      <c r="J454" s="74"/>
      <c r="K454" s="73"/>
      <c r="L454" s="73"/>
      <c r="M454" s="73"/>
      <c r="N454" s="73"/>
      <c r="O454" s="73"/>
      <c r="P454" s="73"/>
      <c r="Q454" s="63"/>
    </row>
    <row r="455" spans="2:17" x14ac:dyDescent="0.3">
      <c r="B455" s="73"/>
      <c r="C455" s="73">
        <f t="shared" si="80"/>
        <v>840000</v>
      </c>
      <c r="D455" s="62" t="e">
        <f t="shared" si="74"/>
        <v>#DIV/0!</v>
      </c>
      <c r="E455" s="62" t="e">
        <f t="shared" si="75"/>
        <v>#DIV/0!</v>
      </c>
      <c r="F455" s="62">
        <f t="shared" si="76"/>
        <v>-12.201757216754562</v>
      </c>
      <c r="G455" s="67">
        <f t="shared" si="77"/>
        <v>-57.682480941735982</v>
      </c>
      <c r="H455" s="62" t="e">
        <f t="shared" si="78"/>
        <v>#DIV/0!</v>
      </c>
      <c r="I455" s="62" t="e">
        <f t="shared" si="79"/>
        <v>#DIV/0!</v>
      </c>
      <c r="J455" s="74"/>
      <c r="K455" s="73"/>
      <c r="L455" s="73"/>
      <c r="M455" s="73"/>
      <c r="N455" s="73"/>
      <c r="O455" s="73"/>
      <c r="P455" s="73"/>
      <c r="Q455" s="63"/>
    </row>
    <row r="456" spans="2:17" x14ac:dyDescent="0.3">
      <c r="B456" s="73"/>
      <c r="C456" s="73">
        <f t="shared" si="80"/>
        <v>845000</v>
      </c>
      <c r="D456" s="62" t="e">
        <f t="shared" si="74"/>
        <v>#DIV/0!</v>
      </c>
      <c r="E456" s="62" t="e">
        <f t="shared" si="75"/>
        <v>#DIV/0!</v>
      </c>
      <c r="F456" s="62">
        <f t="shared" si="76"/>
        <v>-12.238430382483889</v>
      </c>
      <c r="G456" s="67">
        <f t="shared" si="77"/>
        <v>-57.8350555202965</v>
      </c>
      <c r="H456" s="62" t="e">
        <f t="shared" si="78"/>
        <v>#DIV/0!</v>
      </c>
      <c r="I456" s="62" t="e">
        <f t="shared" si="79"/>
        <v>#DIV/0!</v>
      </c>
      <c r="J456" s="74"/>
      <c r="K456" s="73"/>
      <c r="L456" s="73"/>
      <c r="M456" s="73"/>
      <c r="N456" s="73"/>
      <c r="O456" s="73"/>
      <c r="P456" s="73"/>
      <c r="Q456" s="63"/>
    </row>
    <row r="457" spans="2:17" x14ac:dyDescent="0.3">
      <c r="B457" s="73"/>
      <c r="C457" s="73">
        <f t="shared" si="80"/>
        <v>850000</v>
      </c>
      <c r="D457" s="62" t="e">
        <f t="shared" si="74"/>
        <v>#DIV/0!</v>
      </c>
      <c r="E457" s="62" t="e">
        <f t="shared" si="75"/>
        <v>#DIV/0!</v>
      </c>
      <c r="F457" s="62">
        <f t="shared" si="76"/>
        <v>-12.275011369338017</v>
      </c>
      <c r="G457" s="67">
        <f t="shared" si="77"/>
        <v>-57.986353814212514</v>
      </c>
      <c r="H457" s="62" t="e">
        <f t="shared" si="78"/>
        <v>#DIV/0!</v>
      </c>
      <c r="I457" s="62" t="e">
        <f t="shared" si="79"/>
        <v>#DIV/0!</v>
      </c>
      <c r="J457" s="74"/>
      <c r="K457" s="73"/>
      <c r="L457" s="73"/>
      <c r="M457" s="73"/>
      <c r="N457" s="73"/>
      <c r="O457" s="73"/>
      <c r="P457" s="73"/>
      <c r="Q457" s="63"/>
    </row>
    <row r="458" spans="2:17" x14ac:dyDescent="0.3">
      <c r="B458" s="73"/>
      <c r="C458" s="73">
        <f t="shared" si="80"/>
        <v>855000</v>
      </c>
      <c r="D458" s="62" t="e">
        <f t="shared" si="74"/>
        <v>#DIV/0!</v>
      </c>
      <c r="E458" s="62" t="e">
        <f t="shared" si="75"/>
        <v>#DIV/0!</v>
      </c>
      <c r="F458" s="62">
        <f t="shared" si="76"/>
        <v>-12.31149991471286</v>
      </c>
      <c r="G458" s="67">
        <f t="shared" si="77"/>
        <v>-58.136389600201483</v>
      </c>
      <c r="H458" s="62" t="e">
        <f t="shared" si="78"/>
        <v>#DIV/0!</v>
      </c>
      <c r="I458" s="62" t="e">
        <f t="shared" si="79"/>
        <v>#DIV/0!</v>
      </c>
      <c r="J458" s="74"/>
      <c r="K458" s="73"/>
      <c r="L458" s="73"/>
      <c r="M458" s="73"/>
      <c r="N458" s="73"/>
      <c r="O458" s="73"/>
      <c r="P458" s="73"/>
      <c r="Q458" s="63"/>
    </row>
    <row r="459" spans="2:17" x14ac:dyDescent="0.3">
      <c r="B459" s="73"/>
      <c r="C459" s="73">
        <f t="shared" si="80"/>
        <v>860000</v>
      </c>
      <c r="D459" s="62" t="e">
        <f t="shared" si="74"/>
        <v>#DIV/0!</v>
      </c>
      <c r="E459" s="62" t="e">
        <f t="shared" si="75"/>
        <v>#DIV/0!</v>
      </c>
      <c r="F459" s="62">
        <f t="shared" si="76"/>
        <v>-12.347895776095914</v>
      </c>
      <c r="G459" s="67">
        <f t="shared" si="77"/>
        <v>-58.2851764987523</v>
      </c>
      <c r="H459" s="62" t="e">
        <f t="shared" si="78"/>
        <v>#DIV/0!</v>
      </c>
      <c r="I459" s="62" t="e">
        <f t="shared" si="79"/>
        <v>#DIV/0!</v>
      </c>
      <c r="J459" s="74"/>
      <c r="K459" s="73"/>
      <c r="L459" s="73"/>
      <c r="M459" s="73"/>
      <c r="N459" s="73"/>
      <c r="O459" s="73"/>
      <c r="P459" s="73"/>
      <c r="Q459" s="63"/>
    </row>
    <row r="460" spans="2:17" x14ac:dyDescent="0.3">
      <c r="B460" s="73"/>
      <c r="C460" s="73">
        <f t="shared" si="80"/>
        <v>865000</v>
      </c>
      <c r="D460" s="62" t="e">
        <f t="shared" si="74"/>
        <v>#DIV/0!</v>
      </c>
      <c r="E460" s="62" t="e">
        <f t="shared" si="75"/>
        <v>#DIV/0!</v>
      </c>
      <c r="F460" s="62">
        <f t="shared" si="76"/>
        <v>-12.384198730472615</v>
      </c>
      <c r="G460" s="67">
        <f t="shared" si="77"/>
        <v>-58.432727975270325</v>
      </c>
      <c r="H460" s="62" t="e">
        <f t="shared" si="78"/>
        <v>#DIV/0!</v>
      </c>
      <c r="I460" s="62" t="e">
        <f t="shared" si="79"/>
        <v>#DIV/0!</v>
      </c>
      <c r="J460" s="74"/>
      <c r="K460" s="73"/>
      <c r="L460" s="73"/>
      <c r="M460" s="73"/>
      <c r="N460" s="73"/>
      <c r="O460" s="73"/>
      <c r="P460" s="73"/>
      <c r="Q460" s="63"/>
    </row>
    <row r="461" spans="2:17" x14ac:dyDescent="0.3">
      <c r="B461" s="73"/>
      <c r="C461" s="73">
        <f t="shared" si="80"/>
        <v>870000</v>
      </c>
      <c r="D461" s="62" t="e">
        <f t="shared" si="74"/>
        <v>#DIV/0!</v>
      </c>
      <c r="E461" s="62" t="e">
        <f t="shared" si="75"/>
        <v>#DIV/0!</v>
      </c>
      <c r="F461" s="62">
        <f t="shared" si="76"/>
        <v>-12.42040857374846</v>
      </c>
      <c r="G461" s="67">
        <f t="shared" si="77"/>
        <v>-58.579057341251364</v>
      </c>
      <c r="H461" s="62" t="e">
        <f t="shared" si="78"/>
        <v>#DIV/0!</v>
      </c>
      <c r="I461" s="62" t="e">
        <f t="shared" si="79"/>
        <v>#DIV/0!</v>
      </c>
      <c r="J461" s="74"/>
      <c r="K461" s="73"/>
      <c r="L461" s="73"/>
      <c r="M461" s="73"/>
      <c r="N461" s="73"/>
      <c r="O461" s="73"/>
      <c r="P461" s="73"/>
      <c r="Q461" s="63"/>
    </row>
    <row r="462" spans="2:17" x14ac:dyDescent="0.3">
      <c r="B462" s="73"/>
      <c r="C462" s="73">
        <f t="shared" si="80"/>
        <v>875000</v>
      </c>
      <c r="D462" s="62" t="e">
        <f t="shared" si="74"/>
        <v>#DIV/0!</v>
      </c>
      <c r="E462" s="62" t="e">
        <f t="shared" si="75"/>
        <v>#DIV/0!</v>
      </c>
      <c r="F462" s="62">
        <f t="shared" si="76"/>
        <v>-12.456525120185324</v>
      </c>
      <c r="G462" s="67">
        <f t="shared" si="77"/>
        <v>-58.724177755482735</v>
      </c>
      <c r="H462" s="62" t="e">
        <f t="shared" si="78"/>
        <v>#DIV/0!</v>
      </c>
      <c r="I462" s="62" t="e">
        <f t="shared" si="79"/>
        <v>#DIV/0!</v>
      </c>
      <c r="J462" s="74"/>
      <c r="K462" s="73"/>
      <c r="L462" s="73"/>
      <c r="M462" s="73"/>
      <c r="N462" s="73"/>
      <c r="O462" s="73"/>
      <c r="P462" s="73"/>
      <c r="Q462" s="63"/>
    </row>
    <row r="463" spans="2:17" x14ac:dyDescent="0.3">
      <c r="B463" s="73"/>
      <c r="C463" s="73">
        <f t="shared" si="80"/>
        <v>880000</v>
      </c>
      <c r="D463" s="62" t="e">
        <f t="shared" si="74"/>
        <v>#DIV/0!</v>
      </c>
      <c r="E463" s="62" t="e">
        <f t="shared" si="75"/>
        <v>#DIV/0!</v>
      </c>
      <c r="F463" s="62">
        <f t="shared" si="76"/>
        <v>-12.492548201851658</v>
      </c>
      <c r="G463" s="67">
        <f t="shared" si="77"/>
        <v>-58.868102225271898</v>
      </c>
      <c r="H463" s="62" t="e">
        <f t="shared" si="78"/>
        <v>#DIV/0!</v>
      </c>
      <c r="I463" s="62" t="e">
        <f t="shared" si="79"/>
        <v>#DIV/0!</v>
      </c>
      <c r="J463" s="74"/>
      <c r="K463" s="73"/>
      <c r="L463" s="73"/>
      <c r="M463" s="73"/>
      <c r="N463" s="73"/>
      <c r="O463" s="73"/>
      <c r="P463" s="73"/>
      <c r="Q463" s="63"/>
    </row>
    <row r="464" spans="2:17" x14ac:dyDescent="0.3">
      <c r="B464" s="73"/>
      <c r="C464" s="73">
        <f t="shared" si="80"/>
        <v>885000</v>
      </c>
      <c r="D464" s="62" t="e">
        <f t="shared" si="74"/>
        <v>#DIV/0!</v>
      </c>
      <c r="E464" s="62" t="e">
        <f t="shared" si="75"/>
        <v>#DIV/0!</v>
      </c>
      <c r="F464" s="62">
        <f t="shared" si="76"/>
        <v>-12.528477668087808</v>
      </c>
      <c r="G464" s="67">
        <f t="shared" si="77"/>
        <v>-59.010843607692856</v>
      </c>
      <c r="H464" s="62" t="e">
        <f t="shared" si="78"/>
        <v>#DIV/0!</v>
      </c>
      <c r="I464" s="62" t="e">
        <f t="shared" si="79"/>
        <v>#DIV/0!</v>
      </c>
      <c r="J464" s="74"/>
      <c r="K464" s="73"/>
      <c r="L464" s="73"/>
      <c r="M464" s="73"/>
      <c r="N464" s="73"/>
      <c r="O464" s="73"/>
      <c r="P464" s="73"/>
      <c r="Q464" s="63"/>
    </row>
    <row r="465" spans="2:17" x14ac:dyDescent="0.3">
      <c r="B465" s="73"/>
      <c r="C465" s="73">
        <f t="shared" si="80"/>
        <v>890000</v>
      </c>
      <c r="D465" s="62" t="e">
        <f t="shared" si="74"/>
        <v>#DIV/0!</v>
      </c>
      <c r="E465" s="62" t="e">
        <f t="shared" si="75"/>
        <v>#DIV/0!</v>
      </c>
      <c r="F465" s="62">
        <f t="shared" si="76"/>
        <v>-12.564313384984413</v>
      </c>
      <c r="G465" s="67">
        <f t="shared" si="77"/>
        <v>-59.152414610856738</v>
      </c>
      <c r="H465" s="62" t="e">
        <f t="shared" si="78"/>
        <v>#DIV/0!</v>
      </c>
      <c r="I465" s="62" t="e">
        <f t="shared" si="79"/>
        <v>#DIV/0!</v>
      </c>
      <c r="J465" s="74"/>
      <c r="K465" s="73"/>
      <c r="L465" s="73"/>
      <c r="M465" s="73"/>
      <c r="N465" s="73"/>
      <c r="O465" s="73"/>
      <c r="P465" s="73"/>
      <c r="Q465" s="63"/>
    </row>
    <row r="466" spans="2:17" x14ac:dyDescent="0.3">
      <c r="B466" s="73"/>
      <c r="C466" s="73">
        <f t="shared" si="80"/>
        <v>895000</v>
      </c>
      <c r="D466" s="62" t="e">
        <f t="shared" ref="D466:D529" si="81">20*LOG(Am*IMABS(IMDIV(IMDIV(IMDIV(IMPRODUCT( COMPLEX(1,C466/Fzesr),COMPLEX(1,-C466/Frhp) ),COMPLEX(1,C466/Flp) ),COMPLEX(1,C466/Fesrp) ),COMPLEX(1-C466^2/(Fdp^2),C466/Fsp) )))</f>
        <v>#DIV/0!</v>
      </c>
      <c r="E466" s="62" t="e">
        <f t="shared" ref="E466:E529" si="82">IMARGUMENT(IMDIV(IMDIV(IMDIV(IMPRODUCT( COMPLEX(1,C466/Fzesr),COMPLEX(1,-C466/Frhp) ),COMPLEX(1,C466/Flp) ),COMPLEX(1,C466/Fesrp) ),COMPLEX(1-C466^2/(Fdp^2),C466/Fsp) ))*180/pi</f>
        <v>#DIV/0!</v>
      </c>
      <c r="F466" s="62">
        <f t="shared" ref="F466:F529" si="83">20*LOG(Afb*IMABS(IMDIV(IMDIV(COMPLEX(1,C466/Fzea),COMPLEX(1,C466/Fpea)),COMPLEX(0,2*3.14*C466))))</f>
        <v>-12.600055234873956</v>
      </c>
      <c r="G466" s="67">
        <f t="shared" ref="G466:G529" si="84">IMARGUMENT(IMDIV(IMDIV(COMPLEX(1,C466/Fzea),COMPLEX(1,C466/Fpea)),COMPLEX(0,2*3.14*C466)))*180/pi</f>
        <v>-59.292827795201653</v>
      </c>
      <c r="H466" s="62" t="e">
        <f t="shared" ref="H466:H529" si="85">D466+F466</f>
        <v>#DIV/0!</v>
      </c>
      <c r="I466" s="62" t="e">
        <f t="shared" ref="I466:I529" si="86">E466+G466</f>
        <v>#DIV/0!</v>
      </c>
      <c r="J466" s="74"/>
      <c r="K466" s="73"/>
      <c r="L466" s="73"/>
      <c r="M466" s="73"/>
      <c r="N466" s="73"/>
      <c r="O466" s="73"/>
      <c r="P466" s="73"/>
      <c r="Q466" s="63"/>
    </row>
    <row r="467" spans="2:17" x14ac:dyDescent="0.3">
      <c r="B467" s="73"/>
      <c r="C467" s="73">
        <f t="shared" si="80"/>
        <v>900000</v>
      </c>
      <c r="D467" s="62" t="e">
        <f t="shared" si="81"/>
        <v>#DIV/0!</v>
      </c>
      <c r="E467" s="62" t="e">
        <f t="shared" si="82"/>
        <v>#DIV/0!</v>
      </c>
      <c r="F467" s="62">
        <f t="shared" si="83"/>
        <v>-12.635703115836261</v>
      </c>
      <c r="G467" s="67">
        <f t="shared" si="84"/>
        <v>-59.432095574795689</v>
      </c>
      <c r="H467" s="62" t="e">
        <f t="shared" si="85"/>
        <v>#DIV/0!</v>
      </c>
      <c r="I467" s="62" t="e">
        <f t="shared" si="86"/>
        <v>#DIV/0!</v>
      </c>
      <c r="J467" s="74"/>
      <c r="K467" s="73"/>
      <c r="L467" s="73"/>
      <c r="M467" s="73"/>
      <c r="N467" s="73"/>
      <c r="O467" s="73"/>
      <c r="P467" s="73"/>
      <c r="Q467" s="63"/>
    </row>
    <row r="468" spans="2:17" x14ac:dyDescent="0.3">
      <c r="B468" s="73"/>
      <c r="C468" s="73">
        <f t="shared" si="80"/>
        <v>905000</v>
      </c>
      <c r="D468" s="62" t="e">
        <f t="shared" si="81"/>
        <v>#DIV/0!</v>
      </c>
      <c r="E468" s="62" t="e">
        <f t="shared" si="82"/>
        <v>#DIV/0!</v>
      </c>
      <c r="F468" s="62">
        <f t="shared" si="83"/>
        <v>-12.671256941216232</v>
      </c>
      <c r="G468" s="67">
        <f t="shared" si="84"/>
        <v>-59.570230218659468</v>
      </c>
      <c r="H468" s="62" t="e">
        <f t="shared" si="85"/>
        <v>#DIV/0!</v>
      </c>
      <c r="I468" s="62" t="e">
        <f t="shared" si="86"/>
        <v>#DIV/0!</v>
      </c>
      <c r="J468" s="74"/>
      <c r="K468" s="73"/>
      <c r="L468" s="73"/>
      <c r="M468" s="73"/>
      <c r="N468" s="73"/>
      <c r="O468" s="73"/>
      <c r="P468" s="73"/>
      <c r="Q468" s="63"/>
    </row>
    <row r="469" spans="2:17" x14ac:dyDescent="0.3">
      <c r="B469" s="73"/>
      <c r="C469" s="73">
        <f t="shared" si="80"/>
        <v>910000</v>
      </c>
      <c r="D469" s="62" t="e">
        <f t="shared" si="81"/>
        <v>#DIV/0!</v>
      </c>
      <c r="E469" s="62" t="e">
        <f t="shared" si="82"/>
        <v>#DIV/0!</v>
      </c>
      <c r="F469" s="62">
        <f t="shared" si="83"/>
        <v>-12.706716639154134</v>
      </c>
      <c r="G469" s="67">
        <f t="shared" si="84"/>
        <v>-59.707243852097804</v>
      </c>
      <c r="H469" s="62" t="e">
        <f t="shared" si="85"/>
        <v>#DIV/0!</v>
      </c>
      <c r="I469" s="62" t="e">
        <f t="shared" si="86"/>
        <v>#DIV/0!</v>
      </c>
      <c r="J469" s="74"/>
      <c r="K469" s="73"/>
      <c r="L469" s="73"/>
      <c r="M469" s="73"/>
      <c r="N469" s="73"/>
      <c r="O469" s="73"/>
      <c r="P469" s="73"/>
      <c r="Q469" s="63"/>
    </row>
    <row r="470" spans="2:17" x14ac:dyDescent="0.3">
      <c r="B470" s="73"/>
      <c r="C470" s="73">
        <f t="shared" si="80"/>
        <v>915000</v>
      </c>
      <c r="D470" s="62" t="e">
        <f t="shared" si="81"/>
        <v>#DIV/0!</v>
      </c>
      <c r="E470" s="62" t="e">
        <f t="shared" si="82"/>
        <v>#DIV/0!</v>
      </c>
      <c r="F470" s="62">
        <f t="shared" si="83"/>
        <v>-12.742082152128498</v>
      </c>
      <c r="G470" s="67">
        <f t="shared" si="84"/>
        <v>-59.84314845804851</v>
      </c>
      <c r="H470" s="62" t="e">
        <f t="shared" si="85"/>
        <v>#DIV/0!</v>
      </c>
      <c r="I470" s="62" t="e">
        <f t="shared" si="86"/>
        <v>#DIV/0!</v>
      </c>
      <c r="J470" s="74"/>
      <c r="K470" s="73"/>
      <c r="L470" s="73"/>
      <c r="M470" s="73"/>
      <c r="N470" s="73"/>
      <c r="O470" s="73"/>
      <c r="P470" s="73"/>
      <c r="Q470" s="63"/>
    </row>
    <row r="471" spans="2:17" x14ac:dyDescent="0.3">
      <c r="B471" s="73"/>
      <c r="C471" s="73">
        <f t="shared" si="80"/>
        <v>920000</v>
      </c>
      <c r="D471" s="62" t="e">
        <f t="shared" si="81"/>
        <v>#DIV/0!</v>
      </c>
      <c r="E471" s="62" t="e">
        <f t="shared" si="82"/>
        <v>#DIV/0!</v>
      </c>
      <c r="F471" s="62">
        <f t="shared" si="83"/>
        <v>-12.777353436510692</v>
      </c>
      <c r="G471" s="67">
        <f t="shared" si="84"/>
        <v>-59.977955878435019</v>
      </c>
      <c r="H471" s="62" t="e">
        <f t="shared" si="85"/>
        <v>#DIV/0!</v>
      </c>
      <c r="I471" s="62" t="e">
        <f t="shared" si="86"/>
        <v>#DIV/0!</v>
      </c>
      <c r="J471" s="74"/>
      <c r="K471" s="73"/>
      <c r="L471" s="73"/>
      <c r="M471" s="73"/>
      <c r="N471" s="73"/>
      <c r="O471" s="73"/>
      <c r="P471" s="73"/>
      <c r="Q471" s="63"/>
    </row>
    <row r="472" spans="2:17" x14ac:dyDescent="0.3">
      <c r="B472" s="73"/>
      <c r="C472" s="73">
        <f t="shared" si="80"/>
        <v>925000</v>
      </c>
      <c r="D472" s="62" t="e">
        <f t="shared" si="81"/>
        <v>#DIV/0!</v>
      </c>
      <c r="E472" s="62" t="e">
        <f t="shared" si="82"/>
        <v>#DIV/0!</v>
      </c>
      <c r="F472" s="62">
        <f t="shared" si="83"/>
        <v>-12.812530462131155</v>
      </c>
      <c r="G472" s="67">
        <f t="shared" si="84"/>
        <v>-60.111677815533454</v>
      </c>
      <c r="H472" s="62" t="e">
        <f t="shared" si="85"/>
        <v>#DIV/0!</v>
      </c>
      <c r="I472" s="62" t="e">
        <f t="shared" si="86"/>
        <v>#DIV/0!</v>
      </c>
      <c r="J472" s="74"/>
      <c r="K472" s="73"/>
      <c r="L472" s="73"/>
      <c r="M472" s="73"/>
      <c r="N472" s="73"/>
      <c r="O472" s="73"/>
      <c r="P472" s="73"/>
      <c r="Q472" s="63"/>
    </row>
    <row r="473" spans="2:17" x14ac:dyDescent="0.3">
      <c r="B473" s="73"/>
      <c r="C473" s="73">
        <f t="shared" si="80"/>
        <v>930000</v>
      </c>
      <c r="D473" s="62" t="e">
        <f t="shared" si="81"/>
        <v>#DIV/0!</v>
      </c>
      <c r="E473" s="62" t="e">
        <f t="shared" si="82"/>
        <v>#DIV/0!</v>
      </c>
      <c r="F473" s="62">
        <f t="shared" si="83"/>
        <v>-12.847613211857441</v>
      </c>
      <c r="G473" s="67">
        <f t="shared" si="84"/>
        <v>-60.244325833345108</v>
      </c>
      <c r="H473" s="62" t="e">
        <f t="shared" si="85"/>
        <v>#DIV/0!</v>
      </c>
      <c r="I473" s="62" t="e">
        <f t="shared" si="86"/>
        <v>#DIV/0!</v>
      </c>
      <c r="J473" s="74"/>
      <c r="K473" s="73"/>
      <c r="L473" s="73"/>
      <c r="M473" s="73"/>
      <c r="N473" s="73"/>
      <c r="O473" s="73"/>
      <c r="P473" s="73"/>
      <c r="Q473" s="63"/>
    </row>
    <row r="474" spans="2:17" x14ac:dyDescent="0.3">
      <c r="B474" s="73"/>
      <c r="C474" s="73">
        <f t="shared" si="80"/>
        <v>935000</v>
      </c>
      <c r="D474" s="62" t="e">
        <f t="shared" si="81"/>
        <v>#DIV/0!</v>
      </c>
      <c r="E474" s="62" t="e">
        <f t="shared" si="82"/>
        <v>#DIV/0!</v>
      </c>
      <c r="F474" s="62">
        <f t="shared" si="83"/>
        <v>-12.882601681182685</v>
      </c>
      <c r="G474" s="67">
        <f t="shared" si="84"/>
        <v>-60.375911358973852</v>
      </c>
      <c r="H474" s="62" t="e">
        <f t="shared" si="85"/>
        <v>#DIV/0!</v>
      </c>
      <c r="I474" s="62" t="e">
        <f t="shared" si="86"/>
        <v>#DIV/0!</v>
      </c>
      <c r="J474" s="74"/>
      <c r="K474" s="73"/>
      <c r="L474" s="73"/>
      <c r="M474" s="73"/>
      <c r="N474" s="73"/>
      <c r="O474" s="73"/>
      <c r="P474" s="73"/>
      <c r="Q474" s="63"/>
    </row>
    <row r="475" spans="2:17" x14ac:dyDescent="0.3">
      <c r="B475" s="73"/>
      <c r="C475" s="73">
        <f t="shared" si="80"/>
        <v>940000</v>
      </c>
      <c r="D475" s="62" t="e">
        <f t="shared" si="81"/>
        <v>#DIV/0!</v>
      </c>
      <c r="E475" s="62" t="e">
        <f t="shared" si="82"/>
        <v>#DIV/0!</v>
      </c>
      <c r="F475" s="62">
        <f t="shared" si="83"/>
        <v>-12.917495877825802</v>
      </c>
      <c r="G475" s="67">
        <f t="shared" si="84"/>
        <v>-60.506445684011183</v>
      </c>
      <c r="H475" s="62" t="e">
        <f t="shared" si="85"/>
        <v>#DIV/0!</v>
      </c>
      <c r="I475" s="62" t="e">
        <f t="shared" si="86"/>
        <v>#DIV/0!</v>
      </c>
      <c r="J475" s="74"/>
      <c r="K475" s="73"/>
      <c r="L475" s="73"/>
      <c r="M475" s="73"/>
      <c r="N475" s="73"/>
      <c r="O475" s="73"/>
      <c r="P475" s="73"/>
      <c r="Q475" s="63"/>
    </row>
    <row r="476" spans="2:17" x14ac:dyDescent="0.3">
      <c r="B476" s="73"/>
      <c r="C476" s="73">
        <f t="shared" si="80"/>
        <v>945000</v>
      </c>
      <c r="D476" s="62" t="e">
        <f t="shared" si="81"/>
        <v>#DIV/0!</v>
      </c>
      <c r="E476" s="62" t="e">
        <f t="shared" si="82"/>
        <v>#DIV/0!</v>
      </c>
      <c r="F476" s="62">
        <f t="shared" si="83"/>
        <v>-12.952295821341689</v>
      </c>
      <c r="G476" s="67">
        <f t="shared" si="84"/>
        <v>-60.635939965923662</v>
      </c>
      <c r="H476" s="62" t="e">
        <f t="shared" si="85"/>
        <v>#DIV/0!</v>
      </c>
      <c r="I476" s="62" t="e">
        <f t="shared" si="86"/>
        <v>#DIV/0!</v>
      </c>
      <c r="J476" s="74"/>
      <c r="K476" s="73"/>
      <c r="L476" s="73"/>
      <c r="M476" s="73"/>
      <c r="N476" s="73"/>
      <c r="O476" s="73"/>
      <c r="P476" s="73"/>
      <c r="Q476" s="73"/>
    </row>
    <row r="477" spans="2:17" x14ac:dyDescent="0.3">
      <c r="B477" s="73"/>
      <c r="C477" s="73">
        <f t="shared" si="80"/>
        <v>950000</v>
      </c>
      <c r="D477" s="62" t="e">
        <f t="shared" si="81"/>
        <v>#DIV/0!</v>
      </c>
      <c r="E477" s="62" t="e">
        <f t="shared" si="82"/>
        <v>#DIV/0!</v>
      </c>
      <c r="F477" s="62">
        <f t="shared" si="83"/>
        <v>-12.987001542741899</v>
      </c>
      <c r="G477" s="67">
        <f t="shared" si="84"/>
        <v>-60.764405229442488</v>
      </c>
      <c r="H477" s="62" t="e">
        <f t="shared" si="85"/>
        <v>#DIV/0!</v>
      </c>
      <c r="I477" s="62" t="e">
        <f t="shared" si="86"/>
        <v>#DIV/0!</v>
      </c>
      <c r="J477" s="74"/>
      <c r="K477" s="73"/>
      <c r="L477" s="73"/>
      <c r="M477" s="73"/>
      <c r="N477" s="73"/>
      <c r="O477" s="73"/>
      <c r="P477" s="73"/>
      <c r="Q477" s="73"/>
    </row>
    <row r="478" spans="2:17" x14ac:dyDescent="0.3">
      <c r="B478" s="73"/>
      <c r="C478" s="73">
        <f t="shared" si="80"/>
        <v>955000</v>
      </c>
      <c r="D478" s="62" t="e">
        <f t="shared" si="81"/>
        <v>#DIV/0!</v>
      </c>
      <c r="E478" s="62" t="e">
        <f t="shared" si="82"/>
        <v>#DIV/0!</v>
      </c>
      <c r="F478" s="62">
        <f t="shared" si="83"/>
        <v>-13.021613084125885</v>
      </c>
      <c r="G478" s="67">
        <f t="shared" si="84"/>
        <v>-60.891852367956652</v>
      </c>
      <c r="H478" s="62" t="e">
        <f t="shared" si="85"/>
        <v>#DIV/0!</v>
      </c>
      <c r="I478" s="62" t="e">
        <f t="shared" si="86"/>
        <v>#DIV/0!</v>
      </c>
      <c r="J478" s="74"/>
      <c r="K478" s="73"/>
      <c r="L478" s="73"/>
      <c r="M478" s="73"/>
      <c r="N478" s="73"/>
      <c r="O478" s="73"/>
      <c r="P478" s="73"/>
      <c r="Q478" s="73"/>
    </row>
    <row r="479" spans="2:17" x14ac:dyDescent="0.3">
      <c r="B479" s="73"/>
      <c r="C479" s="73">
        <f t="shared" si="80"/>
        <v>960000</v>
      </c>
      <c r="D479" s="62" t="e">
        <f t="shared" si="81"/>
        <v>#DIV/0!</v>
      </c>
      <c r="E479" s="62" t="e">
        <f t="shared" si="82"/>
        <v>#DIV/0!</v>
      </c>
      <c r="F479" s="62">
        <f t="shared" si="83"/>
        <v>-13.056130498321361</v>
      </c>
      <c r="G479" s="67">
        <f t="shared" si="84"/>
        <v>-61.018292144905423</v>
      </c>
      <c r="H479" s="62" t="e">
        <f t="shared" si="85"/>
        <v>#DIV/0!</v>
      </c>
      <c r="I479" s="62" t="e">
        <f t="shared" si="86"/>
        <v>#DIV/0!</v>
      </c>
      <c r="J479" s="74"/>
      <c r="K479" s="73"/>
      <c r="L479" s="73"/>
      <c r="M479" s="73"/>
      <c r="N479" s="73"/>
      <c r="O479" s="73"/>
      <c r="P479" s="73"/>
      <c r="Q479" s="73"/>
    </row>
    <row r="480" spans="2:17" x14ac:dyDescent="0.3">
      <c r="B480" s="73"/>
      <c r="C480" s="73">
        <f t="shared" si="80"/>
        <v>965000</v>
      </c>
      <c r="D480" s="62" t="e">
        <f t="shared" si="81"/>
        <v>#DIV/0!</v>
      </c>
      <c r="E480" s="62" t="e">
        <f t="shared" si="82"/>
        <v>#DIV/0!</v>
      </c>
      <c r="F480" s="62">
        <f t="shared" si="83"/>
        <v>-13.090553848534942</v>
      </c>
      <c r="G480" s="67">
        <f t="shared" si="84"/>
        <v>-61.143735195171665</v>
      </c>
      <c r="H480" s="62" t="e">
        <f t="shared" si="85"/>
        <v>#DIV/0!</v>
      </c>
      <c r="I480" s="62" t="e">
        <f t="shared" si="86"/>
        <v>#DIV/0!</v>
      </c>
      <c r="J480" s="74"/>
      <c r="K480" s="73"/>
      <c r="L480" s="73"/>
      <c r="M480" s="73"/>
      <c r="N480" s="73"/>
      <c r="O480" s="73"/>
      <c r="P480" s="73"/>
      <c r="Q480" s="73"/>
    </row>
    <row r="481" spans="2:17" x14ac:dyDescent="0.3">
      <c r="B481" s="73"/>
      <c r="C481" s="73">
        <f t="shared" si="80"/>
        <v>970000</v>
      </c>
      <c r="D481" s="62" t="e">
        <f t="shared" si="81"/>
        <v>#DIV/0!</v>
      </c>
      <c r="E481" s="62" t="e">
        <f t="shared" si="82"/>
        <v>#DIV/0!</v>
      </c>
      <c r="F481" s="62">
        <f t="shared" si="83"/>
        <v>-13.124883208011951</v>
      </c>
      <c r="G481" s="67">
        <f t="shared" si="84"/>
        <v>-61.2681920264722</v>
      </c>
      <c r="H481" s="62" t="e">
        <f t="shared" si="85"/>
        <v>#DIV/0!</v>
      </c>
      <c r="I481" s="62" t="e">
        <f t="shared" si="86"/>
        <v>#DIV/0!</v>
      </c>
      <c r="J481" s="74"/>
      <c r="K481" s="73"/>
      <c r="L481" s="73"/>
      <c r="M481" s="73"/>
      <c r="N481" s="73"/>
      <c r="O481" s="73"/>
      <c r="P481" s="73"/>
      <c r="Q481" s="73"/>
    </row>
    <row r="482" spans="2:17" x14ac:dyDescent="0.3">
      <c r="B482" s="73"/>
      <c r="C482" s="73">
        <f t="shared" si="80"/>
        <v>975000</v>
      </c>
      <c r="D482" s="62" t="e">
        <f t="shared" si="81"/>
        <v>#DIV/0!</v>
      </c>
      <c r="E482" s="62" t="e">
        <f t="shared" si="82"/>
        <v>#DIV/0!</v>
      </c>
      <c r="F482" s="62">
        <f t="shared" si="83"/>
        <v>-13.159118659705202</v>
      </c>
      <c r="G482" s="67">
        <f t="shared" si="84"/>
        <v>-61.391673020749224</v>
      </c>
      <c r="H482" s="62" t="e">
        <f t="shared" si="85"/>
        <v>#DIV/0!</v>
      </c>
      <c r="I482" s="62" t="e">
        <f t="shared" si="86"/>
        <v>#DIV/0!</v>
      </c>
      <c r="J482" s="74"/>
      <c r="K482" s="73"/>
      <c r="L482" s="73"/>
      <c r="M482" s="73"/>
      <c r="N482" s="73"/>
      <c r="O482" s="73"/>
      <c r="P482" s="73"/>
      <c r="Q482" s="73"/>
    </row>
    <row r="483" spans="2:17" x14ac:dyDescent="0.3">
      <c r="B483" s="73"/>
      <c r="C483" s="73">
        <f t="shared" si="80"/>
        <v>980000</v>
      </c>
      <c r="D483" s="62" t="e">
        <f t="shared" si="81"/>
        <v>#DIV/0!</v>
      </c>
      <c r="E483" s="62" t="e">
        <f t="shared" si="82"/>
        <v>#DIV/0!</v>
      </c>
      <c r="F483" s="62">
        <f t="shared" si="83"/>
        <v>-13.193260295952998</v>
      </c>
      <c r="G483" s="67">
        <f t="shared" si="84"/>
        <v>-61.514188435556683</v>
      </c>
      <c r="H483" s="62" t="e">
        <f t="shared" si="85"/>
        <v>#DIV/0!</v>
      </c>
      <c r="I483" s="62" t="e">
        <f t="shared" si="86"/>
        <v>#DIV/0!</v>
      </c>
      <c r="J483" s="74"/>
      <c r="K483" s="73"/>
      <c r="L483" s="73"/>
      <c r="M483" s="73"/>
      <c r="N483" s="73"/>
      <c r="O483" s="73"/>
      <c r="P483" s="73"/>
      <c r="Q483" s="73"/>
    </row>
    <row r="484" spans="2:17" x14ac:dyDescent="0.3">
      <c r="B484" s="73"/>
      <c r="C484" s="73">
        <f t="shared" si="80"/>
        <v>985000</v>
      </c>
      <c r="D484" s="62" t="e">
        <f t="shared" si="81"/>
        <v>#DIV/0!</v>
      </c>
      <c r="E484" s="62" t="e">
        <f t="shared" si="82"/>
        <v>#DIV/0!</v>
      </c>
      <c r="F484" s="62">
        <f t="shared" si="83"/>
        <v>-13.227308218165861</v>
      </c>
      <c r="G484" s="67">
        <f t="shared" si="84"/>
        <v>-61.635748405444041</v>
      </c>
      <c r="H484" s="62" t="e">
        <f t="shared" si="85"/>
        <v>#DIV/0!</v>
      </c>
      <c r="I484" s="62" t="e">
        <f t="shared" si="86"/>
        <v>#DIV/0!</v>
      </c>
      <c r="J484" s="74"/>
      <c r="K484" s="73"/>
      <c r="L484" s="73"/>
      <c r="M484" s="73"/>
      <c r="N484" s="73"/>
      <c r="O484" s="73"/>
      <c r="P484" s="73"/>
      <c r="Q484" s="73"/>
    </row>
    <row r="485" spans="2:17" x14ac:dyDescent="0.3">
      <c r="B485" s="73"/>
      <c r="C485" s="73">
        <f t="shared" si="80"/>
        <v>990000</v>
      </c>
      <c r="D485" s="62" t="e">
        <f t="shared" si="81"/>
        <v>#DIV/0!</v>
      </c>
      <c r="E485" s="62" t="e">
        <f t="shared" si="82"/>
        <v>#DIV/0!</v>
      </c>
      <c r="F485" s="62">
        <f t="shared" si="83"/>
        <v>-13.261262536521564</v>
      </c>
      <c r="G485" s="67">
        <f t="shared" si="84"/>
        <v>-61.756362943336555</v>
      </c>
      <c r="H485" s="62" t="e">
        <f t="shared" si="85"/>
        <v>#DIV/0!</v>
      </c>
      <c r="I485" s="62" t="e">
        <f t="shared" si="86"/>
        <v>#DIV/0!</v>
      </c>
      <c r="J485" s="74"/>
      <c r="K485" s="73"/>
      <c r="L485" s="73"/>
      <c r="M485" s="73"/>
      <c r="N485" s="73"/>
      <c r="O485" s="73"/>
      <c r="P485" s="73"/>
      <c r="Q485" s="73"/>
    </row>
    <row r="486" spans="2:17" x14ac:dyDescent="0.3">
      <c r="B486" s="73"/>
      <c r="C486" s="73">
        <f t="shared" si="80"/>
        <v>995000</v>
      </c>
      <c r="D486" s="62" t="e">
        <f t="shared" si="81"/>
        <v>#DIV/0!</v>
      </c>
      <c r="E486" s="62" t="e">
        <f t="shared" si="82"/>
        <v>#DIV/0!</v>
      </c>
      <c r="F486" s="62">
        <f t="shared" si="83"/>
        <v>-13.295123369668371</v>
      </c>
      <c r="G486" s="67">
        <f t="shared" si="84"/>
        <v>-61.87604194190957</v>
      </c>
      <c r="H486" s="62" t="e">
        <f t="shared" si="85"/>
        <v>#DIV/0!</v>
      </c>
      <c r="I486" s="62" t="e">
        <f t="shared" si="86"/>
        <v>#DIV/0!</v>
      </c>
      <c r="J486" s="74"/>
      <c r="K486" s="73"/>
      <c r="L486" s="73"/>
      <c r="M486" s="73"/>
      <c r="N486" s="73"/>
      <c r="O486" s="73"/>
      <c r="P486" s="73"/>
      <c r="Q486" s="73"/>
    </row>
    <row r="487" spans="2:17" x14ac:dyDescent="0.3">
      <c r="B487" s="73"/>
      <c r="C487" s="73">
        <f t="shared" si="80"/>
        <v>1000000</v>
      </c>
      <c r="D487" s="62" t="e">
        <f t="shared" si="81"/>
        <v>#DIV/0!</v>
      </c>
      <c r="E487" s="62" t="e">
        <f t="shared" si="82"/>
        <v>#DIV/0!</v>
      </c>
      <c r="F487" s="62">
        <f t="shared" si="83"/>
        <v>-13.328890844436678</v>
      </c>
      <c r="G487" s="67">
        <f t="shared" si="84"/>
        <v>-61.994795174959684</v>
      </c>
      <c r="H487" s="62" t="e">
        <f t="shared" si="85"/>
        <v>#DIV/0!</v>
      </c>
      <c r="I487" s="62" t="e">
        <f t="shared" si="86"/>
        <v>#DIV/0!</v>
      </c>
      <c r="J487" s="74"/>
      <c r="K487" s="73"/>
      <c r="L487" s="73"/>
      <c r="M487" s="73"/>
      <c r="N487" s="73"/>
      <c r="O487" s="73"/>
      <c r="P487" s="73"/>
      <c r="Q487" s="73"/>
    </row>
    <row r="488" spans="2:17" x14ac:dyDescent="0.3">
      <c r="B488" s="73"/>
      <c r="C488" s="73">
        <f t="shared" si="80"/>
        <v>1005000</v>
      </c>
      <c r="D488" s="62" t="e">
        <f t="shared" si="81"/>
        <v>#DIV/0!</v>
      </c>
      <c r="E488" s="62" t="e">
        <f t="shared" si="82"/>
        <v>#DIV/0!</v>
      </c>
      <c r="F488" s="62">
        <f t="shared" si="83"/>
        <v>-13.362565095558637</v>
      </c>
      <c r="G488" s="67">
        <f t="shared" si="84"/>
        <v>-62.112632298766592</v>
      </c>
      <c r="H488" s="62" t="e">
        <f t="shared" si="85"/>
        <v>#DIV/0!</v>
      </c>
      <c r="I488" s="62" t="e">
        <f t="shared" si="86"/>
        <v>#DIV/0!</v>
      </c>
      <c r="J488" s="74"/>
      <c r="K488" s="73"/>
      <c r="L488" s="73"/>
      <c r="M488" s="73"/>
      <c r="N488" s="73"/>
      <c r="O488" s="73"/>
      <c r="P488" s="73"/>
      <c r="Q488" s="73"/>
    </row>
    <row r="489" spans="2:17" x14ac:dyDescent="0.3">
      <c r="B489" s="73"/>
      <c r="C489" s="73">
        <f t="shared" si="80"/>
        <v>1010000</v>
      </c>
      <c r="D489" s="62" t="e">
        <f t="shared" si="81"/>
        <v>#DIV/0!</v>
      </c>
      <c r="E489" s="62" t="e">
        <f t="shared" si="82"/>
        <v>#DIV/0!</v>
      </c>
      <c r="F489" s="62">
        <f t="shared" si="83"/>
        <v>-13.396146265394792</v>
      </c>
      <c r="G489" s="67">
        <f t="shared" si="84"/>
        <v>-62.229562853451839</v>
      </c>
      <c r="H489" s="62" t="e">
        <f t="shared" si="85"/>
        <v>#DIV/0!</v>
      </c>
      <c r="I489" s="62" t="e">
        <f t="shared" si="86"/>
        <v>#DIV/0!</v>
      </c>
      <c r="J489" s="74"/>
      <c r="K489" s="73"/>
      <c r="L489" s="73"/>
      <c r="M489" s="73"/>
      <c r="N489" s="73"/>
      <c r="O489" s="73"/>
      <c r="P489" s="73"/>
      <c r="Q489" s="73"/>
    </row>
    <row r="490" spans="2:17" x14ac:dyDescent="0.3">
      <c r="B490" s="73"/>
      <c r="C490" s="73">
        <f t="shared" si="80"/>
        <v>1015000</v>
      </c>
      <c r="D490" s="62" t="e">
        <f t="shared" si="81"/>
        <v>#DIV/0!</v>
      </c>
      <c r="E490" s="62" t="e">
        <f t="shared" si="82"/>
        <v>#DIV/0!</v>
      </c>
      <c r="F490" s="62">
        <f t="shared" si="83"/>
        <v>-13.429634503668893</v>
      </c>
      <c r="G490" s="67">
        <f t="shared" si="84"/>
        <v>-62.345596264329032</v>
      </c>
      <c r="H490" s="62" t="e">
        <f t="shared" si="85"/>
        <v>#DIV/0!</v>
      </c>
      <c r="I490" s="62" t="e">
        <f t="shared" si="86"/>
        <v>#DIV/0!</v>
      </c>
      <c r="J490" s="74"/>
      <c r="K490" s="73"/>
      <c r="L490" s="73"/>
      <c r="M490" s="73"/>
      <c r="N490" s="73"/>
      <c r="O490" s="73"/>
      <c r="P490" s="73"/>
      <c r="Q490" s="73"/>
    </row>
    <row r="491" spans="2:17" x14ac:dyDescent="0.3">
      <c r="B491" s="73"/>
      <c r="C491" s="73">
        <f t="shared" si="80"/>
        <v>1020000</v>
      </c>
      <c r="D491" s="62" t="e">
        <f t="shared" si="81"/>
        <v>#DIV/0!</v>
      </c>
      <c r="E491" s="62" t="e">
        <f t="shared" si="82"/>
        <v>#DIV/0!</v>
      </c>
      <c r="F491" s="62">
        <f t="shared" si="83"/>
        <v>-13.463029967209543</v>
      </c>
      <c r="G491" s="67">
        <f t="shared" si="84"/>
        <v>-62.460741843246964</v>
      </c>
      <c r="H491" s="62" t="e">
        <f t="shared" si="85"/>
        <v>#DIV/0!</v>
      </c>
      <c r="I491" s="62" t="e">
        <f t="shared" si="86"/>
        <v>#DIV/0!</v>
      </c>
      <c r="J491" s="74"/>
      <c r="K491" s="73"/>
      <c r="L491" s="73"/>
      <c r="M491" s="73"/>
      <c r="N491" s="73"/>
      <c r="O491" s="73"/>
      <c r="P491" s="73"/>
      <c r="Q491" s="73"/>
    </row>
    <row r="492" spans="2:17" x14ac:dyDescent="0.3">
      <c r="B492" s="73"/>
      <c r="C492" s="73">
        <f t="shared" si="80"/>
        <v>1025000</v>
      </c>
      <c r="D492" s="62" t="e">
        <f t="shared" si="81"/>
        <v>#DIV/0!</v>
      </c>
      <c r="E492" s="62" t="e">
        <f t="shared" si="82"/>
        <v>#DIV/0!</v>
      </c>
      <c r="F492" s="62">
        <f t="shared" si="83"/>
        <v>-13.496332819699379</v>
      </c>
      <c r="G492" s="67">
        <f t="shared" si="84"/>
        <v>-62.575008789924233</v>
      </c>
      <c r="H492" s="62" t="e">
        <f t="shared" si="85"/>
        <v>#DIV/0!</v>
      </c>
      <c r="I492" s="62" t="e">
        <f t="shared" si="86"/>
        <v>#DIV/0!</v>
      </c>
      <c r="J492" s="74"/>
      <c r="K492" s="73"/>
      <c r="L492" s="73"/>
      <c r="M492" s="73"/>
      <c r="N492" s="73"/>
      <c r="O492" s="73"/>
      <c r="P492" s="73"/>
      <c r="Q492" s="73"/>
    </row>
    <row r="493" spans="2:17" x14ac:dyDescent="0.3">
      <c r="B493" s="73"/>
      <c r="C493" s="73">
        <f t="shared" si="80"/>
        <v>1030000</v>
      </c>
      <c r="D493" s="62" t="e">
        <f t="shared" si="81"/>
        <v>#DIV/0!</v>
      </c>
      <c r="E493" s="62" t="e">
        <f t="shared" si="82"/>
        <v>#DIV/0!</v>
      </c>
      <c r="F493" s="62">
        <f t="shared" si="83"/>
        <v>-13.529543231430736</v>
      </c>
      <c r="G493" s="67">
        <f t="shared" si="84"/>
        <v>-62.688406193277579</v>
      </c>
      <c r="H493" s="62" t="e">
        <f t="shared" si="85"/>
        <v>#DIV/0!</v>
      </c>
      <c r="I493" s="62" t="e">
        <f t="shared" si="86"/>
        <v>#DIV/0!</v>
      </c>
      <c r="J493" s="74"/>
      <c r="K493" s="73"/>
      <c r="L493" s="73"/>
      <c r="M493" s="73"/>
      <c r="N493" s="73"/>
      <c r="O493" s="73"/>
      <c r="P493" s="73"/>
      <c r="Q493" s="73"/>
    </row>
    <row r="494" spans="2:17" x14ac:dyDescent="0.3">
      <c r="B494" s="73"/>
      <c r="C494" s="73">
        <f t="shared" si="80"/>
        <v>1035000</v>
      </c>
      <c r="D494" s="62" t="e">
        <f t="shared" si="81"/>
        <v>#DIV/0!</v>
      </c>
      <c r="E494" s="62" t="e">
        <f t="shared" si="82"/>
        <v>#DIV/0!</v>
      </c>
      <c r="F494" s="62">
        <f t="shared" si="83"/>
        <v>-13.56266137906851</v>
      </c>
      <c r="G494" s="67">
        <f t="shared" si="84"/>
        <v>-62.800943032737919</v>
      </c>
      <c r="H494" s="62" t="e">
        <f t="shared" si="85"/>
        <v>#DIV/0!</v>
      </c>
      <c r="I494" s="62" t="e">
        <f t="shared" si="86"/>
        <v>#DIV/0!</v>
      </c>
      <c r="J494" s="74"/>
      <c r="K494" s="73"/>
      <c r="L494" s="73"/>
      <c r="M494" s="73"/>
      <c r="N494" s="73"/>
      <c r="O494" s="73"/>
      <c r="P494" s="73"/>
      <c r="Q494" s="73"/>
    </row>
    <row r="495" spans="2:17" x14ac:dyDescent="0.3">
      <c r="B495" s="73"/>
      <c r="C495" s="73">
        <f t="shared" si="80"/>
        <v>1040000</v>
      </c>
      <c r="D495" s="62" t="e">
        <f t="shared" si="81"/>
        <v>#DIV/0!</v>
      </c>
      <c r="E495" s="62" t="e">
        <f t="shared" si="82"/>
        <v>#DIV/0!</v>
      </c>
      <c r="F495" s="62">
        <f t="shared" si="83"/>
        <v>-13.595687445418969</v>
      </c>
      <c r="G495" s="67">
        <f t="shared" si="84"/>
        <v>-62.912628179563008</v>
      </c>
      <c r="H495" s="62" t="e">
        <f t="shared" si="85"/>
        <v>#DIV/0!</v>
      </c>
      <c r="I495" s="62" t="e">
        <f t="shared" si="86"/>
        <v>#DIV/0!</v>
      </c>
      <c r="J495" s="74"/>
      <c r="K495" s="73"/>
      <c r="L495" s="73"/>
      <c r="M495" s="73"/>
      <c r="N495" s="73"/>
      <c r="O495" s="73"/>
      <c r="P495" s="73"/>
      <c r="Q495" s="73"/>
    </row>
    <row r="496" spans="2:17" x14ac:dyDescent="0.3">
      <c r="B496" s="73"/>
      <c r="C496" s="73">
        <f t="shared" si="80"/>
        <v>1045000</v>
      </c>
      <c r="D496" s="62" t="e">
        <f t="shared" si="81"/>
        <v>#DIV/0!</v>
      </c>
      <c r="E496" s="62" t="e">
        <f t="shared" si="82"/>
        <v>#DIV/0!</v>
      </c>
      <c r="F496" s="62">
        <f t="shared" si="83"/>
        <v>-13.628621619206051</v>
      </c>
      <c r="G496" s="67">
        <f t="shared" si="84"/>
        <v>-63.023470398134123</v>
      </c>
      <c r="H496" s="62" t="e">
        <f t="shared" si="85"/>
        <v>#DIV/0!</v>
      </c>
      <c r="I496" s="62" t="e">
        <f t="shared" si="86"/>
        <v>#DIV/0!</v>
      </c>
      <c r="J496" s="74"/>
      <c r="K496" s="73"/>
      <c r="L496" s="73"/>
      <c r="M496" s="73"/>
      <c r="N496" s="73"/>
      <c r="O496" s="73"/>
      <c r="P496" s="73"/>
      <c r="Q496" s="73"/>
    </row>
    <row r="497" spans="2:17" x14ac:dyDescent="0.3">
      <c r="B497" s="73"/>
      <c r="C497" s="73">
        <f t="shared" si="80"/>
        <v>1050000</v>
      </c>
      <c r="D497" s="62" t="e">
        <f t="shared" si="81"/>
        <v>#DIV/0!</v>
      </c>
      <c r="E497" s="62" t="e">
        <f t="shared" si="82"/>
        <v>#DIV/0!</v>
      </c>
      <c r="F497" s="62">
        <f t="shared" si="83"/>
        <v>-13.661464094852491</v>
      </c>
      <c r="G497" s="67">
        <f t="shared" si="84"/>
        <v>-63.133478347249238</v>
      </c>
      <c r="H497" s="62" t="e">
        <f t="shared" si="85"/>
        <v>#DIV/0!</v>
      </c>
      <c r="I497" s="62" t="e">
        <f t="shared" si="86"/>
        <v>#DIV/0!</v>
      </c>
      <c r="J497" s="74"/>
      <c r="K497" s="73"/>
      <c r="L497" s="73"/>
      <c r="M497" s="73"/>
      <c r="N497" s="73"/>
      <c r="O497" s="73"/>
      <c r="P497" s="73"/>
      <c r="Q497" s="73"/>
    </row>
    <row r="498" spans="2:17" x14ac:dyDescent="0.3">
      <c r="B498" s="73"/>
      <c r="C498" s="73">
        <f t="shared" si="80"/>
        <v>1055000</v>
      </c>
      <c r="D498" s="62" t="e">
        <f t="shared" si="81"/>
        <v>#DIV/0!</v>
      </c>
      <c r="E498" s="62" t="e">
        <f t="shared" si="82"/>
        <v>#DIV/0!</v>
      </c>
      <c r="F498" s="62">
        <f t="shared" si="83"/>
        <v>-13.694215072268346</v>
      </c>
      <c r="G498" s="67">
        <f t="shared" si="84"/>
        <v>-63.242660581402014</v>
      </c>
      <c r="H498" s="62" t="e">
        <f t="shared" si="85"/>
        <v>#DIV/0!</v>
      </c>
      <c r="I498" s="62" t="e">
        <f t="shared" si="86"/>
        <v>#DIV/0!</v>
      </c>
      <c r="J498" s="74"/>
      <c r="K498" s="73"/>
      <c r="L498" s="73"/>
      <c r="M498" s="73"/>
      <c r="N498" s="73"/>
      <c r="O498" s="73"/>
      <c r="P498" s="73"/>
      <c r="Q498" s="73"/>
    </row>
    <row r="499" spans="2:17" x14ac:dyDescent="0.3">
      <c r="B499" s="73"/>
      <c r="C499" s="73">
        <f t="shared" si="80"/>
        <v>1060000</v>
      </c>
      <c r="D499" s="62" t="e">
        <f t="shared" si="81"/>
        <v>#DIV/0!</v>
      </c>
      <c r="E499" s="62" t="e">
        <f t="shared" si="82"/>
        <v>#DIV/0!</v>
      </c>
      <c r="F499" s="62">
        <f t="shared" si="83"/>
        <v>-13.7268747566446</v>
      </c>
      <c r="G499" s="67">
        <f t="shared" si="84"/>
        <v>-63.351025552052775</v>
      </c>
      <c r="H499" s="62" t="e">
        <f t="shared" si="85"/>
        <v>#DIV/0!</v>
      </c>
      <c r="I499" s="62" t="e">
        <f t="shared" si="86"/>
        <v>#DIV/0!</v>
      </c>
      <c r="J499" s="74"/>
      <c r="K499" s="73"/>
      <c r="L499" s="73"/>
      <c r="M499" s="73"/>
      <c r="N499" s="73"/>
      <c r="O499" s="73"/>
      <c r="P499" s="73"/>
      <c r="Q499" s="73"/>
    </row>
    <row r="500" spans="2:17" x14ac:dyDescent="0.3">
      <c r="B500" s="73"/>
      <c r="C500" s="73">
        <f t="shared" ref="C500:C563" si="87">C499+5000</f>
        <v>1065000</v>
      </c>
      <c r="D500" s="62" t="e">
        <f t="shared" si="81"/>
        <v>#DIV/0!</v>
      </c>
      <c r="E500" s="62" t="e">
        <f t="shared" si="82"/>
        <v>#DIV/0!</v>
      </c>
      <c r="F500" s="62">
        <f t="shared" si="83"/>
        <v>-13.759443358252826</v>
      </c>
      <c r="G500" s="67">
        <f t="shared" si="84"/>
        <v>-63.458581608889048</v>
      </c>
      <c r="H500" s="62" t="e">
        <f t="shared" si="85"/>
        <v>#DIV/0!</v>
      </c>
      <c r="I500" s="62" t="e">
        <f t="shared" si="86"/>
        <v>#DIV/0!</v>
      </c>
      <c r="J500" s="74"/>
      <c r="K500" s="73"/>
      <c r="L500" s="73"/>
      <c r="M500" s="73"/>
      <c r="N500" s="73"/>
      <c r="O500" s="73"/>
      <c r="P500" s="73"/>
      <c r="Q500" s="73"/>
    </row>
    <row r="501" spans="2:17" x14ac:dyDescent="0.3">
      <c r="B501" s="73"/>
      <c r="C501" s="73">
        <f t="shared" si="87"/>
        <v>1070000</v>
      </c>
      <c r="D501" s="62" t="e">
        <f t="shared" si="81"/>
        <v>#DIV/0!</v>
      </c>
      <c r="E501" s="62" t="e">
        <f t="shared" si="82"/>
        <v>#DIV/0!</v>
      </c>
      <c r="F501" s="62">
        <f t="shared" si="83"/>
        <v>-13.791921092250572</v>
      </c>
      <c r="G501" s="67">
        <f t="shared" si="84"/>
        <v>-63.56533700107456</v>
      </c>
      <c r="H501" s="62" t="e">
        <f t="shared" si="85"/>
        <v>#DIV/0!</v>
      </c>
      <c r="I501" s="62" t="e">
        <f t="shared" si="86"/>
        <v>#DIV/0!</v>
      </c>
      <c r="J501" s="74"/>
      <c r="K501" s="73"/>
      <c r="L501" s="73"/>
      <c r="M501" s="73"/>
      <c r="N501" s="73"/>
      <c r="O501" s="73"/>
      <c r="P501" s="73"/>
      <c r="Q501" s="73"/>
    </row>
    <row r="502" spans="2:17" x14ac:dyDescent="0.3">
      <c r="B502" s="73"/>
      <c r="C502" s="73">
        <f t="shared" si="87"/>
        <v>1075000</v>
      </c>
      <c r="D502" s="62" t="e">
        <f t="shared" si="81"/>
        <v>#DIV/0!</v>
      </c>
      <c r="E502" s="62" t="e">
        <f t="shared" si="82"/>
        <v>#DIV/0!</v>
      </c>
      <c r="F502" s="62">
        <f t="shared" si="83"/>
        <v>-13.824308178492082</v>
      </c>
      <c r="G502" s="67">
        <f t="shared" si="84"/>
        <v>-63.67129987848751</v>
      </c>
      <c r="H502" s="62" t="e">
        <f t="shared" si="85"/>
        <v>#DIV/0!</v>
      </c>
      <c r="I502" s="62" t="e">
        <f t="shared" si="86"/>
        <v>#DIV/0!</v>
      </c>
      <c r="J502" s="74"/>
      <c r="K502" s="73"/>
      <c r="L502" s="73"/>
      <c r="M502" s="73"/>
      <c r="N502" s="73"/>
      <c r="O502" s="73"/>
      <c r="P502" s="73"/>
      <c r="Q502" s="73"/>
    </row>
    <row r="503" spans="2:17" x14ac:dyDescent="0.3">
      <c r="B503" s="73"/>
      <c r="C503" s="73">
        <f t="shared" si="87"/>
        <v>1080000</v>
      </c>
      <c r="D503" s="62" t="e">
        <f t="shared" si="81"/>
        <v>#DIV/0!</v>
      </c>
      <c r="E503" s="62" t="e">
        <f t="shared" si="82"/>
        <v>#DIV/0!</v>
      </c>
      <c r="F503" s="62">
        <f t="shared" si="83"/>
        <v>-13.856604841344364</v>
      </c>
      <c r="G503" s="67">
        <f t="shared" si="84"/>
        <v>-63.77647829294942</v>
      </c>
      <c r="H503" s="62" t="e">
        <f t="shared" si="85"/>
        <v>#DIV/0!</v>
      </c>
      <c r="I503" s="62" t="e">
        <f t="shared" si="86"/>
        <v>#DIV/0!</v>
      </c>
      <c r="J503" s="74"/>
      <c r="K503" s="73"/>
      <c r="L503" s="73"/>
      <c r="M503" s="73"/>
      <c r="N503" s="73"/>
      <c r="O503" s="73"/>
      <c r="P503" s="73"/>
      <c r="Q503" s="73"/>
    </row>
    <row r="504" spans="2:17" x14ac:dyDescent="0.3">
      <c r="B504" s="73"/>
      <c r="C504" s="73">
        <f t="shared" si="87"/>
        <v>1085000</v>
      </c>
      <c r="D504" s="62" t="e">
        <f t="shared" si="81"/>
        <v>#DIV/0!</v>
      </c>
      <c r="E504" s="62" t="e">
        <f t="shared" si="82"/>
        <v>#DIV/0!</v>
      </c>
      <c r="F504" s="62">
        <f t="shared" si="83"/>
        <v>-13.88881130950843</v>
      </c>
      <c r="G504" s="67">
        <f t="shared" si="84"/>
        <v>-63.880880199441521</v>
      </c>
      <c r="H504" s="62" t="e">
        <f t="shared" si="85"/>
        <v>#DIV/0!</v>
      </c>
      <c r="I504" s="62" t="e">
        <f t="shared" si="86"/>
        <v>#DIV/0!</v>
      </c>
      <c r="J504" s="74"/>
      <c r="K504" s="73"/>
      <c r="L504" s="73"/>
      <c r="M504" s="73"/>
      <c r="N504" s="73"/>
      <c r="O504" s="73"/>
      <c r="P504" s="73"/>
      <c r="Q504" s="73"/>
    </row>
    <row r="505" spans="2:17" x14ac:dyDescent="0.3">
      <c r="B505" s="73"/>
      <c r="C505" s="73">
        <f t="shared" si="87"/>
        <v>1090000</v>
      </c>
      <c r="D505" s="62" t="e">
        <f t="shared" si="81"/>
        <v>#DIV/0!</v>
      </c>
      <c r="E505" s="62" t="e">
        <f t="shared" si="82"/>
        <v>#DIV/0!</v>
      </c>
      <c r="F505" s="62">
        <f t="shared" si="83"/>
        <v>-13.920927815845713</v>
      </c>
      <c r="G505" s="67">
        <f t="shared" si="84"/>
        <v>-63.984513457309625</v>
      </c>
      <c r="H505" s="62" t="e">
        <f t="shared" si="85"/>
        <v>#DIV/0!</v>
      </c>
      <c r="I505" s="62" t="e">
        <f t="shared" si="86"/>
        <v>#DIV/0!</v>
      </c>
      <c r="J505" s="74"/>
      <c r="K505" s="73"/>
      <c r="L505" s="73"/>
      <c r="M505" s="73"/>
      <c r="N505" s="73"/>
      <c r="O505" s="73"/>
      <c r="P505" s="73"/>
      <c r="Q505" s="73"/>
    </row>
    <row r="506" spans="2:17" x14ac:dyDescent="0.3">
      <c r="B506" s="73"/>
      <c r="C506" s="73">
        <f t="shared" si="87"/>
        <v>1095000</v>
      </c>
      <c r="D506" s="62" t="e">
        <f t="shared" si="81"/>
        <v>#DIV/0!</v>
      </c>
      <c r="E506" s="62" t="e">
        <f t="shared" si="82"/>
        <v>#DIV/0!</v>
      </c>
      <c r="F506" s="62">
        <f t="shared" si="83"/>
        <v>-13.952954597209356</v>
      </c>
      <c r="G506" s="67">
        <f t="shared" si="84"/>
        <v>-64.087385831458434</v>
      </c>
      <c r="H506" s="62" t="e">
        <f t="shared" si="85"/>
        <v>#DIV/0!</v>
      </c>
      <c r="I506" s="62" t="e">
        <f t="shared" si="86"/>
        <v>#DIV/0!</v>
      </c>
      <c r="J506" s="74"/>
      <c r="K506" s="73"/>
      <c r="L506" s="73"/>
      <c r="M506" s="73"/>
      <c r="N506" s="73"/>
      <c r="O506" s="73"/>
      <c r="P506" s="73"/>
      <c r="Q506" s="73"/>
    </row>
    <row r="507" spans="2:17" x14ac:dyDescent="0.3">
      <c r="B507" s="73"/>
      <c r="C507" s="73">
        <f t="shared" si="87"/>
        <v>1100000</v>
      </c>
      <c r="D507" s="62" t="e">
        <f t="shared" si="81"/>
        <v>#DIV/0!</v>
      </c>
      <c r="E507" s="62" t="e">
        <f t="shared" si="82"/>
        <v>#DIV/0!</v>
      </c>
      <c r="F507" s="62">
        <f t="shared" si="83"/>
        <v>-13.984891894280301</v>
      </c>
      <c r="G507" s="67">
        <f t="shared" si="84"/>
        <v>-64.189504993533831</v>
      </c>
      <c r="H507" s="62" t="e">
        <f t="shared" si="85"/>
        <v>#DIV/0!</v>
      </c>
      <c r="I507" s="62" t="e">
        <f t="shared" si="86"/>
        <v>#DIV/0!</v>
      </c>
      <c r="J507" s="74"/>
      <c r="K507" s="73"/>
      <c r="L507" s="73"/>
      <c r="M507" s="73"/>
      <c r="N507" s="73"/>
      <c r="O507" s="73"/>
      <c r="P507" s="73"/>
      <c r="Q507" s="73"/>
    </row>
    <row r="508" spans="2:17" x14ac:dyDescent="0.3">
      <c r="B508" s="73"/>
      <c r="C508" s="73">
        <f t="shared" si="87"/>
        <v>1105000</v>
      </c>
      <c r="D508" s="62" t="e">
        <f t="shared" si="81"/>
        <v>#DIV/0!</v>
      </c>
      <c r="E508" s="62" t="e">
        <f t="shared" si="82"/>
        <v>#DIV/0!</v>
      </c>
      <c r="F508" s="62">
        <f t="shared" si="83"/>
        <v>-14.016739951407613</v>
      </c>
      <c r="G508" s="67">
        <f t="shared" si="84"/>
        <v>-64.290878523095088</v>
      </c>
      <c r="H508" s="62" t="e">
        <f t="shared" si="85"/>
        <v>#DIV/0!</v>
      </c>
      <c r="I508" s="62" t="e">
        <f t="shared" si="86"/>
        <v>#DIV/0!</v>
      </c>
      <c r="J508" s="74"/>
      <c r="K508" s="73"/>
      <c r="L508" s="73"/>
      <c r="M508" s="73"/>
      <c r="N508" s="73"/>
      <c r="O508" s="73"/>
      <c r="P508" s="73"/>
      <c r="Q508" s="73"/>
    </row>
    <row r="509" spans="2:17" x14ac:dyDescent="0.3">
      <c r="B509" s="73"/>
      <c r="C509" s="73">
        <f t="shared" si="87"/>
        <v>1110000</v>
      </c>
      <c r="D509" s="62" t="e">
        <f t="shared" si="81"/>
        <v>#DIV/0!</v>
      </c>
      <c r="E509" s="62" t="e">
        <f t="shared" si="82"/>
        <v>#DIV/0!</v>
      </c>
      <c r="F509" s="62">
        <f t="shared" si="83"/>
        <v>-14.04849901645451</v>
      </c>
      <c r="G509" s="67">
        <f t="shared" si="84"/>
        <v>-64.391513908771529</v>
      </c>
      <c r="H509" s="62" t="e">
        <f t="shared" si="85"/>
        <v>#DIV/0!</v>
      </c>
      <c r="I509" s="62" t="e">
        <f t="shared" si="86"/>
        <v>#DIV/0!</v>
      </c>
      <c r="J509" s="74"/>
      <c r="K509" s="73"/>
      <c r="L509" s="73"/>
      <c r="M509" s="73"/>
      <c r="N509" s="73"/>
      <c r="O509" s="73"/>
      <c r="P509" s="73"/>
      <c r="Q509" s="73"/>
    </row>
    <row r="510" spans="2:17" x14ac:dyDescent="0.3">
      <c r="B510" s="73"/>
      <c r="C510" s="73">
        <f t="shared" si="87"/>
        <v>1115000</v>
      </c>
      <c r="D510" s="62" t="e">
        <f t="shared" si="81"/>
        <v>#DIV/0!</v>
      </c>
      <c r="E510" s="62" t="e">
        <f t="shared" si="82"/>
        <v>#DIV/0!</v>
      </c>
      <c r="F510" s="62">
        <f t="shared" si="83"/>
        <v>-14.080169340647471</v>
      </c>
      <c r="G510" s="67">
        <f t="shared" si="84"/>
        <v>-64.491418549412614</v>
      </c>
      <c r="H510" s="62" t="e">
        <f t="shared" si="85"/>
        <v>#DIV/0!</v>
      </c>
      <c r="I510" s="62" t="e">
        <f t="shared" si="86"/>
        <v>#DIV/0!</v>
      </c>
      <c r="J510" s="74"/>
      <c r="K510" s="73"/>
      <c r="L510" s="73"/>
      <c r="M510" s="73"/>
      <c r="N510" s="73"/>
      <c r="O510" s="73"/>
      <c r="P510" s="73"/>
      <c r="Q510" s="73"/>
    </row>
    <row r="511" spans="2:17" x14ac:dyDescent="0.3">
      <c r="B511" s="73"/>
      <c r="C511" s="73">
        <f t="shared" si="87"/>
        <v>1120000</v>
      </c>
      <c r="D511" s="62" t="e">
        <f t="shared" si="81"/>
        <v>#DIV/0!</v>
      </c>
      <c r="E511" s="62" t="e">
        <f t="shared" si="82"/>
        <v>#DIV/0!</v>
      </c>
      <c r="F511" s="62">
        <f t="shared" si="83"/>
        <v>-14.111751178430262</v>
      </c>
      <c r="G511" s="67">
        <f t="shared" si="84"/>
        <v>-64.590599755222158</v>
      </c>
      <c r="H511" s="62" t="e">
        <f t="shared" si="85"/>
        <v>#DIV/0!</v>
      </c>
      <c r="I511" s="62" t="e">
        <f t="shared" si="86"/>
        <v>#DIV/0!</v>
      </c>
      <c r="J511" s="74"/>
      <c r="K511" s="73"/>
      <c r="L511" s="73"/>
      <c r="M511" s="73"/>
      <c r="N511" s="73"/>
      <c r="O511" s="73"/>
      <c r="P511" s="73"/>
      <c r="Q511" s="73"/>
    </row>
    <row r="512" spans="2:17" x14ac:dyDescent="0.3">
      <c r="B512" s="73"/>
      <c r="C512" s="73">
        <f t="shared" si="87"/>
        <v>1125000</v>
      </c>
      <c r="D512" s="62" t="e">
        <f t="shared" si="81"/>
        <v>#DIV/0!</v>
      </c>
      <c r="E512" s="62" t="e">
        <f t="shared" si="82"/>
        <v>#DIV/0!</v>
      </c>
      <c r="F512" s="62">
        <f t="shared" si="83"/>
        <v>-14.143244787322562</v>
      </c>
      <c r="G512" s="67">
        <f t="shared" si="84"/>
        <v>-64.689064748882203</v>
      </c>
      <c r="H512" s="62" t="e">
        <f t="shared" si="85"/>
        <v>#DIV/0!</v>
      </c>
      <c r="I512" s="62" t="e">
        <f t="shared" si="86"/>
        <v>#DIV/0!</v>
      </c>
      <c r="J512" s="74"/>
      <c r="K512" s="73"/>
      <c r="L512" s="73"/>
      <c r="M512" s="73"/>
      <c r="N512" s="73"/>
      <c r="O512" s="73"/>
      <c r="P512" s="73"/>
      <c r="Q512" s="73"/>
    </row>
    <row r="513" spans="2:17" x14ac:dyDescent="0.3">
      <c r="B513" s="73"/>
      <c r="C513" s="73">
        <f t="shared" si="87"/>
        <v>1130000</v>
      </c>
      <c r="D513" s="62" t="e">
        <f t="shared" si="81"/>
        <v>#DIV/0!</v>
      </c>
      <c r="E513" s="62" t="e">
        <f t="shared" si="82"/>
        <v>#DIV/0!</v>
      </c>
      <c r="F513" s="62">
        <f t="shared" si="83"/>
        <v>-14.174650427781913</v>
      </c>
      <c r="G513" s="67">
        <f t="shared" si="84"/>
        <v>-64.786820666665292</v>
      </c>
      <c r="H513" s="62" t="e">
        <f t="shared" si="85"/>
        <v>#DIV/0!</v>
      </c>
      <c r="I513" s="62" t="e">
        <f t="shared" si="86"/>
        <v>#DIV/0!</v>
      </c>
      <c r="J513" s="74"/>
      <c r="K513" s="73"/>
      <c r="L513" s="73"/>
      <c r="M513" s="73"/>
      <c r="N513" s="73"/>
      <c r="O513" s="73"/>
      <c r="P513" s="73"/>
      <c r="Q513" s="73"/>
    </row>
    <row r="514" spans="2:17" x14ac:dyDescent="0.3">
      <c r="B514" s="73"/>
      <c r="C514" s="73">
        <f t="shared" si="87"/>
        <v>1135000</v>
      </c>
      <c r="D514" s="62" t="e">
        <f t="shared" si="81"/>
        <v>#DIV/0!</v>
      </c>
      <c r="E514" s="62" t="e">
        <f t="shared" si="82"/>
        <v>#DIV/0!</v>
      </c>
      <c r="F514" s="62">
        <f t="shared" si="83"/>
        <v>-14.20596836307001</v>
      </c>
      <c r="G514" s="67">
        <f t="shared" si="84"/>
        <v>-64.883874559534377</v>
      </c>
      <c r="H514" s="62" t="e">
        <f t="shared" si="85"/>
        <v>#DIV/0!</v>
      </c>
      <c r="I514" s="62" t="e">
        <f t="shared" si="86"/>
        <v>#DIV/0!</v>
      </c>
      <c r="J514" s="74"/>
      <c r="K514" s="73"/>
      <c r="L514" s="73"/>
      <c r="M514" s="73"/>
      <c r="N514" s="73"/>
      <c r="O514" s="73"/>
      <c r="P514" s="73"/>
      <c r="Q514" s="73"/>
    </row>
    <row r="515" spans="2:17" x14ac:dyDescent="0.3">
      <c r="B515" s="73"/>
      <c r="C515" s="73">
        <f t="shared" si="87"/>
        <v>1140000</v>
      </c>
      <c r="D515" s="62" t="e">
        <f t="shared" si="81"/>
        <v>#DIV/0!</v>
      </c>
      <c r="E515" s="62" t="e">
        <f t="shared" si="82"/>
        <v>#DIV/0!</v>
      </c>
      <c r="F515" s="62">
        <f t="shared" si="83"/>
        <v>-14.237198859123012</v>
      </c>
      <c r="G515" s="67">
        <f t="shared" si="84"/>
        <v>-64.980233394230197</v>
      </c>
      <c r="H515" s="62" t="e">
        <f t="shared" si="85"/>
        <v>#DIV/0!</v>
      </c>
      <c r="I515" s="62" t="e">
        <f t="shared" si="86"/>
        <v>#DIV/0!</v>
      </c>
      <c r="J515" s="74"/>
      <c r="K515" s="73"/>
      <c r="L515" s="73"/>
      <c r="M515" s="73"/>
      <c r="N515" s="73"/>
      <c r="O515" s="73"/>
      <c r="P515" s="73"/>
      <c r="Q515" s="73"/>
    </row>
    <row r="516" spans="2:17" x14ac:dyDescent="0.3">
      <c r="B516" s="73"/>
      <c r="C516" s="73">
        <f t="shared" si="87"/>
        <v>1145000</v>
      </c>
      <c r="D516" s="62" t="e">
        <f t="shared" si="81"/>
        <v>#DIV/0!</v>
      </c>
      <c r="E516" s="62" t="e">
        <f t="shared" si="82"/>
        <v>#DIV/0!</v>
      </c>
      <c r="F516" s="62">
        <f t="shared" si="83"/>
        <v>-14.268342184425117</v>
      </c>
      <c r="G516" s="67">
        <f t="shared" si="84"/>
        <v>-65.075904054348428</v>
      </c>
      <c r="H516" s="62" t="e">
        <f t="shared" si="85"/>
        <v>#DIV/0!</v>
      </c>
      <c r="I516" s="62" t="e">
        <f t="shared" si="86"/>
        <v>#DIV/0!</v>
      </c>
      <c r="J516" s="74"/>
      <c r="K516" s="73"/>
      <c r="L516" s="73"/>
      <c r="M516" s="73"/>
      <c r="N516" s="73"/>
      <c r="O516" s="73"/>
      <c r="P516" s="73"/>
      <c r="Q516" s="73"/>
    </row>
    <row r="517" spans="2:17" x14ac:dyDescent="0.3">
      <c r="B517" s="73"/>
      <c r="C517" s="73">
        <f t="shared" si="87"/>
        <v>1150000</v>
      </c>
      <c r="D517" s="62" t="e">
        <f t="shared" si="81"/>
        <v>#DIV/0!</v>
      </c>
      <c r="E517" s="62" t="e">
        <f t="shared" si="82"/>
        <v>#DIV/0!</v>
      </c>
      <c r="F517" s="62">
        <f t="shared" si="83"/>
        <v>-14.299398609886635</v>
      </c>
      <c r="G517" s="67">
        <f t="shared" si="84"/>
        <v>-65.17089334140195</v>
      </c>
      <c r="H517" s="62" t="e">
        <f t="shared" si="85"/>
        <v>#DIV/0!</v>
      </c>
      <c r="I517" s="62" t="e">
        <f t="shared" si="86"/>
        <v>#DIV/0!</v>
      </c>
      <c r="J517" s="74"/>
      <c r="K517" s="73"/>
      <c r="L517" s="73"/>
      <c r="M517" s="73"/>
      <c r="N517" s="73"/>
      <c r="O517" s="73"/>
      <c r="P517" s="73"/>
      <c r="Q517" s="73"/>
    </row>
    <row r="518" spans="2:17" x14ac:dyDescent="0.3">
      <c r="B518" s="73"/>
      <c r="C518" s="73">
        <f t="shared" si="87"/>
        <v>1155000</v>
      </c>
      <c r="D518" s="62" t="e">
        <f t="shared" si="81"/>
        <v>#DIV/0!</v>
      </c>
      <c r="E518" s="62" t="e">
        <f t="shared" si="82"/>
        <v>#DIV/0!</v>
      </c>
      <c r="F518" s="62">
        <f t="shared" si="83"/>
        <v>-14.330368408724578</v>
      </c>
      <c r="G518" s="67">
        <f t="shared" si="84"/>
        <v>-65.265207975875157</v>
      </c>
      <c r="H518" s="62" t="e">
        <f t="shared" si="85"/>
        <v>#DIV/0!</v>
      </c>
      <c r="I518" s="62" t="e">
        <f t="shared" si="86"/>
        <v>#DIV/0!</v>
      </c>
      <c r="J518" s="74"/>
      <c r="K518" s="73"/>
      <c r="L518" s="73"/>
      <c r="M518" s="73"/>
      <c r="N518" s="73"/>
      <c r="O518" s="73"/>
      <c r="P518" s="73"/>
      <c r="Q518" s="73"/>
    </row>
    <row r="519" spans="2:17" x14ac:dyDescent="0.3">
      <c r="B519" s="73"/>
      <c r="C519" s="73">
        <f t="shared" si="87"/>
        <v>1160000</v>
      </c>
      <c r="D519" s="62" t="e">
        <f t="shared" si="81"/>
        <v>#DIV/0!</v>
      </c>
      <c r="E519" s="62" t="e">
        <f t="shared" si="82"/>
        <v>#DIV/0!</v>
      </c>
      <c r="F519" s="62">
        <f t="shared" si="83"/>
        <v>-14.361251856347572</v>
      </c>
      <c r="G519" s="67">
        <f t="shared" si="84"/>
        <v>-65.358854598261843</v>
      </c>
      <c r="H519" s="62" t="e">
        <f t="shared" si="85"/>
        <v>#DIV/0!</v>
      </c>
      <c r="I519" s="62" t="e">
        <f t="shared" si="86"/>
        <v>#DIV/0!</v>
      </c>
      <c r="J519" s="74"/>
      <c r="K519" s="73"/>
      <c r="L519" s="73"/>
      <c r="M519" s="73"/>
      <c r="N519" s="73"/>
      <c r="O519" s="73"/>
      <c r="P519" s="73"/>
      <c r="Q519" s="73"/>
    </row>
    <row r="520" spans="2:17" x14ac:dyDescent="0.3">
      <c r="B520" s="73"/>
      <c r="C520" s="73">
        <f t="shared" si="87"/>
        <v>1165000</v>
      </c>
      <c r="D520" s="62" t="e">
        <f t="shared" si="81"/>
        <v>#DIV/0!</v>
      </c>
      <c r="E520" s="62" t="e">
        <f t="shared" si="82"/>
        <v>#DIV/0!</v>
      </c>
      <c r="F520" s="62">
        <f t="shared" si="83"/>
        <v>-14.392049230243821</v>
      </c>
      <c r="G520" s="67">
        <f t="shared" si="84"/>
        <v>-65.451839770095063</v>
      </c>
      <c r="H520" s="62" t="e">
        <f t="shared" si="85"/>
        <v>#DIV/0!</v>
      </c>
      <c r="I520" s="62" t="e">
        <f t="shared" si="86"/>
        <v>#DIV/0!</v>
      </c>
      <c r="J520" s="74"/>
      <c r="K520" s="73"/>
      <c r="L520" s="73"/>
      <c r="M520" s="73"/>
      <c r="N520" s="73"/>
      <c r="O520" s="73"/>
      <c r="P520" s="73"/>
      <c r="Q520" s="73"/>
    </row>
    <row r="521" spans="2:17" x14ac:dyDescent="0.3">
      <c r="B521" s="73"/>
      <c r="C521" s="73">
        <f t="shared" si="87"/>
        <v>1170000</v>
      </c>
      <c r="D521" s="62" t="e">
        <f t="shared" si="81"/>
        <v>#DIV/0!</v>
      </c>
      <c r="E521" s="62" t="e">
        <f t="shared" si="82"/>
        <v>#DIV/0!</v>
      </c>
      <c r="F521" s="62">
        <f t="shared" si="83"/>
        <v>-14.422760809872111</v>
      </c>
      <c r="G521" s="67">
        <f t="shared" si="84"/>
        <v>-65.54416997496314</v>
      </c>
      <c r="H521" s="62" t="e">
        <f t="shared" si="85"/>
        <v>#DIV/0!</v>
      </c>
      <c r="I521" s="62" t="e">
        <f t="shared" si="86"/>
        <v>#DIV/0!</v>
      </c>
      <c r="J521" s="74"/>
      <c r="K521" s="73"/>
      <c r="L521" s="73"/>
      <c r="M521" s="73"/>
      <c r="N521" s="73"/>
      <c r="O521" s="73"/>
      <c r="P521" s="73"/>
      <c r="Q521" s="73"/>
    </row>
    <row r="522" spans="2:17" x14ac:dyDescent="0.3">
      <c r="B522" s="73"/>
      <c r="C522" s="73">
        <f t="shared" si="87"/>
        <v>1175000</v>
      </c>
      <c r="D522" s="62" t="e">
        <f t="shared" si="81"/>
        <v>#DIV/0!</v>
      </c>
      <c r="E522" s="62" t="e">
        <f t="shared" si="82"/>
        <v>#DIV/0!</v>
      </c>
      <c r="F522" s="62">
        <f t="shared" si="83"/>
        <v>-14.453386876556864</v>
      </c>
      <c r="G522" s="67">
        <f t="shared" si="84"/>
        <v>-65.635851619512891</v>
      </c>
      <c r="H522" s="62" t="e">
        <f t="shared" si="85"/>
        <v>#DIV/0!</v>
      </c>
      <c r="I522" s="62" t="e">
        <f t="shared" si="86"/>
        <v>#DIV/0!</v>
      </c>
      <c r="J522" s="74"/>
      <c r="K522" s="73"/>
      <c r="L522" s="73"/>
      <c r="M522" s="73"/>
      <c r="N522" s="73"/>
      <c r="O522" s="73"/>
      <c r="P522" s="73"/>
      <c r="Q522" s="73"/>
    </row>
    <row r="523" spans="2:17" x14ac:dyDescent="0.3">
      <c r="B523" s="73"/>
      <c r="C523" s="73">
        <f t="shared" si="87"/>
        <v>1180000</v>
      </c>
      <c r="D523" s="62" t="e">
        <f t="shared" si="81"/>
        <v>#DIV/0!</v>
      </c>
      <c r="E523" s="62" t="e">
        <f t="shared" si="82"/>
        <v>#DIV/0!</v>
      </c>
      <c r="F523" s="62">
        <f t="shared" si="83"/>
        <v>-14.483927713385141</v>
      </c>
      <c r="G523" s="67">
        <f t="shared" si="84"/>
        <v>-65.726891034443639</v>
      </c>
      <c r="H523" s="62" t="e">
        <f t="shared" si="85"/>
        <v>#DIV/0!</v>
      </c>
      <c r="I523" s="62" t="e">
        <f t="shared" si="86"/>
        <v>#DIV/0!</v>
      </c>
      <c r="J523" s="74"/>
      <c r="K523" s="73"/>
      <c r="L523" s="73"/>
      <c r="M523" s="73"/>
      <c r="N523" s="73"/>
      <c r="O523" s="73"/>
      <c r="P523" s="73"/>
      <c r="Q523" s="73"/>
    </row>
    <row r="524" spans="2:17" x14ac:dyDescent="0.3">
      <c r="B524" s="73"/>
      <c r="C524" s="73">
        <f t="shared" si="87"/>
        <v>1185000</v>
      </c>
      <c r="D524" s="62" t="e">
        <f t="shared" si="81"/>
        <v>#DIV/0!</v>
      </c>
      <c r="E524" s="62" t="e">
        <f t="shared" si="82"/>
        <v>#DIV/0!</v>
      </c>
      <c r="F524" s="62">
        <f t="shared" si="83"/>
        <v>-14.514383605107327</v>
      </c>
      <c r="G524" s="67">
        <f t="shared" si="84"/>
        <v>-65.817294475487984</v>
      </c>
      <c r="H524" s="62" t="e">
        <f t="shared" si="85"/>
        <v>#DIV/0!</v>
      </c>
      <c r="I524" s="62" t="e">
        <f t="shared" si="86"/>
        <v>#DIV/0!</v>
      </c>
      <c r="J524" s="74"/>
      <c r="K524" s="73"/>
      <c r="L524" s="73"/>
      <c r="M524" s="73"/>
      <c r="N524" s="73"/>
      <c r="O524" s="73"/>
      <c r="P524" s="73"/>
      <c r="Q524" s="73"/>
    </row>
    <row r="525" spans="2:17" x14ac:dyDescent="0.3">
      <c r="B525" s="73"/>
      <c r="C525" s="73">
        <f t="shared" si="87"/>
        <v>1190000</v>
      </c>
      <c r="D525" s="62" t="e">
        <f t="shared" si="81"/>
        <v>#DIV/0!</v>
      </c>
      <c r="E525" s="62" t="e">
        <f t="shared" si="82"/>
        <v>#DIV/0!</v>
      </c>
      <c r="F525" s="62">
        <f t="shared" si="83"/>
        <v>-14.544754838041216</v>
      </c>
      <c r="G525" s="67">
        <f t="shared" si="84"/>
        <v>-65.907068124379236</v>
      </c>
      <c r="H525" s="62" t="e">
        <f t="shared" si="85"/>
        <v>#DIV/0!</v>
      </c>
      <c r="I525" s="62" t="e">
        <f t="shared" si="86"/>
        <v>#DIV/0!</v>
      </c>
      <c r="J525" s="74"/>
      <c r="K525" s="73"/>
      <c r="L525" s="73"/>
      <c r="M525" s="73"/>
      <c r="N525" s="73"/>
      <c r="O525" s="73"/>
      <c r="P525" s="73"/>
      <c r="Q525" s="73"/>
    </row>
    <row r="526" spans="2:17" x14ac:dyDescent="0.3">
      <c r="B526" s="73"/>
      <c r="C526" s="73">
        <f t="shared" si="87"/>
        <v>1195000</v>
      </c>
      <c r="D526" s="62" t="e">
        <f t="shared" si="81"/>
        <v>#DIV/0!</v>
      </c>
      <c r="E526" s="62" t="e">
        <f t="shared" si="82"/>
        <v>#DIV/0!</v>
      </c>
      <c r="F526" s="62">
        <f t="shared" si="83"/>
        <v>-14.575041699977699</v>
      </c>
      <c r="G526" s="67">
        <f t="shared" si="84"/>
        <v>-65.996218089811492</v>
      </c>
      <c r="H526" s="62" t="e">
        <f t="shared" si="85"/>
        <v>#DIV/0!</v>
      </c>
      <c r="I526" s="62" t="e">
        <f t="shared" si="86"/>
        <v>#DIV/0!</v>
      </c>
      <c r="J526" s="74"/>
      <c r="K526" s="73"/>
      <c r="L526" s="73"/>
      <c r="M526" s="73"/>
      <c r="N526" s="73"/>
      <c r="O526" s="73"/>
      <c r="P526" s="73"/>
      <c r="Q526" s="73"/>
    </row>
    <row r="527" spans="2:17" x14ac:dyDescent="0.3">
      <c r="B527" s="73"/>
      <c r="C527" s="73">
        <f t="shared" si="87"/>
        <v>1200000</v>
      </c>
      <c r="D527" s="62" t="e">
        <f t="shared" si="81"/>
        <v>#DIV/0!</v>
      </c>
      <c r="E527" s="62" t="e">
        <f t="shared" si="82"/>
        <v>#DIV/0!</v>
      </c>
      <c r="F527" s="62">
        <f t="shared" si="83"/>
        <v>-14.605244480090464</v>
      </c>
      <c r="G527" s="67">
        <f t="shared" si="84"/>
        <v>-66.084750408383016</v>
      </c>
      <c r="H527" s="62" t="e">
        <f t="shared" si="85"/>
        <v>#DIV/0!</v>
      </c>
      <c r="I527" s="62" t="e">
        <f t="shared" si="86"/>
        <v>#DIV/0!</v>
      </c>
      <c r="J527" s="74"/>
      <c r="K527" s="73"/>
      <c r="L527" s="73"/>
      <c r="M527" s="73"/>
      <c r="N527" s="73"/>
      <c r="O527" s="73"/>
      <c r="P527" s="73"/>
      <c r="Q527" s="73"/>
    </row>
    <row r="528" spans="2:17" x14ac:dyDescent="0.3">
      <c r="B528" s="73"/>
      <c r="C528" s="73">
        <f t="shared" si="87"/>
        <v>1205000</v>
      </c>
      <c r="D528" s="62" t="e">
        <f t="shared" si="81"/>
        <v>#DIV/0!</v>
      </c>
      <c r="E528" s="62" t="e">
        <f t="shared" si="82"/>
        <v>#DIV/0!</v>
      </c>
      <c r="F528" s="62">
        <f t="shared" si="83"/>
        <v>-14.635363468847999</v>
      </c>
      <c r="G528" s="67">
        <f t="shared" si="84"/>
        <v>-66.172671045531573</v>
      </c>
      <c r="H528" s="62" t="e">
        <f t="shared" si="85"/>
        <v>#DIV/0!</v>
      </c>
      <c r="I528" s="62" t="e">
        <f t="shared" si="86"/>
        <v>#DIV/0!</v>
      </c>
      <c r="J528" s="74"/>
      <c r="K528" s="73"/>
      <c r="L528" s="73"/>
      <c r="M528" s="73"/>
      <c r="N528" s="73"/>
      <c r="O528" s="73"/>
      <c r="P528" s="73"/>
      <c r="Q528" s="73"/>
    </row>
    <row r="529" spans="2:17" x14ac:dyDescent="0.3">
      <c r="B529" s="73"/>
      <c r="C529" s="73">
        <f t="shared" si="87"/>
        <v>1210000</v>
      </c>
      <c r="D529" s="62" t="e">
        <f t="shared" si="81"/>
        <v>#DIV/0!</v>
      </c>
      <c r="E529" s="62" t="e">
        <f t="shared" si="82"/>
        <v>#DIV/0!</v>
      </c>
      <c r="F529" s="62">
        <f t="shared" si="83"/>
        <v>-14.665398957927705</v>
      </c>
      <c r="G529" s="67">
        <f t="shared" si="84"/>
        <v>-66.259985896457707</v>
      </c>
      <c r="H529" s="62" t="e">
        <f t="shared" si="85"/>
        <v>#DIV/0!</v>
      </c>
      <c r="I529" s="62" t="e">
        <f t="shared" si="86"/>
        <v>#DIV/0!</v>
      </c>
      <c r="J529" s="74"/>
      <c r="K529" s="73"/>
      <c r="L529" s="73"/>
      <c r="M529" s="73"/>
      <c r="N529" s="73"/>
      <c r="O529" s="73"/>
      <c r="P529" s="73"/>
      <c r="Q529" s="73"/>
    </row>
    <row r="530" spans="2:17" x14ac:dyDescent="0.3">
      <c r="B530" s="73"/>
      <c r="C530" s="73">
        <f t="shared" si="87"/>
        <v>1215000</v>
      </c>
      <c r="D530" s="62" t="e">
        <f t="shared" ref="D530:D593" si="88">20*LOG(Am*IMABS(IMDIV(IMDIV(IMDIV(IMPRODUCT( COMPLEX(1,C530/Fzesr),COMPLEX(1,-C530/Frhp) ),COMPLEX(1,C530/Flp) ),COMPLEX(1,C530/Fesrp) ),COMPLEX(1-C530^2/(Fdp^2),C530/Fsp) )))</f>
        <v>#DIV/0!</v>
      </c>
      <c r="E530" s="62" t="e">
        <f t="shared" ref="E530:E593" si="89">IMARGUMENT(IMDIV(IMDIV(IMDIV(IMPRODUCT( COMPLEX(1,C530/Fzesr),COMPLEX(1,-C530/Frhp) ),COMPLEX(1,C530/Flp) ),COMPLEX(1,C530/Fesrp) ),COMPLEX(1-C530^2/(Fdp^2),C530/Fsp) ))*180/pi</f>
        <v>#DIV/0!</v>
      </c>
      <c r="F530" s="62">
        <f t="shared" ref="F530:F593" si="90">20*LOG(Afb*IMABS(IMDIV(IMDIV(COMPLEX(1,C530/Fzea),COMPLEX(1,C530/Fpea)),COMPLEX(0,2*3.14*C530))))</f>
        <v>-14.695351240133574</v>
      </c>
      <c r="G530" s="67">
        <f t="shared" ref="G530:G593" si="91">IMARGUMENT(IMDIV(IMDIV(COMPLEX(1,C530/Fzea),COMPLEX(1,C530/Fpea)),COMPLEX(0,2*3.14*C530)))*180/pi</f>
        <v>-66.346700787034976</v>
      </c>
      <c r="H530" s="62" t="e">
        <f t="shared" ref="H530:H593" si="92">D530+F530</f>
        <v>#DIV/0!</v>
      </c>
      <c r="I530" s="62" t="e">
        <f t="shared" ref="I530:I593" si="93">E530+G530</f>
        <v>#DIV/0!</v>
      </c>
      <c r="J530" s="74"/>
      <c r="K530" s="73"/>
      <c r="L530" s="73"/>
      <c r="M530" s="73"/>
      <c r="N530" s="73"/>
      <c r="O530" s="73"/>
      <c r="P530" s="73"/>
      <c r="Q530" s="73"/>
    </row>
    <row r="531" spans="2:17" x14ac:dyDescent="0.3">
      <c r="B531" s="73"/>
      <c r="C531" s="73">
        <f t="shared" si="87"/>
        <v>1220000</v>
      </c>
      <c r="D531" s="62" t="e">
        <f t="shared" si="88"/>
        <v>#DIV/0!</v>
      </c>
      <c r="E531" s="62" t="e">
        <f t="shared" si="89"/>
        <v>#DIV/0!</v>
      </c>
      <c r="F531" s="62">
        <f t="shared" si="90"/>
        <v>-14.725220609315585</v>
      </c>
      <c r="G531" s="67">
        <f t="shared" si="91"/>
        <v>-66.43282147471065</v>
      </c>
      <c r="H531" s="62" t="e">
        <f t="shared" si="92"/>
        <v>#DIV/0!</v>
      </c>
      <c r="I531" s="62" t="e">
        <f t="shared" si="93"/>
        <v>#DIV/0!</v>
      </c>
      <c r="J531" s="74"/>
      <c r="K531" s="73"/>
      <c r="L531" s="73"/>
      <c r="M531" s="73"/>
      <c r="N531" s="73"/>
      <c r="O531" s="73"/>
      <c r="P531" s="73"/>
      <c r="Q531" s="73"/>
    </row>
    <row r="532" spans="2:17" x14ac:dyDescent="0.3">
      <c r="B532" s="73"/>
      <c r="C532" s="73">
        <f t="shared" si="87"/>
        <v>1225000</v>
      </c>
      <c r="D532" s="62" t="e">
        <f t="shared" si="88"/>
        <v>#DIV/0!</v>
      </c>
      <c r="E532" s="62" t="e">
        <f t="shared" si="89"/>
        <v>#DIV/0!</v>
      </c>
      <c r="F532" s="62">
        <f t="shared" si="90"/>
        <v>-14.755007360291598</v>
      </c>
      <c r="G532" s="67">
        <f t="shared" si="91"/>
        <v>-66.51835364939501</v>
      </c>
      <c r="H532" s="62" t="e">
        <f t="shared" si="92"/>
        <v>#DIV/0!</v>
      </c>
      <c r="I532" s="62" t="e">
        <f t="shared" si="93"/>
        <v>#DIV/0!</v>
      </c>
      <c r="J532" s="74"/>
      <c r="K532" s="73"/>
      <c r="L532" s="73"/>
      <c r="M532" s="73"/>
      <c r="N532" s="73"/>
      <c r="O532" s="73"/>
      <c r="P532" s="73"/>
      <c r="Q532" s="73"/>
    </row>
    <row r="533" spans="2:17" x14ac:dyDescent="0.3">
      <c r="B533" s="73"/>
      <c r="C533" s="73">
        <f t="shared" si="87"/>
        <v>1230000</v>
      </c>
      <c r="D533" s="62" t="e">
        <f t="shared" si="88"/>
        <v>#DIV/0!</v>
      </c>
      <c r="E533" s="62" t="e">
        <f t="shared" si="89"/>
        <v>#DIV/0!</v>
      </c>
      <c r="F533" s="62">
        <f t="shared" si="90"/>
        <v>-14.784711788772295</v>
      </c>
      <c r="G533" s="67">
        <f t="shared" si="91"/>
        <v>-66.603302934337549</v>
      </c>
      <c r="H533" s="62" t="e">
        <f t="shared" si="92"/>
        <v>#DIV/0!</v>
      </c>
      <c r="I533" s="62" t="e">
        <f t="shared" si="93"/>
        <v>#DIV/0!</v>
      </c>
      <c r="J533" s="74"/>
      <c r="K533" s="73"/>
      <c r="L533" s="73"/>
      <c r="M533" s="73"/>
      <c r="N533" s="73"/>
      <c r="O533" s="73"/>
      <c r="P533" s="73"/>
      <c r="Q533" s="73"/>
    </row>
    <row r="534" spans="2:17" x14ac:dyDescent="0.3">
      <c r="B534" s="73"/>
      <c r="C534" s="73">
        <f t="shared" si="87"/>
        <v>1235000</v>
      </c>
      <c r="D534" s="62" t="e">
        <f t="shared" si="88"/>
        <v>#DIV/0!</v>
      </c>
      <c r="E534" s="62" t="e">
        <f t="shared" si="89"/>
        <v>#DIV/0!</v>
      </c>
      <c r="F534" s="62">
        <f t="shared" si="90"/>
        <v>-14.814334191287521</v>
      </c>
      <c r="G534" s="67">
        <f t="shared" si="91"/>
        <v>-66.68767488699487</v>
      </c>
      <c r="H534" s="62" t="e">
        <f t="shared" si="92"/>
        <v>#DIV/0!</v>
      </c>
      <c r="I534" s="62" t="e">
        <f t="shared" si="93"/>
        <v>#DIV/0!</v>
      </c>
      <c r="J534" s="74"/>
      <c r="K534" s="73"/>
      <c r="L534" s="73"/>
      <c r="M534" s="73"/>
      <c r="N534" s="73"/>
      <c r="O534" s="73"/>
      <c r="P534" s="73"/>
      <c r="Q534" s="73"/>
    </row>
    <row r="535" spans="2:17" x14ac:dyDescent="0.3">
      <c r="B535" s="73"/>
      <c r="C535" s="73">
        <f t="shared" si="87"/>
        <v>1240000</v>
      </c>
      <c r="D535" s="62" t="e">
        <f t="shared" si="88"/>
        <v>#DIV/0!</v>
      </c>
      <c r="E535" s="62" t="e">
        <f t="shared" si="89"/>
        <v>#DIV/0!</v>
      </c>
      <c r="F535" s="62">
        <f t="shared" si="90"/>
        <v>-14.843874865115531</v>
      </c>
      <c r="G535" s="67">
        <f t="shared" si="91"/>
        <v>-66.771474999885513</v>
      </c>
      <c r="H535" s="62" t="e">
        <f t="shared" si="92"/>
        <v>#DIV/0!</v>
      </c>
      <c r="I535" s="62" t="e">
        <f t="shared" si="93"/>
        <v>#DIV/0!</v>
      </c>
      <c r="J535" s="74"/>
      <c r="K535" s="73"/>
      <c r="L535" s="73"/>
      <c r="M535" s="73"/>
      <c r="N535" s="73"/>
      <c r="O535" s="73"/>
      <c r="P535" s="73"/>
      <c r="Q535" s="73"/>
    </row>
    <row r="536" spans="2:17" x14ac:dyDescent="0.3">
      <c r="B536" s="73"/>
      <c r="C536" s="73">
        <f t="shared" si="87"/>
        <v>1245000</v>
      </c>
      <c r="D536" s="62" t="e">
        <f t="shared" si="88"/>
        <v>#DIV/0!</v>
      </c>
      <c r="E536" s="62" t="e">
        <f t="shared" si="89"/>
        <v>#DIV/0!</v>
      </c>
      <c r="F536" s="62">
        <f t="shared" si="90"/>
        <v>-14.873334108213953</v>
      </c>
      <c r="G536" s="67">
        <f t="shared" si="91"/>
        <v>-66.854708701434518</v>
      </c>
      <c r="H536" s="62" t="e">
        <f t="shared" si="92"/>
        <v>#DIV/0!</v>
      </c>
      <c r="I536" s="62" t="e">
        <f t="shared" si="93"/>
        <v>#DIV/0!</v>
      </c>
      <c r="J536" s="74"/>
      <c r="K536" s="73"/>
      <c r="L536" s="73"/>
      <c r="M536" s="73"/>
      <c r="N536" s="73"/>
      <c r="O536" s="73"/>
      <c r="P536" s="73"/>
      <c r="Q536" s="73"/>
    </row>
    <row r="537" spans="2:17" x14ac:dyDescent="0.3">
      <c r="B537" s="73"/>
      <c r="C537" s="73">
        <f t="shared" si="87"/>
        <v>1250000</v>
      </c>
      <c r="D537" s="62" t="e">
        <f t="shared" si="88"/>
        <v>#DIV/0!</v>
      </c>
      <c r="E537" s="62" t="e">
        <f t="shared" si="89"/>
        <v>#DIV/0!</v>
      </c>
      <c r="F537" s="62">
        <f t="shared" si="90"/>
        <v>-14.902712219153329</v>
      </c>
      <c r="G537" s="67">
        <f t="shared" si="91"/>
        <v>-66.937381356807819</v>
      </c>
      <c r="H537" s="62" t="e">
        <f t="shared" si="92"/>
        <v>#DIV/0!</v>
      </c>
      <c r="I537" s="62" t="e">
        <f t="shared" si="93"/>
        <v>#DIV/0!</v>
      </c>
      <c r="J537" s="74"/>
      <c r="K537" s="73"/>
      <c r="L537" s="73"/>
      <c r="M537" s="73"/>
      <c r="N537" s="73"/>
      <c r="O537" s="73"/>
      <c r="P537" s="73"/>
      <c r="Q537" s="73"/>
    </row>
    <row r="538" spans="2:17" x14ac:dyDescent="0.3">
      <c r="B538" s="73"/>
      <c r="C538" s="73">
        <f t="shared" si="87"/>
        <v>1255000</v>
      </c>
      <c r="D538" s="62" t="e">
        <f t="shared" si="88"/>
        <v>#DIV/0!</v>
      </c>
      <c r="E538" s="62" t="e">
        <f t="shared" si="89"/>
        <v>#DIV/0!</v>
      </c>
      <c r="F538" s="62">
        <f t="shared" si="90"/>
        <v>-14.93200949705221</v>
      </c>
      <c r="G538" s="67">
        <f t="shared" si="91"/>
        <v>-67.019498268734836</v>
      </c>
      <c r="H538" s="62" t="e">
        <f t="shared" si="92"/>
        <v>#DIV/0!</v>
      </c>
      <c r="I538" s="62" t="e">
        <f t="shared" si="93"/>
        <v>#DIV/0!</v>
      </c>
      <c r="J538" s="74"/>
      <c r="K538" s="73"/>
      <c r="L538" s="73"/>
      <c r="M538" s="73"/>
      <c r="N538" s="73"/>
      <c r="O538" s="73"/>
      <c r="P538" s="73"/>
      <c r="Q538" s="73"/>
    </row>
    <row r="539" spans="2:17" x14ac:dyDescent="0.3">
      <c r="B539" s="73"/>
      <c r="C539" s="73">
        <f t="shared" si="87"/>
        <v>1260000</v>
      </c>
      <c r="D539" s="62" t="e">
        <f t="shared" si="88"/>
        <v>#DIV/0!</v>
      </c>
      <c r="E539" s="62" t="e">
        <f t="shared" si="89"/>
        <v>#DIV/0!</v>
      </c>
      <c r="F539" s="62">
        <f t="shared" si="90"/>
        <v>-14.961226241514773</v>
      </c>
      <c r="G539" s="67">
        <f t="shared" si="91"/>
        <v>-67.101064678321038</v>
      </c>
      <c r="H539" s="62" t="e">
        <f t="shared" si="92"/>
        <v>#DIV/0!</v>
      </c>
      <c r="I539" s="62" t="e">
        <f t="shared" si="93"/>
        <v>#DIV/0!</v>
      </c>
      <c r="J539" s="74"/>
      <c r="K539" s="73"/>
      <c r="L539" s="73"/>
      <c r="M539" s="73"/>
      <c r="N539" s="73"/>
      <c r="O539" s="73"/>
      <c r="P539" s="73"/>
      <c r="Q539" s="73"/>
    </row>
    <row r="540" spans="2:17" x14ac:dyDescent="0.3">
      <c r="B540" s="73"/>
      <c r="C540" s="73">
        <f t="shared" si="87"/>
        <v>1265000</v>
      </c>
      <c r="D540" s="62" t="e">
        <f t="shared" si="88"/>
        <v>#DIV/0!</v>
      </c>
      <c r="E540" s="62" t="e">
        <f t="shared" si="89"/>
        <v>#DIV/0!</v>
      </c>
      <c r="F540" s="62">
        <f t="shared" si="90"/>
        <v>-14.990362752570022</v>
      </c>
      <c r="G540" s="67">
        <f t="shared" si="91"/>
        <v>-67.182085765849749</v>
      </c>
      <c r="H540" s="62" t="e">
        <f t="shared" si="92"/>
        <v>#DIV/0!</v>
      </c>
      <c r="I540" s="62" t="e">
        <f t="shared" si="93"/>
        <v>#DIV/0!</v>
      </c>
      <c r="J540" s="74"/>
      <c r="K540" s="73"/>
      <c r="L540" s="73"/>
      <c r="M540" s="73"/>
      <c r="N540" s="73"/>
      <c r="O540" s="73"/>
      <c r="P540" s="73"/>
      <c r="Q540" s="73"/>
    </row>
    <row r="541" spans="2:17" x14ac:dyDescent="0.3">
      <c r="B541" s="73"/>
      <c r="C541" s="73">
        <f t="shared" si="87"/>
        <v>1270000</v>
      </c>
      <c r="D541" s="62" t="e">
        <f t="shared" si="88"/>
        <v>#DIV/0!</v>
      </c>
      <c r="E541" s="62" t="e">
        <f t="shared" si="89"/>
        <v>#DIV/0!</v>
      </c>
      <c r="F541" s="62">
        <f t="shared" si="90"/>
        <v>-15.019419330612923</v>
      </c>
      <c r="G541" s="67">
        <f t="shared" si="91"/>
        <v>-67.262566651574019</v>
      </c>
      <c r="H541" s="62" t="e">
        <f t="shared" si="92"/>
        <v>#DIV/0!</v>
      </c>
      <c r="I541" s="62" t="e">
        <f t="shared" si="93"/>
        <v>#DIV/0!</v>
      </c>
      <c r="J541" s="74"/>
      <c r="K541" s="73"/>
      <c r="L541" s="73"/>
      <c r="M541" s="73"/>
      <c r="N541" s="73"/>
      <c r="O541" s="73"/>
      <c r="P541" s="73"/>
      <c r="Q541" s="73"/>
    </row>
    <row r="542" spans="2:17" x14ac:dyDescent="0.3">
      <c r="B542" s="73"/>
      <c r="C542" s="73">
        <f t="shared" si="87"/>
        <v>1275000</v>
      </c>
      <c r="D542" s="62" t="e">
        <f t="shared" si="88"/>
        <v>#DIV/0!</v>
      </c>
      <c r="E542" s="62" t="e">
        <f t="shared" si="89"/>
        <v>#DIV/0!</v>
      </c>
      <c r="F542" s="62">
        <f t="shared" si="90"/>
        <v>-15.048396276347635</v>
      </c>
      <c r="G542" s="67">
        <f t="shared" si="91"/>
        <v>-67.342512396497227</v>
      </c>
      <c r="H542" s="62" t="e">
        <f t="shared" si="92"/>
        <v>#DIV/0!</v>
      </c>
      <c r="I542" s="62" t="e">
        <f t="shared" si="93"/>
        <v>#DIV/0!</v>
      </c>
      <c r="J542" s="74"/>
      <c r="K542" s="73"/>
      <c r="L542" s="73"/>
      <c r="M542" s="73"/>
      <c r="N542" s="73"/>
      <c r="O542" s="73"/>
      <c r="P542" s="73"/>
      <c r="Q542" s="73"/>
    </row>
    <row r="543" spans="2:17" x14ac:dyDescent="0.3">
      <c r="B543" s="73"/>
      <c r="C543" s="73">
        <f t="shared" si="87"/>
        <v>1280000</v>
      </c>
      <c r="D543" s="62" t="e">
        <f t="shared" si="88"/>
        <v>#DIV/0!</v>
      </c>
      <c r="E543" s="62" t="e">
        <f t="shared" si="89"/>
        <v>#DIV/0!</v>
      </c>
      <c r="F543" s="62">
        <f t="shared" si="90"/>
        <v>-15.077293890732257</v>
      </c>
      <c r="G543" s="67">
        <f t="shared" si="91"/>
        <v>-67.421928003144558</v>
      </c>
      <c r="H543" s="62" t="e">
        <f t="shared" si="92"/>
        <v>#DIV/0!</v>
      </c>
      <c r="I543" s="62" t="e">
        <f t="shared" si="93"/>
        <v>#DIV/0!</v>
      </c>
      <c r="J543" s="74"/>
      <c r="K543" s="73"/>
      <c r="L543" s="73"/>
      <c r="M543" s="73"/>
      <c r="N543" s="73"/>
      <c r="O543" s="73"/>
      <c r="P543" s="73"/>
      <c r="Q543" s="73"/>
    </row>
    <row r="544" spans="2:17" x14ac:dyDescent="0.3">
      <c r="B544" s="73"/>
      <c r="C544" s="73">
        <f t="shared" si="87"/>
        <v>1285000</v>
      </c>
      <c r="D544" s="62" t="e">
        <f t="shared" si="88"/>
        <v>#DIV/0!</v>
      </c>
      <c r="E544" s="62" t="e">
        <f t="shared" si="89"/>
        <v>#DIV/0!</v>
      </c>
      <c r="F544" s="62">
        <f t="shared" si="90"/>
        <v>-15.106112474925361</v>
      </c>
      <c r="G544" s="67">
        <f t="shared" si="91"/>
        <v>-67.500818416323185</v>
      </c>
      <c r="H544" s="62" t="e">
        <f t="shared" si="92"/>
        <v>#DIV/0!</v>
      </c>
      <c r="I544" s="62" t="e">
        <f t="shared" si="93"/>
        <v>#DIV/0!</v>
      </c>
      <c r="J544" s="74"/>
      <c r="K544" s="73"/>
      <c r="L544" s="73"/>
      <c r="M544" s="73"/>
      <c r="N544" s="73"/>
      <c r="O544" s="73"/>
      <c r="P544" s="73"/>
      <c r="Q544" s="73"/>
    </row>
    <row r="545" spans="2:17" x14ac:dyDescent="0.3">
      <c r="B545" s="73"/>
      <c r="C545" s="73">
        <f t="shared" si="87"/>
        <v>1290000</v>
      </c>
      <c r="D545" s="62" t="e">
        <f t="shared" si="88"/>
        <v>#DIV/0!</v>
      </c>
      <c r="E545" s="62" t="e">
        <f t="shared" si="89"/>
        <v>#DIV/0!</v>
      </c>
      <c r="F545" s="62">
        <f t="shared" si="90"/>
        <v>-15.134852330234541</v>
      </c>
      <c r="G545" s="67">
        <f t="shared" si="91"/>
        <v>-67.579188523873484</v>
      </c>
      <c r="H545" s="62" t="e">
        <f t="shared" si="92"/>
        <v>#DIV/0!</v>
      </c>
      <c r="I545" s="62" t="e">
        <f t="shared" si="93"/>
        <v>#DIV/0!</v>
      </c>
      <c r="J545" s="74"/>
      <c r="K545" s="73"/>
      <c r="L545" s="73"/>
      <c r="M545" s="73"/>
      <c r="N545" s="73"/>
      <c r="O545" s="73"/>
      <c r="P545" s="73"/>
      <c r="Q545" s="73"/>
    </row>
    <row r="546" spans="2:17" x14ac:dyDescent="0.3">
      <c r="B546" s="73"/>
      <c r="C546" s="73">
        <f t="shared" si="87"/>
        <v>1295000</v>
      </c>
      <c r="D546" s="62" t="e">
        <f t="shared" si="88"/>
        <v>#DIV/0!</v>
      </c>
      <c r="E546" s="62" t="e">
        <f t="shared" si="89"/>
        <v>#DIV/0!</v>
      </c>
      <c r="F546" s="62">
        <f t="shared" si="90"/>
        <v>-15.16351375806609</v>
      </c>
      <c r="G546" s="67">
        <f t="shared" si="91"/>
        <v>-67.657043157409603</v>
      </c>
      <c r="H546" s="62" t="e">
        <f t="shared" si="92"/>
        <v>#DIV/0!</v>
      </c>
      <c r="I546" s="62" t="e">
        <f t="shared" si="93"/>
        <v>#DIV/0!</v>
      </c>
      <c r="J546" s="74"/>
      <c r="K546" s="73"/>
      <c r="L546" s="73"/>
      <c r="M546" s="73"/>
      <c r="N546" s="73"/>
      <c r="O546" s="73"/>
      <c r="P546" s="73"/>
      <c r="Q546" s="73"/>
    </row>
    <row r="547" spans="2:17" x14ac:dyDescent="0.3">
      <c r="B547" s="73"/>
      <c r="C547" s="73">
        <f t="shared" si="87"/>
        <v>1300000</v>
      </c>
      <c r="D547" s="62" t="e">
        <f t="shared" si="88"/>
        <v>#DIV/0!</v>
      </c>
      <c r="E547" s="62" t="e">
        <f t="shared" si="89"/>
        <v>#DIV/0!</v>
      </c>
      <c r="F547" s="62">
        <f t="shared" si="90"/>
        <v>-15.192097059876668</v>
      </c>
      <c r="G547" s="67">
        <f t="shared" si="91"/>
        <v>-67.734387093050884</v>
      </c>
      <c r="H547" s="62" t="e">
        <f t="shared" si="92"/>
        <v>#DIV/0!</v>
      </c>
      <c r="I547" s="62" t="e">
        <f t="shared" si="93"/>
        <v>#DIV/0!</v>
      </c>
      <c r="J547" s="74"/>
      <c r="K547" s="73"/>
      <c r="L547" s="73"/>
      <c r="M547" s="73"/>
      <c r="N547" s="73"/>
      <c r="O547" s="73"/>
      <c r="P547" s="73"/>
      <c r="Q547" s="73"/>
    </row>
    <row r="548" spans="2:17" x14ac:dyDescent="0.3">
      <c r="B548" s="73"/>
      <c r="C548" s="73">
        <f t="shared" si="87"/>
        <v>1305000</v>
      </c>
      <c r="D548" s="62" t="e">
        <f t="shared" si="88"/>
        <v>#DIV/0!</v>
      </c>
      <c r="E548" s="62" t="e">
        <f t="shared" si="89"/>
        <v>#DIV/0!</v>
      </c>
      <c r="F548" s="62">
        <f t="shared" si="90"/>
        <v>-15.220602537126586</v>
      </c>
      <c r="G548" s="67">
        <f t="shared" si="91"/>
        <v>-67.811225052142248</v>
      </c>
      <c r="H548" s="62" t="e">
        <f t="shared" si="92"/>
        <v>#DIV/0!</v>
      </c>
      <c r="I548" s="62" t="e">
        <f t="shared" si="93"/>
        <v>#DIV/0!</v>
      </c>
      <c r="J548" s="74"/>
      <c r="K548" s="73"/>
      <c r="L548" s="73"/>
      <c r="M548" s="73"/>
      <c r="N548" s="73"/>
      <c r="O548" s="73"/>
      <c r="P548" s="73"/>
      <c r="Q548" s="73"/>
    </row>
    <row r="549" spans="2:17" x14ac:dyDescent="0.3">
      <c r="B549" s="73"/>
      <c r="C549" s="73">
        <f t="shared" si="87"/>
        <v>1310000</v>
      </c>
      <c r="D549" s="62" t="e">
        <f t="shared" si="88"/>
        <v>#DIV/0!</v>
      </c>
      <c r="E549" s="62" t="e">
        <f t="shared" si="89"/>
        <v>#DIV/0!</v>
      </c>
      <c r="F549" s="62">
        <f t="shared" si="90"/>
        <v>-15.249030491234041</v>
      </c>
      <c r="G549" s="67">
        <f t="shared" si="91"/>
        <v>-67.887561701966959</v>
      </c>
      <c r="H549" s="62" t="e">
        <f t="shared" si="92"/>
        <v>#DIV/0!</v>
      </c>
      <c r="I549" s="62" t="e">
        <f t="shared" si="93"/>
        <v>#DIV/0!</v>
      </c>
      <c r="J549" s="74"/>
      <c r="K549" s="73"/>
      <c r="L549" s="73"/>
      <c r="M549" s="73"/>
      <c r="N549" s="73"/>
      <c r="O549" s="73"/>
      <c r="P549" s="73"/>
      <c r="Q549" s="73"/>
    </row>
    <row r="550" spans="2:17" x14ac:dyDescent="0.3">
      <c r="B550" s="73"/>
      <c r="C550" s="73">
        <f t="shared" si="87"/>
        <v>1315000</v>
      </c>
      <c r="D550" s="62" t="e">
        <f t="shared" si="88"/>
        <v>#DIV/0!</v>
      </c>
      <c r="E550" s="62" t="e">
        <f t="shared" si="89"/>
        <v>#DIV/0!</v>
      </c>
      <c r="F550" s="62">
        <f t="shared" si="90"/>
        <v>-15.277381223531703</v>
      </c>
      <c r="G550" s="67">
        <f t="shared" si="91"/>
        <v>-67.963401656447772</v>
      </c>
      <c r="H550" s="62" t="e">
        <f t="shared" si="92"/>
        <v>#DIV/0!</v>
      </c>
      <c r="I550" s="62" t="e">
        <f t="shared" si="93"/>
        <v>#DIV/0!</v>
      </c>
      <c r="J550" s="74"/>
      <c r="K550" s="73"/>
      <c r="L550" s="73"/>
      <c r="M550" s="73"/>
      <c r="N550" s="73"/>
      <c r="O550" s="73"/>
      <c r="P550" s="73"/>
      <c r="Q550" s="73"/>
    </row>
    <row r="551" spans="2:17" x14ac:dyDescent="0.3">
      <c r="B551" s="73"/>
      <c r="C551" s="73">
        <f t="shared" si="87"/>
        <v>1320000</v>
      </c>
      <c r="D551" s="62" t="e">
        <f t="shared" si="88"/>
        <v>#DIV/0!</v>
      </c>
      <c r="E551" s="62" t="e">
        <f t="shared" si="89"/>
        <v>#DIV/0!</v>
      </c>
      <c r="F551" s="62">
        <f t="shared" si="90"/>
        <v>-15.305655035223872</v>
      </c>
      <c r="G551" s="67">
        <f t="shared" si="91"/>
        <v>-68.038749476840607</v>
      </c>
      <c r="H551" s="62" t="e">
        <f t="shared" si="92"/>
        <v>#DIV/0!</v>
      </c>
      <c r="I551" s="62" t="e">
        <f t="shared" si="93"/>
        <v>#DIV/0!</v>
      </c>
      <c r="J551" s="74"/>
      <c r="K551" s="73"/>
      <c r="L551" s="73"/>
      <c r="M551" s="73"/>
      <c r="N551" s="73"/>
      <c r="O551" s="73"/>
      <c r="P551" s="73"/>
      <c r="Q551" s="73"/>
    </row>
    <row r="552" spans="2:17" x14ac:dyDescent="0.3">
      <c r="B552" s="73"/>
      <c r="C552" s="73">
        <f t="shared" si="87"/>
        <v>1325000</v>
      </c>
      <c r="D552" s="62" t="e">
        <f t="shared" si="88"/>
        <v>#DIV/0!</v>
      </c>
      <c r="E552" s="62" t="e">
        <f t="shared" si="89"/>
        <v>#DIV/0!</v>
      </c>
      <c r="F552" s="62">
        <f t="shared" si="90"/>
        <v>-15.333852227345686</v>
      </c>
      <c r="G552" s="67">
        <f t="shared" si="91"/>
        <v>-68.113609672417368</v>
      </c>
      <c r="H552" s="62" t="e">
        <f t="shared" si="92"/>
        <v>#DIV/0!</v>
      </c>
      <c r="I552" s="62" t="e">
        <f t="shared" si="93"/>
        <v>#DIV/0!</v>
      </c>
      <c r="J552" s="74"/>
      <c r="K552" s="73"/>
      <c r="L552" s="73"/>
      <c r="M552" s="73"/>
      <c r="N552" s="73"/>
      <c r="O552" s="73"/>
      <c r="P552" s="73"/>
      <c r="Q552" s="73"/>
    </row>
    <row r="553" spans="2:17" x14ac:dyDescent="0.3">
      <c r="B553" s="73"/>
      <c r="C553" s="73">
        <f t="shared" si="87"/>
        <v>1330000</v>
      </c>
      <c r="D553" s="62" t="e">
        <f t="shared" si="88"/>
        <v>#DIV/0!</v>
      </c>
      <c r="E553" s="62" t="e">
        <f t="shared" si="89"/>
        <v>#DIV/0!</v>
      </c>
      <c r="F553" s="62">
        <f t="shared" si="90"/>
        <v>-15.361973100723198</v>
      </c>
      <c r="G553" s="67">
        <f t="shared" si="91"/>
        <v>-68.187986701140289</v>
      </c>
      <c r="H553" s="62" t="e">
        <f t="shared" si="92"/>
        <v>#DIV/0!</v>
      </c>
      <c r="I553" s="62" t="e">
        <f t="shared" si="93"/>
        <v>#DIV/0!</v>
      </c>
      <c r="J553" s="74"/>
      <c r="K553" s="73"/>
      <c r="L553" s="73"/>
      <c r="M553" s="73"/>
      <c r="N553" s="73"/>
      <c r="O553" s="73"/>
      <c r="P553" s="73"/>
      <c r="Q553" s="73"/>
    </row>
    <row r="554" spans="2:17" x14ac:dyDescent="0.3">
      <c r="B554" s="73"/>
      <c r="C554" s="73">
        <f t="shared" si="87"/>
        <v>1335000</v>
      </c>
      <c r="D554" s="62" t="e">
        <f t="shared" si="88"/>
        <v>#DIV/0!</v>
      </c>
      <c r="E554" s="62" t="e">
        <f t="shared" si="89"/>
        <v>#DIV/0!</v>
      </c>
      <c r="F554" s="62">
        <f t="shared" si="90"/>
        <v>-15.390017955935221</v>
      </c>
      <c r="G554" s="67">
        <f t="shared" si="91"/>
        <v>-68.261884970327529</v>
      </c>
      <c r="H554" s="62" t="e">
        <f t="shared" si="92"/>
        <v>#DIV/0!</v>
      </c>
      <c r="I554" s="62" t="e">
        <f t="shared" si="93"/>
        <v>#DIV/0!</v>
      </c>
      <c r="J554" s="74"/>
      <c r="K554" s="73"/>
      <c r="L554" s="73"/>
      <c r="M554" s="73"/>
      <c r="N554" s="73"/>
      <c r="O554" s="73"/>
      <c r="P554" s="73"/>
      <c r="Q554" s="73"/>
    </row>
    <row r="555" spans="2:17" x14ac:dyDescent="0.3">
      <c r="B555" s="73"/>
      <c r="C555" s="73">
        <f t="shared" si="87"/>
        <v>1340000</v>
      </c>
      <c r="D555" s="62" t="e">
        <f t="shared" si="88"/>
        <v>#DIV/0!</v>
      </c>
      <c r="E555" s="62" t="e">
        <f t="shared" si="89"/>
        <v>#DIV/0!</v>
      </c>
      <c r="F555" s="62">
        <f t="shared" si="90"/>
        <v>-15.417987093276246</v>
      </c>
      <c r="G555" s="67">
        <f t="shared" si="91"/>
        <v>-68.335308837308574</v>
      </c>
      <c r="H555" s="62" t="e">
        <f t="shared" si="92"/>
        <v>#DIV/0!</v>
      </c>
      <c r="I555" s="62" t="e">
        <f t="shared" si="93"/>
        <v>#DIV/0!</v>
      </c>
      <c r="J555" s="74"/>
      <c r="K555" s="73"/>
      <c r="L555" s="73"/>
      <c r="M555" s="73"/>
      <c r="N555" s="73"/>
      <c r="O555" s="73"/>
      <c r="P555" s="73"/>
      <c r="Q555" s="73"/>
    </row>
    <row r="556" spans="2:17" x14ac:dyDescent="0.3">
      <c r="B556" s="73"/>
      <c r="C556" s="73">
        <f t="shared" si="87"/>
        <v>1345000</v>
      </c>
      <c r="D556" s="62" t="e">
        <f t="shared" si="88"/>
        <v>#DIV/0!</v>
      </c>
      <c r="E556" s="62" t="e">
        <f t="shared" si="89"/>
        <v>#DIV/0!</v>
      </c>
      <c r="F556" s="62">
        <f t="shared" si="90"/>
        <v>-15.445880812720294</v>
      </c>
      <c r="G556" s="67">
        <f t="shared" si="91"/>
        <v>-68.408262610072654</v>
      </c>
      <c r="H556" s="62" t="e">
        <f t="shared" si="92"/>
        <v>#DIV/0!</v>
      </c>
      <c r="I556" s="62" t="e">
        <f t="shared" si="93"/>
        <v>#DIV/0!</v>
      </c>
      <c r="J556" s="74"/>
      <c r="K556" s="73"/>
      <c r="L556" s="73"/>
      <c r="M556" s="73"/>
      <c r="N556" s="73"/>
      <c r="O556" s="73"/>
      <c r="P556" s="73"/>
      <c r="Q556" s="73"/>
    </row>
    <row r="557" spans="2:17" x14ac:dyDescent="0.3">
      <c r="B557" s="73"/>
      <c r="C557" s="73">
        <f t="shared" si="87"/>
        <v>1350000</v>
      </c>
      <c r="D557" s="62" t="e">
        <f t="shared" si="88"/>
        <v>#DIV/0!</v>
      </c>
      <c r="E557" s="62" t="e">
        <f t="shared" si="89"/>
        <v>#DIV/0!</v>
      </c>
      <c r="F557" s="62">
        <f t="shared" si="90"/>
        <v>-15.473699413886621</v>
      </c>
      <c r="G557" s="67">
        <f t="shared" si="91"/>
        <v>-68.480750547906339</v>
      </c>
      <c r="H557" s="62" t="e">
        <f t="shared" si="92"/>
        <v>#DIV/0!</v>
      </c>
      <c r="I557" s="62" t="e">
        <f t="shared" si="93"/>
        <v>#DIV/0!</v>
      </c>
      <c r="J557" s="74"/>
      <c r="K557" s="73"/>
      <c r="L557" s="73"/>
      <c r="M557" s="73"/>
      <c r="N557" s="73"/>
      <c r="O557" s="73"/>
      <c r="P557" s="73"/>
      <c r="Q557" s="73"/>
    </row>
    <row r="558" spans="2:17" x14ac:dyDescent="0.3">
      <c r="B558" s="73"/>
      <c r="C558" s="73">
        <f t="shared" si="87"/>
        <v>1355000</v>
      </c>
      <c r="D558" s="62" t="e">
        <f t="shared" si="88"/>
        <v>#DIV/0!</v>
      </c>
      <c r="E558" s="62" t="e">
        <f t="shared" si="89"/>
        <v>#DIV/0!</v>
      </c>
      <c r="F558" s="62">
        <f t="shared" si="90"/>
        <v>-15.501443196006047</v>
      </c>
      <c r="G558" s="67">
        <f t="shared" si="91"/>
        <v>-68.552776862024032</v>
      </c>
      <c r="H558" s="62" t="e">
        <f t="shared" si="92"/>
        <v>#DIV/0!</v>
      </c>
      <c r="I558" s="62" t="e">
        <f t="shared" si="93"/>
        <v>#DIV/0!</v>
      </c>
      <c r="J558" s="74"/>
      <c r="K558" s="73"/>
      <c r="L558" s="73"/>
      <c r="M558" s="73"/>
      <c r="N558" s="73"/>
      <c r="O558" s="73"/>
      <c r="P558" s="73"/>
      <c r="Q558" s="73"/>
    </row>
    <row r="559" spans="2:17" x14ac:dyDescent="0.3">
      <c r="B559" s="73"/>
      <c r="C559" s="73">
        <f t="shared" si="87"/>
        <v>1360000</v>
      </c>
      <c r="D559" s="62" t="e">
        <f t="shared" si="88"/>
        <v>#DIV/0!</v>
      </c>
      <c r="E559" s="62" t="e">
        <f t="shared" si="89"/>
        <v>#DIV/0!</v>
      </c>
      <c r="F559" s="62">
        <f t="shared" si="90"/>
        <v>-15.529112457888887</v>
      </c>
      <c r="G559" s="67">
        <f t="shared" si="91"/>
        <v>-68.62434571618877</v>
      </c>
      <c r="H559" s="62" t="e">
        <f t="shared" si="92"/>
        <v>#DIV/0!</v>
      </c>
      <c r="I559" s="62" t="e">
        <f t="shared" si="93"/>
        <v>#DIV/0!</v>
      </c>
      <c r="J559" s="74"/>
      <c r="K559" s="73"/>
      <c r="L559" s="73"/>
      <c r="M559" s="73"/>
      <c r="N559" s="73"/>
      <c r="O559" s="73"/>
      <c r="P559" s="73"/>
      <c r="Q559" s="73"/>
    </row>
    <row r="560" spans="2:17" x14ac:dyDescent="0.3">
      <c r="B560" s="73"/>
      <c r="C560" s="73">
        <f t="shared" si="87"/>
        <v>1365000</v>
      </c>
      <c r="D560" s="62" t="e">
        <f t="shared" si="88"/>
        <v>#DIV/0!</v>
      </c>
      <c r="E560" s="62" t="e">
        <f t="shared" si="89"/>
        <v>#DIV/0!</v>
      </c>
      <c r="F560" s="62">
        <f t="shared" si="90"/>
        <v>-15.556707497893438</v>
      </c>
      <c r="G560" s="67">
        <f t="shared" si="91"/>
        <v>-68.695461227325822</v>
      </c>
      <c r="H560" s="62" t="e">
        <f t="shared" si="92"/>
        <v>#DIV/0!</v>
      </c>
      <c r="I560" s="62" t="e">
        <f t="shared" si="93"/>
        <v>#DIV/0!</v>
      </c>
      <c r="J560" s="74"/>
      <c r="K560" s="73"/>
      <c r="L560" s="73"/>
      <c r="M560" s="73"/>
      <c r="N560" s="73"/>
      <c r="O560" s="73"/>
      <c r="P560" s="73"/>
      <c r="Q560" s="73"/>
    </row>
    <row r="561" spans="2:17" x14ac:dyDescent="0.3">
      <c r="B561" s="73"/>
      <c r="C561" s="73">
        <f t="shared" si="87"/>
        <v>1370000</v>
      </c>
      <c r="D561" s="62" t="e">
        <f t="shared" si="88"/>
        <v>#DIV/0!</v>
      </c>
      <c r="E561" s="62" t="e">
        <f t="shared" si="89"/>
        <v>#DIV/0!</v>
      </c>
      <c r="F561" s="62">
        <f t="shared" si="90"/>
        <v>-15.584228613896167</v>
      </c>
      <c r="G561" s="67">
        <f t="shared" si="91"/>
        <v>-68.766127466126278</v>
      </c>
      <c r="H561" s="62" t="e">
        <f t="shared" si="92"/>
        <v>#DIV/0!</v>
      </c>
      <c r="I561" s="62" t="e">
        <f t="shared" si="93"/>
        <v>#DIV/0!</v>
      </c>
      <c r="J561" s="74"/>
      <c r="K561" s="73"/>
      <c r="L561" s="73"/>
      <c r="M561" s="73"/>
      <c r="N561" s="73"/>
      <c r="O561" s="73"/>
      <c r="P561" s="73"/>
      <c r="Q561" s="73"/>
    </row>
    <row r="562" spans="2:17" x14ac:dyDescent="0.3">
      <c r="B562" s="73"/>
      <c r="C562" s="73">
        <f t="shared" si="87"/>
        <v>1375000</v>
      </c>
      <c r="D562" s="62" t="e">
        <f t="shared" si="88"/>
        <v>#DIV/0!</v>
      </c>
      <c r="E562" s="62" t="e">
        <f t="shared" si="89"/>
        <v>#DIV/0!</v>
      </c>
      <c r="F562" s="62">
        <f t="shared" si="90"/>
        <v>-15.61167610326256</v>
      </c>
      <c r="G562" s="67">
        <f t="shared" si="91"/>
        <v>-68.836348457644164</v>
      </c>
      <c r="H562" s="62" t="e">
        <f t="shared" si="92"/>
        <v>#DIV/0!</v>
      </c>
      <c r="I562" s="62" t="e">
        <f t="shared" si="93"/>
        <v>#DIV/0!</v>
      </c>
      <c r="J562" s="74"/>
      <c r="K562" s="73"/>
      <c r="L562" s="73"/>
      <c r="M562" s="73"/>
      <c r="N562" s="73"/>
      <c r="O562" s="73"/>
      <c r="P562" s="73"/>
      <c r="Q562" s="73"/>
    </row>
    <row r="563" spans="2:17" x14ac:dyDescent="0.3">
      <c r="B563" s="73"/>
      <c r="C563" s="73">
        <f t="shared" si="87"/>
        <v>1380000</v>
      </c>
      <c r="D563" s="62" t="e">
        <f t="shared" si="88"/>
        <v>#DIV/0!</v>
      </c>
      <c r="E563" s="62" t="e">
        <f t="shared" si="89"/>
        <v>#DIV/0!</v>
      </c>
      <c r="F563" s="62">
        <f t="shared" si="90"/>
        <v>-15.639050262818948</v>
      </c>
      <c r="G563" s="67">
        <f t="shared" si="91"/>
        <v>-68.90612818188437</v>
      </c>
      <c r="H563" s="62" t="e">
        <f t="shared" si="92"/>
        <v>#DIV/0!</v>
      </c>
      <c r="I563" s="62" t="e">
        <f t="shared" si="93"/>
        <v>#DIV/0!</v>
      </c>
      <c r="J563" s="74"/>
      <c r="K563" s="73"/>
      <c r="L563" s="73"/>
      <c r="M563" s="73"/>
      <c r="N563" s="73"/>
      <c r="O563" s="73"/>
      <c r="P563" s="73"/>
      <c r="Q563" s="73"/>
    </row>
    <row r="564" spans="2:17" x14ac:dyDescent="0.3">
      <c r="B564" s="73"/>
      <c r="C564" s="73">
        <f t="shared" ref="C564:C627" si="94">C563+5000</f>
        <v>1385000</v>
      </c>
      <c r="D564" s="62" t="e">
        <f t="shared" si="88"/>
        <v>#DIV/0!</v>
      </c>
      <c r="E564" s="62" t="e">
        <f t="shared" si="89"/>
        <v>#DIV/0!</v>
      </c>
      <c r="F564" s="62">
        <f t="shared" si="90"/>
        <v>-15.666351388825735</v>
      </c>
      <c r="G564" s="67">
        <f t="shared" si="91"/>
        <v>-68.975470574382541</v>
      </c>
      <c r="H564" s="62" t="e">
        <f t="shared" si="92"/>
        <v>#DIV/0!</v>
      </c>
      <c r="I564" s="62" t="e">
        <f t="shared" si="93"/>
        <v>#DIV/0!</v>
      </c>
      <c r="J564" s="74"/>
      <c r="K564" s="73"/>
      <c r="L564" s="73"/>
      <c r="M564" s="73"/>
      <c r="N564" s="73"/>
      <c r="O564" s="73"/>
      <c r="P564" s="73"/>
      <c r="Q564" s="73"/>
    </row>
    <row r="565" spans="2:17" x14ac:dyDescent="0.3">
      <c r="B565" s="73"/>
      <c r="C565" s="73">
        <f t="shared" si="94"/>
        <v>1390000</v>
      </c>
      <c r="D565" s="62" t="e">
        <f t="shared" si="88"/>
        <v>#DIV/0!</v>
      </c>
      <c r="E565" s="62" t="e">
        <f t="shared" si="89"/>
        <v>#DIV/0!</v>
      </c>
      <c r="F565" s="62">
        <f t="shared" si="90"/>
        <v>-15.693579776951097</v>
      </c>
      <c r="G565" s="67">
        <f t="shared" si="91"/>
        <v>-69.044379526777306</v>
      </c>
      <c r="H565" s="62" t="e">
        <f t="shared" si="92"/>
        <v>#DIV/0!</v>
      </c>
      <c r="I565" s="62" t="e">
        <f t="shared" si="93"/>
        <v>#DIV/0!</v>
      </c>
      <c r="J565" s="74"/>
      <c r="K565" s="73"/>
      <c r="L565" s="73"/>
      <c r="M565" s="73"/>
      <c r="N565" s="73"/>
      <c r="O565" s="73"/>
      <c r="P565" s="73"/>
      <c r="Q565" s="73"/>
    </row>
    <row r="566" spans="2:17" x14ac:dyDescent="0.3">
      <c r="B566" s="73"/>
      <c r="C566" s="73">
        <f t="shared" si="94"/>
        <v>1395000</v>
      </c>
      <c r="D566" s="62" t="e">
        <f t="shared" si="88"/>
        <v>#DIV/0!</v>
      </c>
      <c r="E566" s="62" t="e">
        <f t="shared" si="89"/>
        <v>#DIV/0!</v>
      </c>
      <c r="F566" s="62">
        <f t="shared" si="90"/>
        <v>-15.720735722246008</v>
      </c>
      <c r="G566" s="67">
        <f t="shared" si="91"/>
        <v>-69.11285888737477</v>
      </c>
      <c r="H566" s="62" t="e">
        <f t="shared" si="92"/>
        <v>#DIV/0!</v>
      </c>
      <c r="I566" s="62" t="e">
        <f t="shared" si="93"/>
        <v>#DIV/0!</v>
      </c>
      <c r="J566" s="74"/>
      <c r="K566" s="73"/>
      <c r="L566" s="73"/>
      <c r="M566" s="73"/>
      <c r="N566" s="73"/>
      <c r="O566" s="73"/>
      <c r="P566" s="73"/>
      <c r="Q566" s="73"/>
    </row>
    <row r="567" spans="2:17" x14ac:dyDescent="0.3">
      <c r="B567" s="73"/>
      <c r="C567" s="73">
        <f t="shared" si="94"/>
        <v>1400000</v>
      </c>
      <c r="D567" s="62" t="e">
        <f t="shared" si="88"/>
        <v>#DIV/0!</v>
      </c>
      <c r="E567" s="62" t="e">
        <f t="shared" si="89"/>
        <v>#DIV/0!</v>
      </c>
      <c r="F567" s="62">
        <f t="shared" si="90"/>
        <v>-15.747819519120094</v>
      </c>
      <c r="G567" s="67">
        <f t="shared" si="91"/>
        <v>-69.180912461704537</v>
      </c>
      <c r="H567" s="62" t="e">
        <f t="shared" si="92"/>
        <v>#DIV/0!</v>
      </c>
      <c r="I567" s="62" t="e">
        <f t="shared" si="93"/>
        <v>#DIV/0!</v>
      </c>
      <c r="J567" s="74"/>
      <c r="K567" s="73"/>
      <c r="L567" s="73"/>
      <c r="M567" s="73"/>
      <c r="N567" s="73"/>
      <c r="O567" s="73"/>
      <c r="P567" s="73"/>
      <c r="Q567" s="73"/>
    </row>
    <row r="568" spans="2:17" x14ac:dyDescent="0.3">
      <c r="B568" s="73"/>
      <c r="C568" s="73">
        <f t="shared" si="94"/>
        <v>1405000</v>
      </c>
      <c r="D568" s="62" t="e">
        <f t="shared" si="88"/>
        <v>#DIV/0!</v>
      </c>
      <c r="E568" s="62" t="e">
        <f t="shared" si="89"/>
        <v>#DIV/0!</v>
      </c>
      <c r="F568" s="62">
        <f t="shared" si="90"/>
        <v>-15.774831461318124</v>
      </c>
      <c r="G568" s="67">
        <f t="shared" si="91"/>
        <v>-69.248544013069449</v>
      </c>
      <c r="H568" s="62" t="e">
        <f t="shared" si="92"/>
        <v>#DIV/0!</v>
      </c>
      <c r="I568" s="62" t="e">
        <f t="shared" si="93"/>
        <v>#DIV/0!</v>
      </c>
      <c r="J568" s="74"/>
      <c r="K568" s="73"/>
      <c r="L568" s="73"/>
      <c r="M568" s="73"/>
      <c r="N568" s="73"/>
      <c r="O568" s="73"/>
      <c r="P568" s="73"/>
      <c r="Q568" s="73"/>
    </row>
    <row r="569" spans="2:17" x14ac:dyDescent="0.3">
      <c r="B569" s="73"/>
      <c r="C569" s="73">
        <f t="shared" si="94"/>
        <v>1410000</v>
      </c>
      <c r="D569" s="62" t="e">
        <f t="shared" si="88"/>
        <v>#DIV/0!</v>
      </c>
      <c r="E569" s="62" t="e">
        <f t="shared" si="89"/>
        <v>#DIV/0!</v>
      </c>
      <c r="F569" s="62">
        <f t="shared" si="90"/>
        <v>-15.801771841897452</v>
      </c>
      <c r="G569" s="67">
        <f t="shared" si="91"/>
        <v>-69.315757263086539</v>
      </c>
      <c r="H569" s="62" t="e">
        <f t="shared" si="92"/>
        <v>#DIV/0!</v>
      </c>
      <c r="I569" s="62" t="e">
        <f t="shared" si="93"/>
        <v>#DIV/0!</v>
      </c>
      <c r="J569" s="74"/>
      <c r="K569" s="73"/>
      <c r="L569" s="73"/>
      <c r="M569" s="73"/>
      <c r="N569" s="73"/>
      <c r="O569" s="73"/>
      <c r="P569" s="73"/>
      <c r="Q569" s="73"/>
    </row>
    <row r="570" spans="2:17" x14ac:dyDescent="0.3">
      <c r="B570" s="73"/>
      <c r="C570" s="73">
        <f t="shared" si="94"/>
        <v>1415000</v>
      </c>
      <c r="D570" s="62" t="e">
        <f t="shared" si="88"/>
        <v>#DIV/0!</v>
      </c>
      <c r="E570" s="62" t="e">
        <f t="shared" si="89"/>
        <v>#DIV/0!</v>
      </c>
      <c r="F570" s="62">
        <f t="shared" si="90"/>
        <v>-15.828640953206921</v>
      </c>
      <c r="G570" s="67">
        <f t="shared" si="91"/>
        <v>-69.382555892220594</v>
      </c>
      <c r="H570" s="62" t="e">
        <f t="shared" si="92"/>
        <v>#DIV/0!</v>
      </c>
      <c r="I570" s="62" t="e">
        <f t="shared" si="93"/>
        <v>#DIV/0!</v>
      </c>
      <c r="J570" s="74"/>
      <c r="K570" s="73"/>
      <c r="L570" s="73"/>
      <c r="M570" s="73"/>
      <c r="N570" s="73"/>
      <c r="O570" s="73"/>
      <c r="P570" s="73"/>
      <c r="Q570" s="73"/>
    </row>
    <row r="571" spans="2:17" x14ac:dyDescent="0.3">
      <c r="B571" s="73"/>
      <c r="C571" s="73">
        <f t="shared" si="94"/>
        <v>1420000</v>
      </c>
      <c r="D571" s="62" t="e">
        <f t="shared" si="88"/>
        <v>#DIV/0!</v>
      </c>
      <c r="E571" s="62" t="e">
        <f t="shared" si="89"/>
        <v>#DIV/0!</v>
      </c>
      <c r="F571" s="62">
        <f t="shared" si="90"/>
        <v>-15.855439086865397</v>
      </c>
      <c r="G571" s="67">
        <f t="shared" si="91"/>
        <v>-69.448943540312044</v>
      </c>
      <c r="H571" s="62" t="e">
        <f t="shared" si="92"/>
        <v>#DIV/0!</v>
      </c>
      <c r="I571" s="62" t="e">
        <f t="shared" si="93"/>
        <v>#DIV/0!</v>
      </c>
      <c r="J571" s="74"/>
      <c r="K571" s="73"/>
      <c r="L571" s="73"/>
      <c r="M571" s="73"/>
      <c r="N571" s="73"/>
      <c r="O571" s="73"/>
      <c r="P571" s="73"/>
      <c r="Q571" s="73"/>
    </row>
    <row r="572" spans="2:17" x14ac:dyDescent="0.3">
      <c r="B572" s="73"/>
      <c r="C572" s="73">
        <f t="shared" si="94"/>
        <v>1425000</v>
      </c>
      <c r="D572" s="62" t="e">
        <f t="shared" si="88"/>
        <v>#DIV/0!</v>
      </c>
      <c r="E572" s="62" t="e">
        <f t="shared" si="89"/>
        <v>#DIV/0!</v>
      </c>
      <c r="F572" s="62">
        <f t="shared" si="90"/>
        <v>-15.882166533742236</v>
      </c>
      <c r="G572" s="67">
        <f t="shared" si="91"/>
        <v>-69.514923807094775</v>
      </c>
      <c r="H572" s="62" t="e">
        <f t="shared" si="92"/>
        <v>#DIV/0!</v>
      </c>
      <c r="I572" s="62" t="e">
        <f t="shared" si="93"/>
        <v>#DIV/0!</v>
      </c>
      <c r="J572" s="74"/>
      <c r="K572" s="73"/>
      <c r="L572" s="73"/>
      <c r="M572" s="73"/>
      <c r="N572" s="73"/>
      <c r="O572" s="73"/>
      <c r="P572" s="73"/>
      <c r="Q572" s="73"/>
    </row>
    <row r="573" spans="2:17" x14ac:dyDescent="0.3">
      <c r="B573" s="73"/>
      <c r="C573" s="73">
        <f t="shared" si="94"/>
        <v>1430000</v>
      </c>
      <c r="D573" s="62" t="e">
        <f t="shared" si="88"/>
        <v>#DIV/0!</v>
      </c>
      <c r="E573" s="62" t="e">
        <f t="shared" si="89"/>
        <v>#DIV/0!</v>
      </c>
      <c r="F573" s="62">
        <f t="shared" si="90"/>
        <v>-15.908823583938016</v>
      </c>
      <c r="G573" s="67">
        <f t="shared" si="91"/>
        <v>-69.580500252709072</v>
      </c>
      <c r="H573" s="62" t="e">
        <f t="shared" si="92"/>
        <v>#DIV/0!</v>
      </c>
      <c r="I573" s="62" t="e">
        <f t="shared" si="93"/>
        <v>#DIV/0!</v>
      </c>
      <c r="J573" s="74"/>
      <c r="K573" s="73"/>
      <c r="L573" s="73"/>
      <c r="M573" s="73"/>
      <c r="N573" s="73"/>
      <c r="O573" s="73"/>
      <c r="P573" s="73"/>
      <c r="Q573" s="73"/>
    </row>
    <row r="574" spans="2:17" x14ac:dyDescent="0.3">
      <c r="B574" s="73"/>
      <c r="C574" s="73">
        <f t="shared" si="94"/>
        <v>1435000</v>
      </c>
      <c r="D574" s="62" t="e">
        <f t="shared" si="88"/>
        <v>#DIV/0!</v>
      </c>
      <c r="E574" s="62" t="e">
        <f t="shared" si="89"/>
        <v>#DIV/0!</v>
      </c>
      <c r="F574" s="62">
        <f t="shared" si="90"/>
        <v>-15.935410526765512</v>
      </c>
      <c r="G574" s="67">
        <f t="shared" si="91"/>
        <v>-69.645676398207442</v>
      </c>
      <c r="H574" s="62" t="e">
        <f t="shared" si="92"/>
        <v>#DIV/0!</v>
      </c>
      <c r="I574" s="62" t="e">
        <f t="shared" si="93"/>
        <v>#DIV/0!</v>
      </c>
      <c r="J574" s="74"/>
      <c r="K574" s="73"/>
      <c r="L574" s="73"/>
      <c r="M574" s="73"/>
      <c r="N574" s="73"/>
      <c r="O574" s="73"/>
      <c r="P574" s="73"/>
      <c r="Q574" s="73"/>
    </row>
    <row r="575" spans="2:17" x14ac:dyDescent="0.3">
      <c r="B575" s="73"/>
      <c r="C575" s="73">
        <f t="shared" si="94"/>
        <v>1440000</v>
      </c>
      <c r="D575" s="62" t="e">
        <f t="shared" si="88"/>
        <v>#DIV/0!</v>
      </c>
      <c r="E575" s="62" t="e">
        <f t="shared" si="89"/>
        <v>#DIV/0!</v>
      </c>
      <c r="F575" s="62">
        <f t="shared" si="90"/>
        <v>-15.961927650732758</v>
      </c>
      <c r="G575" s="67">
        <f t="shared" si="91"/>
        <v>-69.710455726051165</v>
      </c>
      <c r="H575" s="62" t="e">
        <f t="shared" si="92"/>
        <v>#DIV/0!</v>
      </c>
      <c r="I575" s="62" t="e">
        <f t="shared" si="93"/>
        <v>#DIV/0!</v>
      </c>
      <c r="J575" s="74"/>
      <c r="K575" s="73"/>
      <c r="L575" s="73"/>
      <c r="M575" s="73"/>
      <c r="N575" s="73"/>
      <c r="O575" s="73"/>
      <c r="P575" s="73"/>
      <c r="Q575" s="73"/>
    </row>
    <row r="576" spans="2:17" x14ac:dyDescent="0.3">
      <c r="B576" s="73"/>
      <c r="C576" s="73">
        <f t="shared" si="94"/>
        <v>1445000</v>
      </c>
      <c r="D576" s="62" t="e">
        <f t="shared" si="88"/>
        <v>#DIV/0!</v>
      </c>
      <c r="E576" s="62" t="e">
        <f t="shared" si="89"/>
        <v>#DIV/0!</v>
      </c>
      <c r="F576" s="62">
        <f t="shared" si="90"/>
        <v>-15.988375243525294</v>
      </c>
      <c r="G576" s="67">
        <f t="shared" si="91"/>
        <v>-69.774841680603387</v>
      </c>
      <c r="H576" s="62" t="e">
        <f t="shared" si="92"/>
        <v>#DIV/0!</v>
      </c>
      <c r="I576" s="62" t="e">
        <f t="shared" si="93"/>
        <v>#DIV/0!</v>
      </c>
      <c r="J576" s="74"/>
      <c r="K576" s="73"/>
      <c r="L576" s="73"/>
      <c r="M576" s="73"/>
      <c r="N576" s="73"/>
      <c r="O576" s="73"/>
      <c r="P576" s="73"/>
      <c r="Q576" s="73"/>
    </row>
    <row r="577" spans="2:17" x14ac:dyDescent="0.3">
      <c r="B577" s="73"/>
      <c r="C577" s="73">
        <f t="shared" si="94"/>
        <v>1450000</v>
      </c>
      <c r="D577" s="62" t="e">
        <f t="shared" si="88"/>
        <v>#DIV/0!</v>
      </c>
      <c r="E577" s="62" t="e">
        <f t="shared" si="89"/>
        <v>#DIV/0!</v>
      </c>
      <c r="F577" s="62">
        <f t="shared" si="90"/>
        <v>-16.014753591990122</v>
      </c>
      <c r="G577" s="67">
        <f t="shared" si="91"/>
        <v>-69.838837668612598</v>
      </c>
      <c r="H577" s="62" t="e">
        <f t="shared" si="92"/>
        <v>#DIV/0!</v>
      </c>
      <c r="I577" s="62" t="e">
        <f t="shared" si="93"/>
        <v>#DIV/0!</v>
      </c>
      <c r="J577" s="74"/>
      <c r="K577" s="73"/>
      <c r="L577" s="73"/>
      <c r="M577" s="73"/>
      <c r="N577" s="73"/>
      <c r="O577" s="73"/>
      <c r="P577" s="73"/>
      <c r="Q577" s="73"/>
    </row>
    <row r="578" spans="2:17" x14ac:dyDescent="0.3">
      <c r="B578" s="73"/>
      <c r="C578" s="73">
        <f t="shared" si="94"/>
        <v>1455000</v>
      </c>
      <c r="D578" s="62" t="e">
        <f t="shared" si="88"/>
        <v>#DIV/0!</v>
      </c>
      <c r="E578" s="62" t="e">
        <f t="shared" si="89"/>
        <v>#DIV/0!</v>
      </c>
      <c r="F578" s="62">
        <f t="shared" si="90"/>
        <v>-16.041062982119954</v>
      </c>
      <c r="G578" s="67">
        <f t="shared" si="91"/>
        <v>-69.902447059690459</v>
      </c>
      <c r="H578" s="62" t="e">
        <f t="shared" si="92"/>
        <v>#DIV/0!</v>
      </c>
      <c r="I578" s="62" t="e">
        <f t="shared" si="93"/>
        <v>#DIV/0!</v>
      </c>
      <c r="J578" s="74"/>
      <c r="K578" s="73"/>
      <c r="L578" s="73"/>
      <c r="M578" s="73"/>
      <c r="N578" s="73"/>
      <c r="O578" s="73"/>
      <c r="P578" s="73"/>
      <c r="Q578" s="73"/>
    </row>
    <row r="579" spans="2:17" x14ac:dyDescent="0.3">
      <c r="B579" s="73"/>
      <c r="C579" s="73">
        <f t="shared" si="94"/>
        <v>1460000</v>
      </c>
      <c r="D579" s="62" t="e">
        <f t="shared" si="88"/>
        <v>#DIV/0!</v>
      </c>
      <c r="E579" s="62" t="e">
        <f t="shared" si="89"/>
        <v>#DIV/0!</v>
      </c>
      <c r="F579" s="62">
        <f t="shared" si="90"/>
        <v>-16.067303699038124</v>
      </c>
      <c r="G579" s="67">
        <f t="shared" si="91"/>
        <v>-69.965673186783761</v>
      </c>
      <c r="H579" s="62" t="e">
        <f t="shared" si="92"/>
        <v>#DIV/0!</v>
      </c>
      <c r="I579" s="62" t="e">
        <f t="shared" si="93"/>
        <v>#DIV/0!</v>
      </c>
      <c r="J579" s="74"/>
      <c r="K579" s="73"/>
      <c r="L579" s="73"/>
      <c r="M579" s="73"/>
      <c r="N579" s="73"/>
      <c r="O579" s="73"/>
      <c r="P579" s="73"/>
      <c r="Q579" s="73"/>
    </row>
    <row r="580" spans="2:17" x14ac:dyDescent="0.3">
      <c r="B580" s="73"/>
      <c r="C580" s="73">
        <f t="shared" si="94"/>
        <v>1465000</v>
      </c>
      <c r="D580" s="62" t="e">
        <f t="shared" si="88"/>
        <v>#DIV/0!</v>
      </c>
      <c r="E580" s="62" t="e">
        <f t="shared" si="89"/>
        <v>#DIV/0!</v>
      </c>
      <c r="F580" s="62">
        <f t="shared" si="90"/>
        <v>-16.093476026984078</v>
      </c>
      <c r="G580" s="67">
        <f t="shared" si="91"/>
        <v>-70.028519346638745</v>
      </c>
      <c r="H580" s="62" t="e">
        <f t="shared" si="92"/>
        <v>#DIV/0!</v>
      </c>
      <c r="I580" s="62" t="e">
        <f t="shared" si="93"/>
        <v>#DIV/0!</v>
      </c>
      <c r="J580" s="74"/>
      <c r="K580" s="73"/>
      <c r="L580" s="73"/>
      <c r="M580" s="73"/>
      <c r="N580" s="73"/>
      <c r="O580" s="73"/>
      <c r="P580" s="73"/>
      <c r="Q580" s="73"/>
    </row>
    <row r="581" spans="2:17" x14ac:dyDescent="0.3">
      <c r="B581" s="73"/>
      <c r="C581" s="73">
        <f t="shared" si="94"/>
        <v>1470000</v>
      </c>
      <c r="D581" s="62" t="e">
        <f t="shared" si="88"/>
        <v>#DIV/0!</v>
      </c>
      <c r="E581" s="62" t="e">
        <f t="shared" si="89"/>
        <v>#DIV/0!</v>
      </c>
      <c r="F581" s="62">
        <f t="shared" si="90"/>
        <v>-16.119580249299741</v>
      </c>
      <c r="G581" s="67">
        <f t="shared" si="91"/>
        <v>-70.090988800259467</v>
      </c>
      <c r="H581" s="62" t="e">
        <f t="shared" si="92"/>
        <v>#DIV/0!</v>
      </c>
      <c r="I581" s="62" t="e">
        <f t="shared" si="93"/>
        <v>#DIV/0!</v>
      </c>
      <c r="J581" s="74"/>
      <c r="K581" s="73"/>
      <c r="L581" s="73"/>
      <c r="M581" s="73"/>
      <c r="N581" s="73"/>
      <c r="O581" s="73"/>
      <c r="P581" s="73"/>
      <c r="Q581" s="73"/>
    </row>
    <row r="582" spans="2:17" x14ac:dyDescent="0.3">
      <c r="B582" s="73"/>
      <c r="C582" s="73">
        <f t="shared" si="94"/>
        <v>1475000</v>
      </c>
      <c r="D582" s="62" t="e">
        <f t="shared" si="88"/>
        <v>#DIV/0!</v>
      </c>
      <c r="E582" s="62" t="e">
        <f t="shared" si="89"/>
        <v>#DIV/0!</v>
      </c>
      <c r="F582" s="62">
        <f t="shared" si="90"/>
        <v>-16.14561664841619</v>
      </c>
      <c r="G582" s="67">
        <f t="shared" si="91"/>
        <v>-70.153084773359808</v>
      </c>
      <c r="H582" s="62" t="e">
        <f t="shared" si="92"/>
        <v>#DIV/0!</v>
      </c>
      <c r="I582" s="62" t="e">
        <f t="shared" si="93"/>
        <v>#DIV/0!</v>
      </c>
      <c r="J582" s="74"/>
      <c r="K582" s="73"/>
      <c r="L582" s="73"/>
      <c r="M582" s="73"/>
      <c r="N582" s="73"/>
      <c r="O582" s="73"/>
      <c r="P582" s="73"/>
      <c r="Q582" s="73"/>
    </row>
    <row r="583" spans="2:17" x14ac:dyDescent="0.3">
      <c r="B583" s="73"/>
      <c r="C583" s="73">
        <f t="shared" si="94"/>
        <v>1480000</v>
      </c>
      <c r="D583" s="62" t="e">
        <f t="shared" si="88"/>
        <v>#DIV/0!</v>
      </c>
      <c r="E583" s="62" t="e">
        <f t="shared" si="89"/>
        <v>#DIV/0!</v>
      </c>
      <c r="F583" s="62">
        <f t="shared" si="90"/>
        <v>-16.171585505840827</v>
      </c>
      <c r="G583" s="67">
        <f t="shared" si="91"/>
        <v>-70.214810456809758</v>
      </c>
      <c r="H583" s="62" t="e">
        <f t="shared" si="92"/>
        <v>#DIV/0!</v>
      </c>
      <c r="I583" s="62" t="e">
        <f t="shared" si="93"/>
        <v>#DIV/0!</v>
      </c>
      <c r="J583" s="74"/>
      <c r="K583" s="73"/>
      <c r="L583" s="73"/>
      <c r="M583" s="73"/>
      <c r="N583" s="73"/>
      <c r="O583" s="73"/>
      <c r="P583" s="73"/>
      <c r="Q583" s="73"/>
    </row>
    <row r="584" spans="2:17" x14ac:dyDescent="0.3">
      <c r="B584" s="73"/>
      <c r="C584" s="73">
        <f t="shared" si="94"/>
        <v>1485000</v>
      </c>
      <c r="D584" s="62" t="e">
        <f t="shared" si="88"/>
        <v>#DIV/0!</v>
      </c>
      <c r="E584" s="62" t="e">
        <f t="shared" si="89"/>
        <v>#DIV/0!</v>
      </c>
      <c r="F584" s="62">
        <f t="shared" si="90"/>
        <v>-16.197487102145669</v>
      </c>
      <c r="G584" s="67">
        <f t="shared" si="91"/>
        <v>-70.276169007074074</v>
      </c>
      <c r="H584" s="62" t="e">
        <f t="shared" si="92"/>
        <v>#DIV/0!</v>
      </c>
      <c r="I584" s="62" t="e">
        <f t="shared" si="93"/>
        <v>#DIV/0!</v>
      </c>
      <c r="J584" s="74"/>
      <c r="K584" s="73"/>
      <c r="L584" s="73"/>
      <c r="M584" s="73"/>
      <c r="N584" s="73"/>
      <c r="O584" s="73"/>
      <c r="P584" s="73"/>
      <c r="Q584" s="73"/>
    </row>
    <row r="585" spans="2:17" x14ac:dyDescent="0.3">
      <c r="B585" s="73"/>
      <c r="C585" s="73">
        <f t="shared" si="94"/>
        <v>1490000</v>
      </c>
      <c r="D585" s="62" t="e">
        <f t="shared" si="88"/>
        <v>#DIV/0!</v>
      </c>
      <c r="E585" s="62" t="e">
        <f t="shared" si="89"/>
        <v>#DIV/0!</v>
      </c>
      <c r="F585" s="62">
        <f t="shared" si="90"/>
        <v>-16.223321716955574</v>
      </c>
      <c r="G585" s="67">
        <f t="shared" si="91"/>
        <v>-70.337163546646664</v>
      </c>
      <c r="H585" s="62" t="e">
        <f t="shared" si="92"/>
        <v>#DIV/0!</v>
      </c>
      <c r="I585" s="62" t="e">
        <f t="shared" si="93"/>
        <v>#DIV/0!</v>
      </c>
      <c r="J585" s="74"/>
      <c r="K585" s="73"/>
      <c r="L585" s="73"/>
      <c r="M585" s="73"/>
      <c r="N585" s="73"/>
      <c r="O585" s="73"/>
      <c r="P585" s="73"/>
      <c r="Q585" s="73"/>
    </row>
    <row r="586" spans="2:17" x14ac:dyDescent="0.3">
      <c r="B586" s="73"/>
      <c r="C586" s="73">
        <f t="shared" si="94"/>
        <v>1495000</v>
      </c>
      <c r="D586" s="62" t="e">
        <f t="shared" si="88"/>
        <v>#DIV/0!</v>
      </c>
      <c r="E586" s="62" t="e">
        <f t="shared" si="89"/>
        <v>#DIV/0!</v>
      </c>
      <c r="F586" s="62">
        <f t="shared" si="90"/>
        <v>-16.249089628936964</v>
      </c>
      <c r="G586" s="67">
        <f t="shared" si="91"/>
        <v>-70.397797164478106</v>
      </c>
      <c r="H586" s="62" t="e">
        <f t="shared" si="92"/>
        <v>#DIV/0!</v>
      </c>
      <c r="I586" s="62" t="e">
        <f t="shared" si="93"/>
        <v>#DIV/0!</v>
      </c>
      <c r="J586" s="74"/>
      <c r="K586" s="73"/>
      <c r="L586" s="73"/>
      <c r="M586" s="73"/>
      <c r="N586" s="73"/>
      <c r="O586" s="73"/>
      <c r="P586" s="73"/>
      <c r="Q586" s="73"/>
    </row>
    <row r="587" spans="2:17" x14ac:dyDescent="0.3">
      <c r="B587" s="73"/>
      <c r="C587" s="73">
        <f t="shared" si="94"/>
        <v>1500000</v>
      </c>
      <c r="D587" s="62" t="e">
        <f t="shared" si="88"/>
        <v>#DIV/0!</v>
      </c>
      <c r="E587" s="62" t="e">
        <f t="shared" si="89"/>
        <v>#DIV/0!</v>
      </c>
      <c r="F587" s="62">
        <f t="shared" si="90"/>
        <v>-16.274791115788023</v>
      </c>
      <c r="G587" s="67">
        <f t="shared" si="91"/>
        <v>-70.458072916396574</v>
      </c>
      <c r="H587" s="62" t="e">
        <f t="shared" si="92"/>
        <v>#DIV/0!</v>
      </c>
      <c r="I587" s="62" t="e">
        <f t="shared" si="93"/>
        <v>#DIV/0!</v>
      </c>
      <c r="J587" s="74"/>
      <c r="K587" s="73"/>
      <c r="L587" s="73"/>
      <c r="M587" s="73"/>
      <c r="N587" s="73"/>
      <c r="O587" s="73"/>
      <c r="P587" s="73"/>
      <c r="Q587" s="73"/>
    </row>
    <row r="588" spans="2:17" x14ac:dyDescent="0.3">
      <c r="B588" s="73"/>
      <c r="C588" s="73">
        <f t="shared" si="94"/>
        <v>1505000</v>
      </c>
      <c r="D588" s="62" t="e">
        <f t="shared" si="88"/>
        <v>#DIV/0!</v>
      </c>
      <c r="E588" s="62" t="e">
        <f t="shared" si="89"/>
        <v>#DIV/0!</v>
      </c>
      <c r="F588" s="62">
        <f t="shared" si="90"/>
        <v>-16.300426454227818</v>
      </c>
      <c r="G588" s="67">
        <f t="shared" si="91"/>
        <v>-70.517993825525053</v>
      </c>
      <c r="H588" s="62" t="e">
        <f t="shared" si="92"/>
        <v>#DIV/0!</v>
      </c>
      <c r="I588" s="62" t="e">
        <f t="shared" si="93"/>
        <v>#DIV/0!</v>
      </c>
      <c r="J588" s="74"/>
      <c r="K588" s="73"/>
      <c r="L588" s="73"/>
      <c r="M588" s="73"/>
      <c r="N588" s="73"/>
      <c r="O588" s="73"/>
      <c r="P588" s="73"/>
      <c r="Q588" s="73"/>
    </row>
    <row r="589" spans="2:17" x14ac:dyDescent="0.3">
      <c r="B589" s="73"/>
      <c r="C589" s="73">
        <f t="shared" si="94"/>
        <v>1510000</v>
      </c>
      <c r="D589" s="62" t="e">
        <f t="shared" si="88"/>
        <v>#DIV/0!</v>
      </c>
      <c r="E589" s="62" t="e">
        <f t="shared" si="89"/>
        <v>#DIV/0!</v>
      </c>
      <c r="F589" s="62">
        <f t="shared" si="90"/>
        <v>-16.325995919987573</v>
      </c>
      <c r="G589" s="67">
        <f t="shared" si="91"/>
        <v>-70.577562882689989</v>
      </c>
      <c r="H589" s="62" t="e">
        <f t="shared" si="92"/>
        <v>#DIV/0!</v>
      </c>
      <c r="I589" s="62" t="e">
        <f t="shared" si="93"/>
        <v>#DIV/0!</v>
      </c>
      <c r="J589" s="74"/>
      <c r="K589" s="73"/>
      <c r="L589" s="73"/>
      <c r="M589" s="73"/>
      <c r="N589" s="73"/>
      <c r="O589" s="73"/>
      <c r="P589" s="73"/>
      <c r="Q589" s="73"/>
    </row>
    <row r="590" spans="2:17" x14ac:dyDescent="0.3">
      <c r="B590" s="73"/>
      <c r="C590" s="73">
        <f t="shared" si="94"/>
        <v>1515000</v>
      </c>
      <c r="D590" s="62" t="e">
        <f t="shared" si="88"/>
        <v>#DIV/0!</v>
      </c>
      <c r="E590" s="62" t="e">
        <f t="shared" si="89"/>
        <v>#DIV/0!</v>
      </c>
      <c r="F590" s="62">
        <f t="shared" si="90"/>
        <v>-16.351499787801181</v>
      </c>
      <c r="G590" s="67">
        <f t="shared" si="91"/>
        <v>-70.636783046826423</v>
      </c>
      <c r="H590" s="62" t="e">
        <f t="shared" si="92"/>
        <v>#DIV/0!</v>
      </c>
      <c r="I590" s="62" t="e">
        <f t="shared" si="93"/>
        <v>#DIV/0!</v>
      </c>
      <c r="J590" s="74"/>
      <c r="K590" s="73"/>
      <c r="L590" s="73"/>
      <c r="M590" s="73"/>
      <c r="N590" s="73"/>
      <c r="O590" s="73"/>
      <c r="P590" s="73"/>
      <c r="Q590" s="73"/>
    </row>
    <row r="591" spans="2:17" x14ac:dyDescent="0.3">
      <c r="B591" s="73"/>
      <c r="C591" s="73">
        <f t="shared" si="94"/>
        <v>1520000</v>
      </c>
      <c r="D591" s="62" t="e">
        <f t="shared" si="88"/>
        <v>#DIV/0!</v>
      </c>
      <c r="E591" s="62" t="e">
        <f t="shared" si="89"/>
        <v>#DIV/0!</v>
      </c>
      <c r="F591" s="62">
        <f t="shared" si="90"/>
        <v>-16.376938331396406</v>
      </c>
      <c r="G591" s="67">
        <f t="shared" si="91"/>
        <v>-70.695657245377603</v>
      </c>
      <c r="H591" s="62" t="e">
        <f t="shared" si="92"/>
        <v>#DIV/0!</v>
      </c>
      <c r="I591" s="62" t="e">
        <f t="shared" si="93"/>
        <v>#DIV/0!</v>
      </c>
      <c r="J591" s="74"/>
      <c r="K591" s="73"/>
      <c r="L591" s="73"/>
      <c r="M591" s="73"/>
      <c r="N591" s="73"/>
      <c r="O591" s="73"/>
      <c r="P591" s="73"/>
      <c r="Q591" s="73"/>
    </row>
    <row r="592" spans="2:17" x14ac:dyDescent="0.3">
      <c r="B592" s="73"/>
      <c r="C592" s="73">
        <f t="shared" si="94"/>
        <v>1525000</v>
      </c>
      <c r="D592" s="62" t="e">
        <f t="shared" si="88"/>
        <v>#DIV/0!</v>
      </c>
      <c r="E592" s="62" t="e">
        <f t="shared" si="89"/>
        <v>#DIV/0!</v>
      </c>
      <c r="F592" s="62">
        <f t="shared" si="90"/>
        <v>-16.402311823487263</v>
      </c>
      <c r="G592" s="67">
        <f t="shared" si="91"/>
        <v>-70.754188374687146</v>
      </c>
      <c r="H592" s="62" t="e">
        <f t="shared" si="92"/>
        <v>#DIV/0!</v>
      </c>
      <c r="I592" s="62" t="e">
        <f t="shared" si="93"/>
        <v>#DIV/0!</v>
      </c>
      <c r="J592" s="74"/>
      <c r="K592" s="73"/>
      <c r="L592" s="73"/>
      <c r="M592" s="73"/>
      <c r="N592" s="73"/>
      <c r="O592" s="73"/>
      <c r="P592" s="73"/>
      <c r="Q592" s="73"/>
    </row>
    <row r="593" spans="2:17" x14ac:dyDescent="0.3">
      <c r="B593" s="73"/>
      <c r="C593" s="73">
        <f t="shared" si="94"/>
        <v>1530000</v>
      </c>
      <c r="D593" s="62" t="e">
        <f t="shared" si="88"/>
        <v>#DIV/0!</v>
      </c>
      <c r="E593" s="62" t="e">
        <f t="shared" si="89"/>
        <v>#DIV/0!</v>
      </c>
      <c r="F593" s="62">
        <f t="shared" si="90"/>
        <v>-16.427620535766028</v>
      </c>
      <c r="G593" s="67">
        <f t="shared" si="91"/>
        <v>-70.812379300387349</v>
      </c>
      <c r="H593" s="62" t="e">
        <f t="shared" si="92"/>
        <v>#DIV/0!</v>
      </c>
      <c r="I593" s="62" t="e">
        <f t="shared" si="93"/>
        <v>#DIV/0!</v>
      </c>
      <c r="J593" s="74"/>
      <c r="K593" s="73"/>
      <c r="L593" s="73"/>
      <c r="M593" s="73"/>
      <c r="N593" s="73"/>
      <c r="O593" s="73"/>
      <c r="P593" s="73"/>
      <c r="Q593" s="73"/>
    </row>
    <row r="594" spans="2:17" x14ac:dyDescent="0.3">
      <c r="B594" s="73"/>
      <c r="C594" s="73">
        <f t="shared" si="94"/>
        <v>1535000</v>
      </c>
      <c r="D594" s="62" t="e">
        <f t="shared" ref="D594:D657" si="95">20*LOG(Am*IMABS(IMDIV(IMDIV(IMDIV(IMPRODUCT( COMPLEX(1,C594/Fzesr),COMPLEX(1,-C594/Frhp) ),COMPLEX(1,C594/Flp) ),COMPLEX(1,C594/Fesrp) ),COMPLEX(1-C594^2/(Fdp^2),C594/Fsp) )))</f>
        <v>#DIV/0!</v>
      </c>
      <c r="E594" s="62" t="e">
        <f t="shared" ref="E594:E657" si="96">IMARGUMENT(IMDIV(IMDIV(IMDIV(IMPRODUCT( COMPLEX(1,C594/Fzesr),COMPLEX(1,-C594/Frhp) ),COMPLEX(1,C594/Flp) ),COMPLEX(1,C594/Fesrp) ),COMPLEX(1-C594^2/(Fdp^2),C594/Fsp) ))*180/pi</f>
        <v>#DIV/0!</v>
      </c>
      <c r="F594" s="62">
        <f t="shared" ref="F594:F657" si="97">20*LOG(Afb*IMABS(IMDIV(IMDIV(COMPLEX(1,C594/Fzea),COMPLEX(1,C594/Fpea)),COMPLEX(0,2*3.14*C594))))</f>
        <v>-16.452864738895805</v>
      </c>
      <c r="G594" s="67">
        <f t="shared" ref="G594:G657" si="98">IMARGUMENT(IMDIV(IMDIV(COMPLEX(1,C594/Fzea),COMPLEX(1,C594/Fpea)),COMPLEX(0,2*3.14*C594)))*180/pi</f>
        <v>-70.870232857782113</v>
      </c>
      <c r="H594" s="62" t="e">
        <f t="shared" ref="H594:H657" si="99">D594+F594</f>
        <v>#DIV/0!</v>
      </c>
      <c r="I594" s="62" t="e">
        <f t="shared" ref="I594:I657" si="100">E594+G594</f>
        <v>#DIV/0!</v>
      </c>
      <c r="J594" s="74"/>
      <c r="K594" s="73"/>
      <c r="L594" s="73"/>
      <c r="M594" s="73"/>
      <c r="N594" s="73"/>
      <c r="O594" s="73"/>
      <c r="P594" s="73"/>
      <c r="Q594" s="73"/>
    </row>
    <row r="595" spans="2:17" x14ac:dyDescent="0.3">
      <c r="B595" s="73"/>
      <c r="C595" s="73">
        <f t="shared" si="94"/>
        <v>1540000</v>
      </c>
      <c r="D595" s="62" t="e">
        <f t="shared" si="95"/>
        <v>#DIV/0!</v>
      </c>
      <c r="E595" s="62" t="e">
        <f t="shared" si="96"/>
        <v>#DIV/0!</v>
      </c>
      <c r="F595" s="62">
        <f t="shared" si="97"/>
        <v>-16.478044702503674</v>
      </c>
      <c r="G595" s="67">
        <f t="shared" si="98"/>
        <v>-70.927751852224574</v>
      </c>
      <c r="H595" s="62" t="e">
        <f t="shared" si="99"/>
        <v>#DIV/0!</v>
      </c>
      <c r="I595" s="62" t="e">
        <f t="shared" si="100"/>
        <v>#DIV/0!</v>
      </c>
      <c r="J595" s="74"/>
      <c r="K595" s="73"/>
      <c r="L595" s="73"/>
      <c r="M595" s="73"/>
      <c r="N595" s="73"/>
      <c r="O595" s="73"/>
      <c r="P595" s="73"/>
      <c r="Q595" s="73"/>
    </row>
    <row r="596" spans="2:17" x14ac:dyDescent="0.3">
      <c r="B596" s="73"/>
      <c r="C596" s="73">
        <f t="shared" si="94"/>
        <v>1545000</v>
      </c>
      <c r="D596" s="62" t="e">
        <f t="shared" si="95"/>
        <v>#DIV/0!</v>
      </c>
      <c r="E596" s="62" t="e">
        <f t="shared" si="96"/>
        <v>#DIV/0!</v>
      </c>
      <c r="F596" s="62">
        <f t="shared" si="97"/>
        <v>-16.503160695174422</v>
      </c>
      <c r="G596" s="67">
        <f t="shared" si="98"/>
        <v>-70.984939059488227</v>
      </c>
      <c r="H596" s="62" t="e">
        <f t="shared" si="99"/>
        <v>#DIV/0!</v>
      </c>
      <c r="I596" s="62" t="e">
        <f t="shared" si="100"/>
        <v>#DIV/0!</v>
      </c>
      <c r="J596" s="74"/>
      <c r="K596" s="73"/>
      <c r="L596" s="73"/>
      <c r="M596" s="73"/>
      <c r="N596" s="73"/>
      <c r="O596" s="73"/>
      <c r="P596" s="73"/>
      <c r="Q596" s="73"/>
    </row>
    <row r="597" spans="2:17" x14ac:dyDescent="0.3">
      <c r="B597" s="73"/>
      <c r="C597" s="73">
        <f t="shared" si="94"/>
        <v>1550000</v>
      </c>
      <c r="D597" s="62" t="e">
        <f t="shared" si="95"/>
        <v>#DIV/0!</v>
      </c>
      <c r="E597" s="62" t="e">
        <f t="shared" si="96"/>
        <v>#DIV/0!</v>
      </c>
      <c r="F597" s="62">
        <f t="shared" si="97"/>
        <v>-16.528212984444053</v>
      </c>
      <c r="G597" s="67">
        <f t="shared" si="98"/>
        <v>-71.041797226134946</v>
      </c>
      <c r="H597" s="62" t="e">
        <f t="shared" si="99"/>
        <v>#DIV/0!</v>
      </c>
      <c r="I597" s="62" t="e">
        <f t="shared" si="100"/>
        <v>#DIV/0!</v>
      </c>
      <c r="J597" s="74"/>
      <c r="K597" s="73"/>
      <c r="L597" s="73"/>
      <c r="M597" s="73"/>
      <c r="N597" s="73"/>
      <c r="O597" s="73"/>
      <c r="P597" s="73"/>
      <c r="Q597" s="73"/>
    </row>
    <row r="598" spans="2:17" x14ac:dyDescent="0.3">
      <c r="B598" s="73"/>
      <c r="C598" s="73">
        <f t="shared" si="94"/>
        <v>1555000</v>
      </c>
      <c r="D598" s="62" t="e">
        <f t="shared" si="95"/>
        <v>#DIV/0!</v>
      </c>
      <c r="E598" s="62" t="e">
        <f t="shared" si="96"/>
        <v>#DIV/0!</v>
      </c>
      <c r="F598" s="62">
        <f t="shared" si="97"/>
        <v>-16.553201836794244</v>
      </c>
      <c r="G598" s="67">
        <f t="shared" si="98"/>
        <v>-71.098329069876598</v>
      </c>
      <c r="H598" s="62" t="e">
        <f t="shared" si="99"/>
        <v>#DIV/0!</v>
      </c>
      <c r="I598" s="62" t="e">
        <f t="shared" si="100"/>
        <v>#DIV/0!</v>
      </c>
      <c r="J598" s="74"/>
      <c r="K598" s="73"/>
      <c r="L598" s="73"/>
      <c r="M598" s="73"/>
      <c r="N598" s="73"/>
      <c r="O598" s="73"/>
      <c r="P598" s="73"/>
      <c r="Q598" s="73"/>
    </row>
    <row r="599" spans="2:17" x14ac:dyDescent="0.3">
      <c r="B599" s="73"/>
      <c r="C599" s="73">
        <f t="shared" si="94"/>
        <v>1560000</v>
      </c>
      <c r="D599" s="62" t="e">
        <f t="shared" si="95"/>
        <v>#DIV/0!</v>
      </c>
      <c r="E599" s="62" t="e">
        <f t="shared" si="96"/>
        <v>#DIV/0!</v>
      </c>
      <c r="F599" s="62">
        <f t="shared" si="97"/>
        <v>-16.578127517646923</v>
      </c>
      <c r="G599" s="67">
        <f t="shared" si="98"/>
        <v>-71.154537279931731</v>
      </c>
      <c r="H599" s="62" t="e">
        <f t="shared" si="99"/>
        <v>#DIV/0!</v>
      </c>
      <c r="I599" s="62" t="e">
        <f t="shared" si="100"/>
        <v>#DIV/0!</v>
      </c>
      <c r="J599" s="74"/>
      <c r="K599" s="73"/>
      <c r="L599" s="73"/>
      <c r="M599" s="73"/>
      <c r="N599" s="73"/>
      <c r="O599" s="73"/>
      <c r="P599" s="73"/>
      <c r="Q599" s="73"/>
    </row>
    <row r="600" spans="2:17" x14ac:dyDescent="0.3">
      <c r="B600" s="73"/>
      <c r="C600" s="73">
        <f t="shared" si="94"/>
        <v>1565000</v>
      </c>
      <c r="D600" s="62" t="e">
        <f t="shared" si="95"/>
        <v>#DIV/0!</v>
      </c>
      <c r="E600" s="62" t="e">
        <f t="shared" si="96"/>
        <v>#DIV/0!</v>
      </c>
      <c r="F600" s="62">
        <f t="shared" si="97"/>
        <v>-16.602990291359042</v>
      </c>
      <c r="G600" s="67">
        <f t="shared" si="98"/>
        <v>-71.210424517378499</v>
      </c>
      <c r="H600" s="62" t="e">
        <f t="shared" si="99"/>
        <v>#DIV/0!</v>
      </c>
      <c r="I600" s="62" t="e">
        <f t="shared" si="100"/>
        <v>#DIV/0!</v>
      </c>
      <c r="J600" s="74"/>
      <c r="K600" s="73"/>
      <c r="L600" s="73"/>
      <c r="M600" s="73"/>
      <c r="N600" s="73"/>
      <c r="O600" s="73"/>
      <c r="P600" s="73"/>
      <c r="Q600" s="73"/>
    </row>
    <row r="601" spans="2:17" x14ac:dyDescent="0.3">
      <c r="B601" s="73"/>
      <c r="C601" s="73">
        <f t="shared" si="94"/>
        <v>1570000</v>
      </c>
      <c r="D601" s="62" t="e">
        <f t="shared" si="95"/>
        <v>#DIV/0!</v>
      </c>
      <c r="E601" s="62" t="e">
        <f t="shared" si="96"/>
        <v>#DIV/0!</v>
      </c>
      <c r="F601" s="62">
        <f t="shared" si="97"/>
        <v>-16.627790421218126</v>
      </c>
      <c r="G601" s="67">
        <f t="shared" si="98"/>
        <v>-71.265993415500915</v>
      </c>
      <c r="H601" s="62" t="e">
        <f t="shared" si="99"/>
        <v>#DIV/0!</v>
      </c>
      <c r="I601" s="62" t="e">
        <f t="shared" si="100"/>
        <v>#DIV/0!</v>
      </c>
      <c r="J601" s="74"/>
      <c r="K601" s="73"/>
      <c r="L601" s="73"/>
      <c r="M601" s="73"/>
      <c r="N601" s="73"/>
      <c r="O601" s="73"/>
      <c r="P601" s="73"/>
      <c r="Q601" s="73"/>
    </row>
    <row r="602" spans="2:17" x14ac:dyDescent="0.3">
      <c r="B602" s="73"/>
      <c r="C602" s="73">
        <f t="shared" si="94"/>
        <v>1575000</v>
      </c>
      <c r="D602" s="62" t="e">
        <f t="shared" si="95"/>
        <v>#DIV/0!</v>
      </c>
      <c r="E602" s="62" t="e">
        <f t="shared" si="96"/>
        <v>#DIV/0!</v>
      </c>
      <c r="F602" s="62">
        <f t="shared" si="97"/>
        <v>-16.652528169437645</v>
      </c>
      <c r="G602" s="67">
        <f t="shared" si="98"/>
        <v>-71.321246580132311</v>
      </c>
      <c r="H602" s="62" t="e">
        <f t="shared" si="99"/>
        <v>#DIV/0!</v>
      </c>
      <c r="I602" s="62" t="e">
        <f t="shared" si="100"/>
        <v>#DIV/0!</v>
      </c>
      <c r="J602" s="74"/>
      <c r="K602" s="73"/>
      <c r="L602" s="73"/>
      <c r="M602" s="73"/>
      <c r="N602" s="73"/>
      <c r="O602" s="73"/>
      <c r="P602" s="73"/>
      <c r="Q602" s="73"/>
    </row>
    <row r="603" spans="2:17" x14ac:dyDescent="0.3">
      <c r="B603" s="73"/>
      <c r="C603" s="73">
        <f t="shared" si="94"/>
        <v>1580000</v>
      </c>
      <c r="D603" s="62" t="e">
        <f t="shared" si="95"/>
        <v>#DIV/0!</v>
      </c>
      <c r="E603" s="62" t="e">
        <f t="shared" si="96"/>
        <v>#DIV/0!</v>
      </c>
      <c r="F603" s="62">
        <f t="shared" si="97"/>
        <v>-16.67720379715292</v>
      </c>
      <c r="G603" s="67">
        <f t="shared" si="98"/>
        <v>-71.376186589992386</v>
      </c>
      <c r="H603" s="62" t="e">
        <f t="shared" si="99"/>
        <v>#DIV/0!</v>
      </c>
      <c r="I603" s="62" t="e">
        <f t="shared" si="100"/>
        <v>#DIV/0!</v>
      </c>
      <c r="J603" s="74"/>
      <c r="K603" s="73"/>
      <c r="L603" s="73"/>
      <c r="M603" s="73"/>
      <c r="N603" s="73"/>
      <c r="O603" s="73"/>
      <c r="P603" s="73"/>
      <c r="Q603" s="73"/>
    </row>
    <row r="604" spans="2:17" x14ac:dyDescent="0.3">
      <c r="B604" s="73"/>
      <c r="C604" s="73">
        <f t="shared" si="94"/>
        <v>1585000</v>
      </c>
      <c r="D604" s="62" t="e">
        <f t="shared" si="95"/>
        <v>#DIV/0!</v>
      </c>
      <c r="E604" s="62" t="e">
        <f t="shared" si="96"/>
        <v>#DIV/0!</v>
      </c>
      <c r="F604" s="62">
        <f t="shared" si="97"/>
        <v>-16.701817564417659</v>
      </c>
      <c r="G604" s="67">
        <f t="shared" si="98"/>
        <v>-71.430815997020744</v>
      </c>
      <c r="H604" s="62" t="e">
        <f t="shared" si="99"/>
        <v>#DIV/0!</v>
      </c>
      <c r="I604" s="62" t="e">
        <f t="shared" si="100"/>
        <v>#DIV/0!</v>
      </c>
      <c r="J604" s="74"/>
      <c r="K604" s="73"/>
      <c r="L604" s="73"/>
      <c r="M604" s="73"/>
      <c r="N604" s="73"/>
      <c r="O604" s="73"/>
      <c r="P604" s="73"/>
      <c r="Q604" s="73"/>
    </row>
    <row r="605" spans="2:17" x14ac:dyDescent="0.3">
      <c r="B605" s="73"/>
      <c r="C605" s="73">
        <f t="shared" si="94"/>
        <v>1590000</v>
      </c>
      <c r="D605" s="62" t="e">
        <f t="shared" si="95"/>
        <v>#DIV/0!</v>
      </c>
      <c r="E605" s="62" t="e">
        <f t="shared" si="96"/>
        <v>#DIV/0!</v>
      </c>
      <c r="F605" s="62">
        <f t="shared" si="97"/>
        <v>-16.726369730200091</v>
      </c>
      <c r="G605" s="67">
        <f t="shared" si="98"/>
        <v>-71.485137326705711</v>
      </c>
      <c r="H605" s="62" t="e">
        <f t="shared" si="99"/>
        <v>#DIV/0!</v>
      </c>
      <c r="I605" s="62" t="e">
        <f t="shared" si="100"/>
        <v>#DIV/0!</v>
      </c>
      <c r="J605" s="74"/>
      <c r="K605" s="73"/>
      <c r="L605" s="73"/>
      <c r="M605" s="73"/>
      <c r="N605" s="73"/>
      <c r="O605" s="73"/>
      <c r="P605" s="73"/>
      <c r="Q605" s="73"/>
    </row>
    <row r="606" spans="2:17" x14ac:dyDescent="0.3">
      <c r="B606" s="73"/>
      <c r="C606" s="73">
        <f t="shared" si="94"/>
        <v>1595000</v>
      </c>
      <c r="D606" s="62" t="e">
        <f t="shared" si="95"/>
        <v>#DIV/0!</v>
      </c>
      <c r="E606" s="62" t="e">
        <f t="shared" si="96"/>
        <v>#DIV/0!</v>
      </c>
      <c r="F606" s="62">
        <f t="shared" si="97"/>
        <v>-16.750860552380043</v>
      </c>
      <c r="G606" s="67">
        <f t="shared" si="98"/>
        <v>-71.539153078407878</v>
      </c>
      <c r="H606" s="62" t="e">
        <f t="shared" si="99"/>
        <v>#DIV/0!</v>
      </c>
      <c r="I606" s="62" t="e">
        <f t="shared" si="100"/>
        <v>#DIV/0!</v>
      </c>
      <c r="J606" s="74"/>
      <c r="K606" s="73"/>
      <c r="L606" s="73"/>
      <c r="M606" s="73"/>
      <c r="N606" s="73"/>
      <c r="O606" s="73"/>
      <c r="P606" s="73"/>
      <c r="Q606" s="73"/>
    </row>
    <row r="607" spans="2:17" x14ac:dyDescent="0.3">
      <c r="B607" s="73"/>
      <c r="C607" s="73">
        <f t="shared" si="94"/>
        <v>1600000</v>
      </c>
      <c r="D607" s="62" t="e">
        <f t="shared" si="95"/>
        <v>#DIV/0!</v>
      </c>
      <c r="E607" s="62" t="e">
        <f t="shared" si="96"/>
        <v>#DIV/0!</v>
      </c>
      <c r="F607" s="62">
        <f t="shared" si="97"/>
        <v>-16.775290287745992</v>
      </c>
      <c r="G607" s="67">
        <f t="shared" si="98"/>
        <v>-71.592865725680042</v>
      </c>
      <c r="H607" s="62" t="e">
        <f t="shared" si="99"/>
        <v>#DIV/0!</v>
      </c>
      <c r="I607" s="62" t="e">
        <f t="shared" si="100"/>
        <v>#DIV/0!</v>
      </c>
      <c r="J607" s="74"/>
      <c r="K607" s="73"/>
      <c r="L607" s="73"/>
      <c r="M607" s="73"/>
      <c r="N607" s="73"/>
      <c r="O607" s="73"/>
      <c r="P607" s="73"/>
      <c r="Q607" s="73"/>
    </row>
    <row r="608" spans="2:17" x14ac:dyDescent="0.3">
      <c r="B608" s="73"/>
      <c r="C608" s="73">
        <f t="shared" si="94"/>
        <v>1605000</v>
      </c>
      <c r="D608" s="62" t="e">
        <f t="shared" si="95"/>
        <v>#DIV/0!</v>
      </c>
      <c r="E608" s="62" t="e">
        <f t="shared" si="96"/>
        <v>#DIV/0!</v>
      </c>
      <c r="F608" s="62">
        <f t="shared" si="97"/>
        <v>-16.799659191992379</v>
      </c>
      <c r="G608" s="67">
        <f t="shared" si="98"/>
        <v>-71.646277716582787</v>
      </c>
      <c r="H608" s="62" t="e">
        <f t="shared" si="99"/>
        <v>#DIV/0!</v>
      </c>
      <c r="I608" s="62" t="e">
        <f t="shared" si="100"/>
        <v>#DIV/0!</v>
      </c>
      <c r="J608" s="74"/>
      <c r="K608" s="73"/>
      <c r="L608" s="73"/>
      <c r="M608" s="73"/>
      <c r="N608" s="73"/>
      <c r="O608" s="73"/>
      <c r="P608" s="73"/>
      <c r="Q608" s="73"/>
    </row>
    <row r="609" spans="2:17" x14ac:dyDescent="0.3">
      <c r="B609" s="73"/>
      <c r="C609" s="73">
        <f t="shared" si="94"/>
        <v>1610000</v>
      </c>
      <c r="D609" s="62" t="e">
        <f t="shared" si="95"/>
        <v>#DIV/0!</v>
      </c>
      <c r="E609" s="62" t="e">
        <f t="shared" si="96"/>
        <v>#DIV/0!</v>
      </c>
      <c r="F609" s="62">
        <f t="shared" si="97"/>
        <v>-16.823967519717165</v>
      </c>
      <c r="G609" s="67">
        <f t="shared" si="98"/>
        <v>-71.699391473995163</v>
      </c>
      <c r="H609" s="62" t="e">
        <f t="shared" si="99"/>
        <v>#DIV/0!</v>
      </c>
      <c r="I609" s="62" t="e">
        <f t="shared" si="100"/>
        <v>#DIV/0!</v>
      </c>
      <c r="J609" s="74"/>
      <c r="K609" s="73"/>
      <c r="L609" s="73"/>
      <c r="M609" s="73"/>
      <c r="N609" s="73"/>
      <c r="O609" s="73"/>
      <c r="P609" s="73"/>
      <c r="Q609" s="73"/>
    </row>
    <row r="610" spans="2:17" x14ac:dyDescent="0.3">
      <c r="B610" s="73"/>
      <c r="C610" s="73">
        <f t="shared" si="94"/>
        <v>1615000</v>
      </c>
      <c r="D610" s="62" t="e">
        <f t="shared" si="95"/>
        <v>#DIV/0!</v>
      </c>
      <c r="E610" s="62" t="e">
        <f t="shared" si="96"/>
        <v>#DIV/0!</v>
      </c>
      <c r="F610" s="62">
        <f t="shared" si="97"/>
        <v>-16.848215524420041</v>
      </c>
      <c r="G610" s="67">
        <f t="shared" si="98"/>
        <v>-71.75220939592127</v>
      </c>
      <c r="H610" s="62" t="e">
        <f t="shared" si="99"/>
        <v>#DIV/0!</v>
      </c>
      <c r="I610" s="62" t="e">
        <f t="shared" si="100"/>
        <v>#DIV/0!</v>
      </c>
      <c r="J610" s="74"/>
      <c r="K610" s="73"/>
      <c r="L610" s="73"/>
      <c r="M610" s="73"/>
      <c r="N610" s="73"/>
      <c r="O610" s="73"/>
      <c r="P610" s="73"/>
      <c r="Q610" s="73"/>
    </row>
    <row r="611" spans="2:17" x14ac:dyDescent="0.3">
      <c r="B611" s="73"/>
      <c r="C611" s="73">
        <f t="shared" si="94"/>
        <v>1620000</v>
      </c>
      <c r="D611" s="62" t="e">
        <f t="shared" si="95"/>
        <v>#DIV/0!</v>
      </c>
      <c r="E611" s="62" t="e">
        <f t="shared" si="96"/>
        <v>#DIV/0!</v>
      </c>
      <c r="F611" s="62">
        <f t="shared" si="97"/>
        <v>-16.872403458500202</v>
      </c>
      <c r="G611" s="67">
        <f t="shared" si="98"/>
        <v>-71.804733855793117</v>
      </c>
      <c r="H611" s="62" t="e">
        <f t="shared" si="99"/>
        <v>#DIV/0!</v>
      </c>
      <c r="I611" s="62" t="e">
        <f t="shared" si="100"/>
        <v>#DIV/0!</v>
      </c>
      <c r="J611" s="74"/>
      <c r="K611" s="73"/>
      <c r="L611" s="73"/>
      <c r="M611" s="73"/>
      <c r="N611" s="73"/>
      <c r="O611" s="73"/>
      <c r="P611" s="73"/>
      <c r="Q611" s="73"/>
    </row>
    <row r="612" spans="2:17" x14ac:dyDescent="0.3">
      <c r="B612" s="73"/>
      <c r="C612" s="73">
        <f t="shared" si="94"/>
        <v>1625000</v>
      </c>
      <c r="D612" s="62" t="e">
        <f t="shared" si="95"/>
        <v>#DIV/0!</v>
      </c>
      <c r="E612" s="62" t="e">
        <f t="shared" si="96"/>
        <v>#DIV/0!</v>
      </c>
      <c r="F612" s="62">
        <f t="shared" si="97"/>
        <v>-16.896531573254649</v>
      </c>
      <c r="G612" s="67">
        <f t="shared" si="98"/>
        <v>-71.856967202769482</v>
      </c>
      <c r="H612" s="62" t="e">
        <f t="shared" si="99"/>
        <v>#DIV/0!</v>
      </c>
      <c r="I612" s="62" t="e">
        <f t="shared" si="100"/>
        <v>#DIV/0!</v>
      </c>
      <c r="J612" s="74"/>
      <c r="K612" s="73"/>
      <c r="L612" s="73"/>
      <c r="M612" s="73"/>
      <c r="N612" s="73"/>
      <c r="O612" s="73"/>
      <c r="P612" s="73"/>
      <c r="Q612" s="73"/>
    </row>
    <row r="613" spans="2:17" x14ac:dyDescent="0.3">
      <c r="B613" s="73"/>
      <c r="C613" s="73">
        <f t="shared" si="94"/>
        <v>1630000</v>
      </c>
      <c r="D613" s="62" t="e">
        <f t="shared" si="95"/>
        <v>#DIV/0!</v>
      </c>
      <c r="E613" s="62" t="e">
        <f t="shared" si="96"/>
        <v>#DIV/0!</v>
      </c>
      <c r="F613" s="62">
        <f t="shared" si="97"/>
        <v>-16.920600118877466</v>
      </c>
      <c r="G613" s="67">
        <f t="shared" si="98"/>
        <v>-71.908911762029007</v>
      </c>
      <c r="H613" s="62" t="e">
        <f t="shared" si="99"/>
        <v>#DIV/0!</v>
      </c>
      <c r="I613" s="62" t="e">
        <f t="shared" si="100"/>
        <v>#DIV/0!</v>
      </c>
      <c r="J613" s="74"/>
      <c r="K613" s="73"/>
      <c r="L613" s="73"/>
      <c r="M613" s="73"/>
      <c r="N613" s="73"/>
      <c r="O613" s="73"/>
      <c r="P613" s="73"/>
      <c r="Q613" s="73"/>
    </row>
    <row r="614" spans="2:17" x14ac:dyDescent="0.3">
      <c r="B614" s="73"/>
      <c r="C614" s="73">
        <f t="shared" si="94"/>
        <v>1635000</v>
      </c>
      <c r="D614" s="62" t="e">
        <f t="shared" si="95"/>
        <v>#DIV/0!</v>
      </c>
      <c r="E614" s="62" t="e">
        <f t="shared" si="96"/>
        <v>#DIV/0!</v>
      </c>
      <c r="F614" s="62">
        <f t="shared" si="97"/>
        <v>-16.944609344457938</v>
      </c>
      <c r="G614" s="67">
        <f t="shared" si="98"/>
        <v>-71.960569835061747</v>
      </c>
      <c r="H614" s="62" t="e">
        <f t="shared" si="99"/>
        <v>#DIV/0!</v>
      </c>
      <c r="I614" s="62" t="e">
        <f t="shared" si="100"/>
        <v>#DIV/0!</v>
      </c>
      <c r="J614" s="74"/>
      <c r="K614" s="73"/>
      <c r="L614" s="73"/>
      <c r="M614" s="73"/>
      <c r="N614" s="73"/>
      <c r="O614" s="73"/>
      <c r="P614" s="73"/>
      <c r="Q614" s="73"/>
    </row>
    <row r="615" spans="2:17" x14ac:dyDescent="0.3">
      <c r="B615" s="73"/>
      <c r="C615" s="73">
        <f t="shared" si="94"/>
        <v>1640000</v>
      </c>
      <c r="D615" s="62" t="e">
        <f t="shared" si="95"/>
        <v>#DIV/0!</v>
      </c>
      <c r="E615" s="62" t="e">
        <f t="shared" si="96"/>
        <v>#DIV/0!</v>
      </c>
      <c r="F615" s="62">
        <f t="shared" si="97"/>
        <v>-16.968559497979797</v>
      </c>
      <c r="G615" s="67">
        <f t="shared" si="98"/>
        <v>-72.011943699955339</v>
      </c>
      <c r="H615" s="62" t="e">
        <f t="shared" si="99"/>
        <v>#DIV/0!</v>
      </c>
      <c r="I615" s="62" t="e">
        <f t="shared" si="100"/>
        <v>#DIV/0!</v>
      </c>
      <c r="J615" s="74"/>
      <c r="K615" s="73"/>
      <c r="L615" s="73"/>
      <c r="M615" s="73"/>
      <c r="N615" s="73"/>
      <c r="O615" s="73"/>
      <c r="P615" s="73"/>
      <c r="Q615" s="73"/>
    </row>
    <row r="616" spans="2:17" x14ac:dyDescent="0.3">
      <c r="B616" s="73"/>
      <c r="C616" s="73">
        <f t="shared" si="94"/>
        <v>1645000</v>
      </c>
      <c r="D616" s="62" t="e">
        <f t="shared" si="95"/>
        <v>#DIV/0!</v>
      </c>
      <c r="E616" s="62" t="e">
        <f t="shared" si="96"/>
        <v>#DIV/0!</v>
      </c>
      <c r="F616" s="62">
        <f t="shared" si="97"/>
        <v>-16.992450826320674</v>
      </c>
      <c r="G616" s="67">
        <f t="shared" si="98"/>
        <v>-72.06303561167708</v>
      </c>
      <c r="H616" s="62" t="e">
        <f t="shared" si="99"/>
        <v>#DIV/0!</v>
      </c>
      <c r="I616" s="62" t="e">
        <f t="shared" si="100"/>
        <v>#DIV/0!</v>
      </c>
      <c r="J616" s="74"/>
      <c r="K616" s="73"/>
      <c r="L616" s="73"/>
      <c r="M616" s="73"/>
      <c r="N616" s="73"/>
      <c r="O616" s="73"/>
      <c r="P616" s="73"/>
      <c r="Q616" s="73"/>
    </row>
    <row r="617" spans="2:17" x14ac:dyDescent="0.3">
      <c r="B617" s="73"/>
      <c r="C617" s="73">
        <f t="shared" si="94"/>
        <v>1650000</v>
      </c>
      <c r="D617" s="62" t="e">
        <f t="shared" si="95"/>
        <v>#DIV/0!</v>
      </c>
      <c r="E617" s="62" t="e">
        <f t="shared" si="96"/>
        <v>#DIV/0!</v>
      </c>
      <c r="F617" s="62">
        <f t="shared" si="97"/>
        <v>-17.016283575251325</v>
      </c>
      <c r="G617" s="67">
        <f t="shared" si="98"/>
        <v>-72.11384780235332</v>
      </c>
      <c r="H617" s="62" t="e">
        <f t="shared" si="99"/>
        <v>#DIV/0!</v>
      </c>
      <c r="I617" s="62" t="e">
        <f t="shared" si="100"/>
        <v>#DIV/0!</v>
      </c>
      <c r="J617" s="74"/>
      <c r="K617" s="73"/>
      <c r="L617" s="73"/>
      <c r="M617" s="73"/>
      <c r="N617" s="73"/>
      <c r="O617" s="73"/>
      <c r="P617" s="73"/>
      <c r="Q617" s="73"/>
    </row>
    <row r="618" spans="2:17" x14ac:dyDescent="0.3">
      <c r="B618" s="73"/>
      <c r="C618" s="73">
        <f t="shared" si="94"/>
        <v>1655000</v>
      </c>
      <c r="D618" s="62" t="e">
        <f t="shared" si="95"/>
        <v>#DIV/0!</v>
      </c>
      <c r="E618" s="62" t="e">
        <f t="shared" si="96"/>
        <v>#DIV/0!</v>
      </c>
      <c r="F618" s="62">
        <f t="shared" si="97"/>
        <v>-17.040057989435603</v>
      </c>
      <c r="G618" s="67">
        <f t="shared" si="98"/>
        <v>-72.164382481543328</v>
      </c>
      <c r="H618" s="62" t="e">
        <f t="shared" si="99"/>
        <v>#DIV/0!</v>
      </c>
      <c r="I618" s="62" t="e">
        <f t="shared" si="100"/>
        <v>#DIV/0!</v>
      </c>
      <c r="J618" s="74"/>
      <c r="K618" s="73"/>
      <c r="L618" s="73"/>
      <c r="M618" s="73"/>
      <c r="N618" s="73"/>
      <c r="O618" s="73"/>
      <c r="P618" s="73"/>
      <c r="Q618" s="73"/>
    </row>
    <row r="619" spans="2:17" x14ac:dyDescent="0.3">
      <c r="B619" s="73"/>
      <c r="C619" s="73">
        <f t="shared" si="94"/>
        <v>1660000</v>
      </c>
      <c r="D619" s="62" t="e">
        <f t="shared" si="95"/>
        <v>#DIV/0!</v>
      </c>
      <c r="E619" s="62" t="e">
        <f t="shared" si="96"/>
        <v>#DIV/0!</v>
      </c>
      <c r="F619" s="62">
        <f t="shared" si="97"/>
        <v>-17.063774312429917</v>
      </c>
      <c r="G619" s="67">
        <f t="shared" si="98"/>
        <v>-72.214641836511788</v>
      </c>
      <c r="H619" s="62" t="e">
        <f t="shared" si="99"/>
        <v>#DIV/0!</v>
      </c>
      <c r="I619" s="62" t="e">
        <f t="shared" si="100"/>
        <v>#DIV/0!</v>
      </c>
      <c r="J619" s="74"/>
      <c r="K619" s="73"/>
      <c r="L619" s="73"/>
      <c r="M619" s="73"/>
      <c r="N619" s="73"/>
      <c r="O619" s="73"/>
      <c r="P619" s="73"/>
      <c r="Q619" s="73"/>
    </row>
    <row r="620" spans="2:17" x14ac:dyDescent="0.3">
      <c r="B620" s="73"/>
      <c r="C620" s="73">
        <f t="shared" si="94"/>
        <v>1665000</v>
      </c>
      <c r="D620" s="62" t="e">
        <f t="shared" si="95"/>
        <v>#DIV/0!</v>
      </c>
      <c r="E620" s="62" t="e">
        <f t="shared" si="96"/>
        <v>#DIV/0!</v>
      </c>
      <c r="F620" s="62">
        <f t="shared" si="97"/>
        <v>-17.087432786683664</v>
      </c>
      <c r="G620" s="67">
        <f t="shared" si="98"/>
        <v>-72.264628032494841</v>
      </c>
      <c r="H620" s="62" t="e">
        <f t="shared" si="99"/>
        <v>#DIV/0!</v>
      </c>
      <c r="I620" s="62" t="e">
        <f t="shared" si="100"/>
        <v>#DIV/0!</v>
      </c>
      <c r="J620" s="74"/>
      <c r="K620" s="73"/>
      <c r="L620" s="73"/>
      <c r="M620" s="73"/>
      <c r="N620" s="73"/>
      <c r="O620" s="73"/>
      <c r="P620" s="73"/>
      <c r="Q620" s="73"/>
    </row>
    <row r="621" spans="2:17" x14ac:dyDescent="0.3">
      <c r="B621" s="73"/>
      <c r="C621" s="73">
        <f t="shared" si="94"/>
        <v>1670000</v>
      </c>
      <c r="D621" s="62" t="e">
        <f t="shared" si="95"/>
        <v>#DIV/0!</v>
      </c>
      <c r="E621" s="62" t="e">
        <f t="shared" si="96"/>
        <v>#DIV/0!</v>
      </c>
      <c r="F621" s="62">
        <f t="shared" si="97"/>
        <v>-17.111033653538964</v>
      </c>
      <c r="G621" s="67">
        <f t="shared" si="98"/>
        <v>-72.314343212965824</v>
      </c>
      <c r="H621" s="62" t="e">
        <f t="shared" si="99"/>
        <v>#DIV/0!</v>
      </c>
      <c r="I621" s="62" t="e">
        <f t="shared" si="100"/>
        <v>#DIV/0!</v>
      </c>
      <c r="J621" s="74"/>
      <c r="K621" s="73"/>
      <c r="L621" s="73"/>
      <c r="M621" s="73"/>
      <c r="N621" s="73"/>
      <c r="O621" s="73"/>
      <c r="P621" s="73"/>
      <c r="Q621" s="73"/>
    </row>
    <row r="622" spans="2:17" x14ac:dyDescent="0.3">
      <c r="B622" s="73"/>
      <c r="C622" s="73">
        <f t="shared" si="94"/>
        <v>1675000</v>
      </c>
      <c r="D622" s="62" t="e">
        <f t="shared" si="95"/>
        <v>#DIV/0!</v>
      </c>
      <c r="E622" s="62" t="e">
        <f t="shared" si="96"/>
        <v>#DIV/0!</v>
      </c>
      <c r="F622" s="62">
        <f t="shared" si="97"/>
        <v>-17.134577153231621</v>
      </c>
      <c r="G622" s="67">
        <f t="shared" si="98"/>
        <v>-72.363789499893755</v>
      </c>
      <c r="H622" s="62" t="e">
        <f t="shared" si="99"/>
        <v>#DIV/0!</v>
      </c>
      <c r="I622" s="62" t="e">
        <f t="shared" si="100"/>
        <v>#DIV/0!</v>
      </c>
      <c r="J622" s="74"/>
      <c r="K622" s="73"/>
      <c r="L622" s="73"/>
      <c r="M622" s="73"/>
      <c r="N622" s="73"/>
      <c r="O622" s="73"/>
      <c r="P622" s="73"/>
      <c r="Q622" s="73"/>
    </row>
    <row r="623" spans="2:17" x14ac:dyDescent="0.3">
      <c r="B623" s="73"/>
      <c r="C623" s="73">
        <f t="shared" si="94"/>
        <v>1680000</v>
      </c>
      <c r="D623" s="62" t="e">
        <f t="shared" si="95"/>
        <v>#DIV/0!</v>
      </c>
      <c r="E623" s="62" t="e">
        <f t="shared" si="96"/>
        <v>#DIV/0!</v>
      </c>
      <c r="F623" s="62">
        <f t="shared" si="97"/>
        <v>-17.158063524891325</v>
      </c>
      <c r="G623" s="67">
        <f t="shared" si="98"/>
        <v>-72.41296899400119</v>
      </c>
      <c r="H623" s="62" t="e">
        <f t="shared" si="99"/>
        <v>#DIV/0!</v>
      </c>
      <c r="I623" s="62" t="e">
        <f t="shared" si="100"/>
        <v>#DIV/0!</v>
      </c>
      <c r="J623" s="74"/>
      <c r="K623" s="73"/>
      <c r="L623" s="73"/>
      <c r="M623" s="73"/>
      <c r="N623" s="73"/>
      <c r="O623" s="73"/>
      <c r="P623" s="73"/>
      <c r="Q623" s="73"/>
    </row>
    <row r="624" spans="2:17" x14ac:dyDescent="0.3">
      <c r="B624" s="73"/>
      <c r="C624" s="73">
        <f t="shared" si="94"/>
        <v>1685000</v>
      </c>
      <c r="D624" s="62" t="e">
        <f t="shared" si="95"/>
        <v>#DIV/0!</v>
      </c>
      <c r="E624" s="62" t="e">
        <f t="shared" si="96"/>
        <v>#DIV/0!</v>
      </c>
      <c r="F624" s="62">
        <f t="shared" si="97"/>
        <v>-17.181493006542389</v>
      </c>
      <c r="G624" s="67">
        <f t="shared" si="98"/>
        <v>-72.461883775017455</v>
      </c>
      <c r="H624" s="62" t="e">
        <f t="shared" si="99"/>
        <v>#DIV/0!</v>
      </c>
      <c r="I624" s="62" t="e">
        <f t="shared" si="100"/>
        <v>#DIV/0!</v>
      </c>
      <c r="J624" s="74"/>
      <c r="K624" s="73"/>
      <c r="L624" s="73"/>
      <c r="M624" s="73"/>
      <c r="N624" s="73"/>
      <c r="O624" s="73"/>
      <c r="P624" s="73"/>
      <c r="Q624" s="73"/>
    </row>
    <row r="625" spans="2:17" x14ac:dyDescent="0.3">
      <c r="B625" s="73"/>
      <c r="C625" s="73">
        <f t="shared" si="94"/>
        <v>1690000</v>
      </c>
      <c r="D625" s="62" t="e">
        <f t="shared" si="95"/>
        <v>#DIV/0!</v>
      </c>
      <c r="E625" s="62" t="e">
        <f t="shared" si="96"/>
        <v>#DIV/0!</v>
      </c>
      <c r="F625" s="62">
        <f t="shared" si="97"/>
        <v>-17.204865835104769</v>
      </c>
      <c r="G625" s="67">
        <f t="shared" si="98"/>
        <v>-72.510535901928421</v>
      </c>
      <c r="H625" s="62" t="e">
        <f t="shared" si="99"/>
        <v>#DIV/0!</v>
      </c>
      <c r="I625" s="62" t="e">
        <f t="shared" si="100"/>
        <v>#DIV/0!</v>
      </c>
      <c r="J625" s="74"/>
      <c r="K625" s="73"/>
      <c r="L625" s="73"/>
      <c r="M625" s="73"/>
      <c r="N625" s="73"/>
      <c r="O625" s="73"/>
      <c r="P625" s="73"/>
      <c r="Q625" s="73"/>
    </row>
    <row r="626" spans="2:17" x14ac:dyDescent="0.3">
      <c r="B626" s="73"/>
      <c r="C626" s="73">
        <f t="shared" si="94"/>
        <v>1695000</v>
      </c>
      <c r="D626" s="62" t="e">
        <f t="shared" si="95"/>
        <v>#DIV/0!</v>
      </c>
      <c r="E626" s="62" t="e">
        <f t="shared" si="96"/>
        <v>#DIV/0!</v>
      </c>
      <c r="F626" s="62">
        <f t="shared" si="97"/>
        <v>-17.2281822463952</v>
      </c>
      <c r="G626" s="67">
        <f t="shared" si="98"/>
        <v>-72.558927413222591</v>
      </c>
      <c r="H626" s="62" t="e">
        <f t="shared" si="99"/>
        <v>#DIV/0!</v>
      </c>
      <c r="I626" s="62" t="e">
        <f t="shared" si="100"/>
        <v>#DIV/0!</v>
      </c>
      <c r="J626" s="74"/>
      <c r="K626" s="73"/>
      <c r="L626" s="73"/>
      <c r="M626" s="73"/>
      <c r="N626" s="73"/>
      <c r="O626" s="73"/>
      <c r="P626" s="73"/>
      <c r="Q626" s="73"/>
    </row>
    <row r="627" spans="2:17" x14ac:dyDescent="0.3">
      <c r="B627" s="73"/>
      <c r="C627" s="73">
        <f t="shared" si="94"/>
        <v>1700000</v>
      </c>
      <c r="D627" s="62" t="e">
        <f t="shared" si="95"/>
        <v>#DIV/0!</v>
      </c>
      <c r="E627" s="62" t="e">
        <f t="shared" si="96"/>
        <v>#DIV/0!</v>
      </c>
      <c r="F627" s="62">
        <f t="shared" si="97"/>
        <v>-17.251442475127767</v>
      </c>
      <c r="G627" s="67">
        <f t="shared" si="98"/>
        <v>-72.607060327136054</v>
      </c>
      <c r="H627" s="62" t="e">
        <f t="shared" si="99"/>
        <v>#DIV/0!</v>
      </c>
      <c r="I627" s="62" t="e">
        <f t="shared" si="100"/>
        <v>#DIV/0!</v>
      </c>
      <c r="J627" s="74"/>
      <c r="K627" s="73"/>
      <c r="L627" s="73"/>
      <c r="M627" s="73"/>
      <c r="N627" s="73"/>
      <c r="O627" s="73"/>
      <c r="P627" s="73"/>
      <c r="Q627" s="73"/>
    </row>
    <row r="628" spans="2:17" x14ac:dyDescent="0.3">
      <c r="B628" s="73"/>
      <c r="C628" s="73">
        <f t="shared" ref="C628:C687" si="101">C627+5000</f>
        <v>1705000</v>
      </c>
      <c r="D628" s="62" t="e">
        <f t="shared" si="95"/>
        <v>#DIV/0!</v>
      </c>
      <c r="E628" s="62" t="e">
        <f t="shared" si="96"/>
        <v>#DIV/0!</v>
      </c>
      <c r="F628" s="62">
        <f t="shared" si="97"/>
        <v>-17.274646754916034</v>
      </c>
      <c r="G628" s="67">
        <f t="shared" si="98"/>
        <v>-72.654936641890188</v>
      </c>
      <c r="H628" s="62" t="e">
        <f t="shared" si="99"/>
        <v>#DIV/0!</v>
      </c>
      <c r="I628" s="62" t="e">
        <f t="shared" si="100"/>
        <v>#DIV/0!</v>
      </c>
      <c r="J628" s="74"/>
      <c r="K628" s="73"/>
      <c r="L628" s="73"/>
      <c r="M628" s="73"/>
      <c r="N628" s="73"/>
      <c r="O628" s="73"/>
      <c r="P628" s="73"/>
      <c r="Q628" s="73"/>
    </row>
    <row r="629" spans="2:17" x14ac:dyDescent="0.3">
      <c r="B629" s="73"/>
      <c r="C629" s="73">
        <f t="shared" si="101"/>
        <v>1710000</v>
      </c>
      <c r="D629" s="62" t="e">
        <f t="shared" si="95"/>
        <v>#DIV/0!</v>
      </c>
      <c r="E629" s="62" t="e">
        <f t="shared" si="96"/>
        <v>#DIV/0!</v>
      </c>
      <c r="F629" s="62">
        <f t="shared" si="97"/>
        <v>-17.297795318273959</v>
      </c>
      <c r="G629" s="67">
        <f t="shared" si="98"/>
        <v>-72.702558335930149</v>
      </c>
      <c r="H629" s="62" t="e">
        <f t="shared" si="99"/>
        <v>#DIV/0!</v>
      </c>
      <c r="I629" s="62" t="e">
        <f t="shared" si="100"/>
        <v>#DIV/0!</v>
      </c>
      <c r="J629" s="74"/>
      <c r="K629" s="73"/>
      <c r="L629" s="73"/>
      <c r="M629" s="73"/>
      <c r="N629" s="73"/>
      <c r="O629" s="73"/>
      <c r="P629" s="73"/>
      <c r="Q629" s="73"/>
    </row>
    <row r="630" spans="2:17" x14ac:dyDescent="0.3">
      <c r="B630" s="73"/>
      <c r="C630" s="73">
        <f t="shared" si="101"/>
        <v>1715000</v>
      </c>
      <c r="D630" s="62" t="e">
        <f t="shared" si="95"/>
        <v>#DIV/0!</v>
      </c>
      <c r="E630" s="62" t="e">
        <f t="shared" si="96"/>
        <v>#DIV/0!</v>
      </c>
      <c r="F630" s="62">
        <f t="shared" si="97"/>
        <v>-17.320888396617779</v>
      </c>
      <c r="G630" s="67">
        <f t="shared" si="98"/>
        <v>-72.749927368157572</v>
      </c>
      <c r="H630" s="62" t="e">
        <f t="shared" si="99"/>
        <v>#DIV/0!</v>
      </c>
      <c r="I630" s="62" t="e">
        <f t="shared" si="100"/>
        <v>#DIV/0!</v>
      </c>
      <c r="J630" s="74"/>
      <c r="K630" s="73"/>
      <c r="L630" s="73"/>
      <c r="M630" s="73"/>
      <c r="N630" s="73"/>
      <c r="O630" s="73"/>
      <c r="P630" s="73"/>
      <c r="Q630" s="73"/>
    </row>
    <row r="631" spans="2:17" x14ac:dyDescent="0.3">
      <c r="B631" s="73"/>
      <c r="C631" s="73">
        <f t="shared" si="101"/>
        <v>1720000</v>
      </c>
      <c r="D631" s="62" t="e">
        <f t="shared" si="95"/>
        <v>#DIV/0!</v>
      </c>
      <c r="E631" s="62" t="e">
        <f t="shared" si="96"/>
        <v>#DIV/0!</v>
      </c>
      <c r="F631" s="62">
        <f t="shared" si="97"/>
        <v>-17.343926220267448</v>
      </c>
      <c r="G631" s="67">
        <f t="shared" si="98"/>
        <v>-72.797045678161709</v>
      </c>
      <c r="H631" s="62" t="e">
        <f t="shared" si="99"/>
        <v>#DIV/0!</v>
      </c>
      <c r="I631" s="62" t="e">
        <f t="shared" si="100"/>
        <v>#DIV/0!</v>
      </c>
      <c r="J631" s="74"/>
      <c r="K631" s="73"/>
      <c r="L631" s="73"/>
      <c r="M631" s="73"/>
      <c r="N631" s="73"/>
      <c r="O631" s="73"/>
      <c r="P631" s="73"/>
      <c r="Q631" s="73"/>
    </row>
    <row r="632" spans="2:17" x14ac:dyDescent="0.3">
      <c r="B632" s="73"/>
      <c r="C632" s="73">
        <f t="shared" si="101"/>
        <v>1725000</v>
      </c>
      <c r="D632" s="62" t="e">
        <f t="shared" si="95"/>
        <v>#DIV/0!</v>
      </c>
      <c r="E632" s="62" t="e">
        <f t="shared" si="96"/>
        <v>#DIV/0!</v>
      </c>
      <c r="F632" s="62">
        <f t="shared" si="97"/>
        <v>-17.366909018448702</v>
      </c>
      <c r="G632" s="67">
        <f t="shared" si="98"/>
        <v>-72.843915186446196</v>
      </c>
      <c r="H632" s="62" t="e">
        <f t="shared" si="99"/>
        <v>#DIV/0!</v>
      </c>
      <c r="I632" s="62" t="e">
        <f t="shared" si="100"/>
        <v>#DIV/0!</v>
      </c>
      <c r="J632" s="74"/>
      <c r="K632" s="73"/>
      <c r="L632" s="73"/>
      <c r="M632" s="73"/>
      <c r="N632" s="73"/>
      <c r="O632" s="73"/>
      <c r="P632" s="73"/>
      <c r="Q632" s="73"/>
    </row>
    <row r="633" spans="2:17" x14ac:dyDescent="0.3">
      <c r="B633" s="73"/>
      <c r="C633" s="73">
        <f t="shared" si="101"/>
        <v>1730000</v>
      </c>
      <c r="D633" s="62" t="e">
        <f t="shared" si="95"/>
        <v>#DIV/0!</v>
      </c>
      <c r="E633" s="62" t="e">
        <f t="shared" si="96"/>
        <v>#DIV/0!</v>
      </c>
      <c r="F633" s="62">
        <f t="shared" si="97"/>
        <v>-17.389837019295054</v>
      </c>
      <c r="G633" s="67">
        <f t="shared" si="98"/>
        <v>-72.89053779465354</v>
      </c>
      <c r="H633" s="62" t="e">
        <f t="shared" si="99"/>
        <v>#DIV/0!</v>
      </c>
      <c r="I633" s="62" t="e">
        <f t="shared" si="100"/>
        <v>#DIV/0!</v>
      </c>
      <c r="J633" s="74"/>
      <c r="K633" s="73"/>
      <c r="L633" s="73"/>
      <c r="M633" s="73"/>
      <c r="N633" s="73"/>
      <c r="O633" s="73"/>
      <c r="P633" s="73"/>
      <c r="Q633" s="73"/>
    </row>
    <row r="634" spans="2:17" x14ac:dyDescent="0.3">
      <c r="B634" s="73"/>
      <c r="C634" s="73">
        <f t="shared" si="101"/>
        <v>1735000</v>
      </c>
      <c r="D634" s="62" t="e">
        <f t="shared" si="95"/>
        <v>#DIV/0!</v>
      </c>
      <c r="E634" s="62" t="e">
        <f t="shared" si="96"/>
        <v>#DIV/0!</v>
      </c>
      <c r="F634" s="62">
        <f t="shared" si="97"/>
        <v>-17.412710449849502</v>
      </c>
      <c r="G634" s="67">
        <f t="shared" si="98"/>
        <v>-72.93691538578706</v>
      </c>
      <c r="H634" s="62" t="e">
        <f t="shared" si="99"/>
        <v>#DIV/0!</v>
      </c>
      <c r="I634" s="62" t="e">
        <f t="shared" si="100"/>
        <v>#DIV/0!</v>
      </c>
      <c r="J634" s="74"/>
      <c r="K634" s="73"/>
      <c r="L634" s="73"/>
      <c r="M634" s="73"/>
      <c r="N634" s="73"/>
      <c r="O634" s="73"/>
      <c r="P634" s="73"/>
      <c r="Q634" s="73"/>
    </row>
    <row r="635" spans="2:17" x14ac:dyDescent="0.3">
      <c r="B635" s="73"/>
      <c r="C635" s="73">
        <f t="shared" si="101"/>
        <v>1740000</v>
      </c>
      <c r="D635" s="62" t="e">
        <f t="shared" si="95"/>
        <v>#DIV/0!</v>
      </c>
      <c r="E635" s="62" t="e">
        <f t="shared" si="96"/>
        <v>#DIV/0!</v>
      </c>
      <c r="F635" s="62">
        <f t="shared" si="97"/>
        <v>-17.435529536067275</v>
      </c>
      <c r="G635" s="67">
        <f t="shared" si="98"/>
        <v>-72.983049824428406</v>
      </c>
      <c r="H635" s="62" t="e">
        <f t="shared" si="99"/>
        <v>#DIV/0!</v>
      </c>
      <c r="I635" s="62" t="e">
        <f t="shared" si="100"/>
        <v>#DIV/0!</v>
      </c>
      <c r="J635" s="74"/>
      <c r="K635" s="73"/>
      <c r="L635" s="73"/>
      <c r="M635" s="73"/>
      <c r="N635" s="73"/>
      <c r="O635" s="73"/>
      <c r="P635" s="73"/>
      <c r="Q635" s="73"/>
    </row>
    <row r="636" spans="2:17" x14ac:dyDescent="0.3">
      <c r="B636" s="73"/>
      <c r="C636" s="73">
        <f t="shared" si="101"/>
        <v>1745000</v>
      </c>
      <c r="D636" s="62" t="e">
        <f t="shared" si="95"/>
        <v>#DIV/0!</v>
      </c>
      <c r="E636" s="62" t="e">
        <f t="shared" si="96"/>
        <v>#DIV/0!</v>
      </c>
      <c r="F636" s="62">
        <f t="shared" si="97"/>
        <v>-17.458294502817548</v>
      </c>
      <c r="G636" s="67">
        <f t="shared" si="98"/>
        <v>-73.028942956953586</v>
      </c>
      <c r="H636" s="62" t="e">
        <f t="shared" si="99"/>
        <v>#DIV/0!</v>
      </c>
      <c r="I636" s="62" t="e">
        <f t="shared" si="100"/>
        <v>#DIV/0!</v>
      </c>
      <c r="J636" s="74"/>
      <c r="K636" s="73"/>
      <c r="L636" s="73"/>
      <c r="M636" s="73"/>
      <c r="N636" s="73"/>
      <c r="O636" s="73"/>
      <c r="P636" s="73"/>
      <c r="Q636" s="73"/>
    </row>
    <row r="637" spans="2:17" x14ac:dyDescent="0.3">
      <c r="B637" s="73"/>
      <c r="C637" s="73">
        <f t="shared" si="101"/>
        <v>1750000</v>
      </c>
      <c r="D637" s="62" t="e">
        <f t="shared" si="95"/>
        <v>#DIV/0!</v>
      </c>
      <c r="E637" s="62" t="e">
        <f t="shared" si="96"/>
        <v>#DIV/0!</v>
      </c>
      <c r="F637" s="62">
        <f t="shared" si="97"/>
        <v>-17.481005573886257</v>
      </c>
      <c r="G637" s="67">
        <f t="shared" si="98"/>
        <v>-73.074596611745733</v>
      </c>
      <c r="H637" s="62" t="e">
        <f t="shared" si="99"/>
        <v>#DIV/0!</v>
      </c>
      <c r="I637" s="62" t="e">
        <f t="shared" si="100"/>
        <v>#DIV/0!</v>
      </c>
      <c r="J637" s="74"/>
      <c r="K637" s="73"/>
      <c r="L637" s="73"/>
      <c r="M637" s="73"/>
      <c r="N637" s="73"/>
      <c r="O637" s="73"/>
      <c r="P637" s="73"/>
      <c r="Q637" s="73"/>
    </row>
    <row r="638" spans="2:17" x14ac:dyDescent="0.3">
      <c r="B638" s="73"/>
      <c r="C638" s="73">
        <f t="shared" si="101"/>
        <v>1755000</v>
      </c>
      <c r="D638" s="62" t="e">
        <f t="shared" si="95"/>
        <v>#DIV/0!</v>
      </c>
      <c r="E638" s="62" t="e">
        <f t="shared" si="96"/>
        <v>#DIV/0!</v>
      </c>
      <c r="F638" s="62">
        <f t="shared" si="97"/>
        <v>-17.503662971978432</v>
      </c>
      <c r="G638" s="67">
        <f t="shared" si="98"/>
        <v>-73.120012599404305</v>
      </c>
      <c r="H638" s="62" t="e">
        <f t="shared" si="99"/>
        <v>#DIV/0!</v>
      </c>
      <c r="I638" s="62" t="e">
        <f t="shared" si="100"/>
        <v>#DIV/0!</v>
      </c>
      <c r="J638" s="74"/>
      <c r="K638" s="73"/>
      <c r="L638" s="73"/>
      <c r="M638" s="73"/>
      <c r="N638" s="73"/>
      <c r="O638" s="73"/>
      <c r="P638" s="73"/>
      <c r="Q638" s="73"/>
    </row>
    <row r="639" spans="2:17" x14ac:dyDescent="0.3">
      <c r="B639" s="73"/>
      <c r="C639" s="73">
        <f t="shared" si="101"/>
        <v>1760000</v>
      </c>
      <c r="D639" s="62" t="e">
        <f t="shared" si="95"/>
        <v>#DIV/0!</v>
      </c>
      <c r="E639" s="62" t="e">
        <f t="shared" si="96"/>
        <v>#DIV/0!</v>
      </c>
      <c r="F639" s="62">
        <f t="shared" si="97"/>
        <v>-17.526266918720829</v>
      </c>
      <c r="G639" s="67">
        <f t="shared" si="98"/>
        <v>-73.165192712952702</v>
      </c>
      <c r="H639" s="62" t="e">
        <f t="shared" si="99"/>
        <v>#DIV/0!</v>
      </c>
      <c r="I639" s="62" t="e">
        <f t="shared" si="100"/>
        <v>#DIV/0!</v>
      </c>
      <c r="J639" s="74"/>
      <c r="K639" s="73"/>
      <c r="L639" s="73"/>
      <c r="M639" s="73"/>
      <c r="N639" s="73"/>
      <c r="O639" s="73"/>
      <c r="P639" s="73"/>
      <c r="Q639" s="73"/>
    </row>
    <row r="640" spans="2:17" x14ac:dyDescent="0.3">
      <c r="B640" s="73"/>
      <c r="C640" s="73">
        <f t="shared" si="101"/>
        <v>1765000</v>
      </c>
      <c r="D640" s="62" t="e">
        <f t="shared" si="95"/>
        <v>#DIV/0!</v>
      </c>
      <c r="E640" s="62" t="e">
        <f t="shared" si="96"/>
        <v>#DIV/0!</v>
      </c>
      <c r="F640" s="62">
        <f t="shared" si="97"/>
        <v>-17.548817634664509</v>
      </c>
      <c r="G640" s="67">
        <f t="shared" si="98"/>
        <v>-73.210138728042381</v>
      </c>
      <c r="H640" s="62" t="e">
        <f t="shared" si="99"/>
        <v>#DIV/0!</v>
      </c>
      <c r="I640" s="62" t="e">
        <f t="shared" si="100"/>
        <v>#DIV/0!</v>
      </c>
      <c r="J640" s="74"/>
      <c r="K640" s="73"/>
      <c r="L640" s="73"/>
      <c r="M640" s="73"/>
      <c r="N640" s="73"/>
      <c r="O640" s="73"/>
      <c r="P640" s="73"/>
      <c r="Q640" s="73"/>
    </row>
    <row r="641" spans="2:17" x14ac:dyDescent="0.3">
      <c r="B641" s="73"/>
      <c r="C641" s="73">
        <f t="shared" si="101"/>
        <v>1770000</v>
      </c>
      <c r="D641" s="62" t="e">
        <f t="shared" si="95"/>
        <v>#DIV/0!</v>
      </c>
      <c r="E641" s="62" t="e">
        <f t="shared" si="96"/>
        <v>#DIV/0!</v>
      </c>
      <c r="F641" s="62">
        <f t="shared" si="97"/>
        <v>-17.571315339287747</v>
      </c>
      <c r="G641" s="67">
        <f t="shared" si="98"/>
        <v>-73.254852403154246</v>
      </c>
      <c r="H641" s="62" t="e">
        <f t="shared" si="99"/>
        <v>#DIV/0!</v>
      </c>
      <c r="I641" s="62" t="e">
        <f t="shared" si="100"/>
        <v>#DIV/0!</v>
      </c>
      <c r="J641" s="74"/>
      <c r="K641" s="73"/>
      <c r="L641" s="73"/>
      <c r="M641" s="73"/>
      <c r="N641" s="73"/>
      <c r="O641" s="73"/>
      <c r="P641" s="73"/>
      <c r="Q641" s="73"/>
    </row>
    <row r="642" spans="2:17" x14ac:dyDescent="0.3">
      <c r="B642" s="73"/>
      <c r="C642" s="73">
        <f t="shared" si="101"/>
        <v>1775000</v>
      </c>
      <c r="D642" s="62" t="e">
        <f t="shared" si="95"/>
        <v>#DIV/0!</v>
      </c>
      <c r="E642" s="62" t="e">
        <f t="shared" si="96"/>
        <v>#DIV/0!</v>
      </c>
      <c r="F642" s="62">
        <f t="shared" si="97"/>
        <v>-17.593760250998681</v>
      </c>
      <c r="G642" s="67">
        <f t="shared" si="98"/>
        <v>-73.299335479797847</v>
      </c>
      <c r="H642" s="62" t="e">
        <f t="shared" si="99"/>
        <v>#DIV/0!</v>
      </c>
      <c r="I642" s="62" t="e">
        <f t="shared" si="100"/>
        <v>#DIV/0!</v>
      </c>
      <c r="J642" s="74"/>
      <c r="K642" s="73"/>
      <c r="L642" s="73"/>
      <c r="M642" s="73"/>
      <c r="N642" s="73"/>
      <c r="O642" s="73"/>
      <c r="P642" s="73"/>
      <c r="Q642" s="73"/>
    </row>
    <row r="643" spans="2:17" x14ac:dyDescent="0.3">
      <c r="B643" s="73"/>
      <c r="C643" s="73">
        <f t="shared" si="101"/>
        <v>1780000</v>
      </c>
      <c r="D643" s="62" t="e">
        <f t="shared" si="95"/>
        <v>#DIV/0!</v>
      </c>
      <c r="E643" s="62" t="e">
        <f t="shared" si="96"/>
        <v>#DIV/0!</v>
      </c>
      <c r="F643" s="62">
        <f t="shared" si="97"/>
        <v>-17.616152587138647</v>
      </c>
      <c r="G643" s="67">
        <f t="shared" si="98"/>
        <v>-73.343589682707247</v>
      </c>
      <c r="H643" s="62" t="e">
        <f t="shared" si="99"/>
        <v>#DIV/0!</v>
      </c>
      <c r="I643" s="62" t="e">
        <f t="shared" si="100"/>
        <v>#DIV/0!</v>
      </c>
      <c r="J643" s="74"/>
      <c r="K643" s="73"/>
      <c r="L643" s="73"/>
      <c r="M643" s="73"/>
      <c r="N643" s="73"/>
      <c r="O643" s="73"/>
      <c r="P643" s="73"/>
      <c r="Q643" s="73"/>
    </row>
    <row r="644" spans="2:17" x14ac:dyDescent="0.3">
      <c r="B644" s="73"/>
      <c r="C644" s="73">
        <f t="shared" si="101"/>
        <v>1785000</v>
      </c>
      <c r="D644" s="62" t="e">
        <f t="shared" si="95"/>
        <v>#DIV/0!</v>
      </c>
      <c r="E644" s="62" t="e">
        <f t="shared" si="96"/>
        <v>#DIV/0!</v>
      </c>
      <c r="F644" s="62">
        <f t="shared" si="97"/>
        <v>-17.63849256398467</v>
      </c>
      <c r="G644" s="67">
        <f t="shared" si="98"/>
        <v>-73.387616720035396</v>
      </c>
      <c r="H644" s="62" t="e">
        <f t="shared" si="99"/>
        <v>#DIV/0!</v>
      </c>
      <c r="I644" s="62" t="e">
        <f t="shared" si="100"/>
        <v>#DIV/0!</v>
      </c>
      <c r="J644" s="74"/>
      <c r="K644" s="73"/>
      <c r="L644" s="73"/>
      <c r="M644" s="73"/>
      <c r="N644" s="73"/>
      <c r="O644" s="73"/>
      <c r="P644" s="73"/>
      <c r="Q644" s="73"/>
    </row>
    <row r="645" spans="2:17" x14ac:dyDescent="0.3">
      <c r="B645" s="73"/>
      <c r="C645" s="73">
        <f t="shared" si="101"/>
        <v>1790000</v>
      </c>
      <c r="D645" s="62" t="e">
        <f t="shared" si="95"/>
        <v>#DIV/0!</v>
      </c>
      <c r="E645" s="62" t="e">
        <f t="shared" si="96"/>
        <v>#DIV/0!</v>
      </c>
      <c r="F645" s="62">
        <f t="shared" si="97"/>
        <v>-17.660780396753054</v>
      </c>
      <c r="G645" s="67">
        <f t="shared" si="98"/>
        <v>-73.431418283544318</v>
      </c>
      <c r="H645" s="62" t="e">
        <f t="shared" si="99"/>
        <v>#DIV/0!</v>
      </c>
      <c r="I645" s="62" t="e">
        <f t="shared" si="100"/>
        <v>#DIV/0!</v>
      </c>
      <c r="J645" s="74"/>
      <c r="K645" s="73"/>
      <c r="L645" s="73"/>
      <c r="M645" s="73"/>
      <c r="N645" s="73"/>
      <c r="O645" s="73"/>
      <c r="P645" s="73"/>
      <c r="Q645" s="73"/>
    </row>
    <row r="646" spans="2:17" x14ac:dyDescent="0.3">
      <c r="B646" s="73"/>
      <c r="C646" s="73">
        <f t="shared" si="101"/>
        <v>1795000</v>
      </c>
      <c r="D646" s="62" t="e">
        <f t="shared" si="95"/>
        <v>#DIV/0!</v>
      </c>
      <c r="E646" s="62" t="e">
        <f t="shared" si="96"/>
        <v>#DIV/0!</v>
      </c>
      <c r="F646" s="62">
        <f t="shared" si="97"/>
        <v>-17.683016299602187</v>
      </c>
      <c r="G646" s="67">
        <f t="shared" si="98"/>
        <v>-73.474996048794651</v>
      </c>
      <c r="H646" s="62" t="e">
        <f t="shared" si="99"/>
        <v>#DIV/0!</v>
      </c>
      <c r="I646" s="62" t="e">
        <f t="shared" si="100"/>
        <v>#DIV/0!</v>
      </c>
      <c r="J646" s="74"/>
      <c r="K646" s="73"/>
      <c r="L646" s="73"/>
      <c r="M646" s="73"/>
      <c r="N646" s="73"/>
      <c r="O646" s="73"/>
      <c r="P646" s="73"/>
      <c r="Q646" s="73"/>
    </row>
    <row r="647" spans="2:17" x14ac:dyDescent="0.3">
      <c r="B647" s="73"/>
      <c r="C647" s="73">
        <f t="shared" si="101"/>
        <v>1800000</v>
      </c>
      <c r="D647" s="62" t="e">
        <f t="shared" si="95"/>
        <v>#DIV/0!</v>
      </c>
      <c r="E647" s="62" t="e">
        <f t="shared" si="96"/>
        <v>#DIV/0!</v>
      </c>
      <c r="F647" s="62">
        <f t="shared" si="97"/>
        <v>-17.705200485635793</v>
      </c>
      <c r="G647" s="67">
        <f t="shared" si="98"/>
        <v>-73.518351675331587</v>
      </c>
      <c r="H647" s="62" t="e">
        <f t="shared" si="99"/>
        <v>#DIV/0!</v>
      </c>
      <c r="I647" s="62" t="e">
        <f t="shared" si="100"/>
        <v>#DIV/0!</v>
      </c>
      <c r="J647" s="74"/>
      <c r="K647" s="73"/>
      <c r="L647" s="73"/>
      <c r="M647" s="73"/>
      <c r="N647" s="73"/>
      <c r="O647" s="73"/>
      <c r="P647" s="73"/>
      <c r="Q647" s="73"/>
    </row>
    <row r="648" spans="2:17" x14ac:dyDescent="0.3">
      <c r="B648" s="73"/>
      <c r="C648" s="73">
        <f t="shared" si="101"/>
        <v>1805000</v>
      </c>
      <c r="D648" s="62" t="e">
        <f t="shared" si="95"/>
        <v>#DIV/0!</v>
      </c>
      <c r="E648" s="62" t="e">
        <f t="shared" si="96"/>
        <v>#DIV/0!</v>
      </c>
      <c r="F648" s="62">
        <f t="shared" si="97"/>
        <v>-17.727333166906782</v>
      </c>
      <c r="G648" s="67">
        <f t="shared" si="98"/>
        <v>-73.561486806867805</v>
      </c>
      <c r="H648" s="62" t="e">
        <f t="shared" si="99"/>
        <v>#DIV/0!</v>
      </c>
      <c r="I648" s="62" t="e">
        <f t="shared" si="100"/>
        <v>#DIV/0!</v>
      </c>
      <c r="J648" s="74"/>
      <c r="K648" s="73"/>
      <c r="L648" s="73"/>
      <c r="M648" s="73"/>
      <c r="N648" s="73"/>
      <c r="O648" s="73"/>
      <c r="P648" s="73"/>
      <c r="Q648" s="73"/>
    </row>
    <row r="649" spans="2:17" x14ac:dyDescent="0.3">
      <c r="B649" s="73"/>
      <c r="C649" s="73">
        <f t="shared" si="101"/>
        <v>1810000</v>
      </c>
      <c r="D649" s="62" t="e">
        <f t="shared" si="95"/>
        <v>#DIV/0!</v>
      </c>
      <c r="E649" s="62" t="e">
        <f t="shared" si="96"/>
        <v>#DIV/0!</v>
      </c>
      <c r="F649" s="62">
        <f t="shared" si="97"/>
        <v>-17.749414554419637</v>
      </c>
      <c r="G649" s="67">
        <f t="shared" si="98"/>
        <v>-73.604403071466123</v>
      </c>
      <c r="H649" s="62" t="e">
        <f t="shared" si="99"/>
        <v>#DIV/0!</v>
      </c>
      <c r="I649" s="62" t="e">
        <f t="shared" si="100"/>
        <v>#DIV/0!</v>
      </c>
      <c r="J649" s="74"/>
      <c r="K649" s="73"/>
      <c r="L649" s="73"/>
      <c r="M649" s="73"/>
      <c r="N649" s="73"/>
      <c r="O649" s="73"/>
      <c r="P649" s="73"/>
      <c r="Q649" s="73"/>
    </row>
    <row r="650" spans="2:17" x14ac:dyDescent="0.3">
      <c r="B650" s="73"/>
      <c r="C650" s="73">
        <f t="shared" si="101"/>
        <v>1815000</v>
      </c>
      <c r="D650" s="62" t="e">
        <f t="shared" si="95"/>
        <v>#DIV/0!</v>
      </c>
      <c r="E650" s="62" t="e">
        <f t="shared" si="96"/>
        <v>#DIV/0!</v>
      </c>
      <c r="F650" s="62">
        <f t="shared" si="97"/>
        <v>-17.771444858134799</v>
      </c>
      <c r="G650" s="67">
        <f t="shared" si="98"/>
        <v>-73.647102081717151</v>
      </c>
      <c r="H650" s="62" t="e">
        <f t="shared" si="99"/>
        <v>#DIV/0!</v>
      </c>
      <c r="I650" s="62" t="e">
        <f t="shared" si="100"/>
        <v>#DIV/0!</v>
      </c>
      <c r="J650" s="74"/>
      <c r="K650" s="73"/>
      <c r="L650" s="73"/>
      <c r="M650" s="73"/>
      <c r="N650" s="73"/>
      <c r="O650" s="73"/>
      <c r="P650" s="73"/>
      <c r="Q650" s="73"/>
    </row>
    <row r="651" spans="2:17" x14ac:dyDescent="0.3">
      <c r="B651" s="73"/>
      <c r="C651" s="73">
        <f t="shared" si="101"/>
        <v>1820000</v>
      </c>
      <c r="D651" s="62" t="e">
        <f t="shared" si="95"/>
        <v>#DIV/0!</v>
      </c>
      <c r="E651" s="62" t="e">
        <f t="shared" si="96"/>
        <v>#DIV/0!</v>
      </c>
      <c r="F651" s="62">
        <f t="shared" si="97"/>
        <v>-17.793424286971554</v>
      </c>
      <c r="G651" s="67">
        <f t="shared" si="98"/>
        <v>-73.689585434916637</v>
      </c>
      <c r="H651" s="62" t="e">
        <f t="shared" si="99"/>
        <v>#DIV/0!</v>
      </c>
      <c r="I651" s="62" t="e">
        <f t="shared" si="100"/>
        <v>#DIV/0!</v>
      </c>
      <c r="J651" s="74"/>
      <c r="K651" s="73"/>
      <c r="L651" s="73"/>
      <c r="M651" s="73"/>
      <c r="N651" s="73"/>
      <c r="O651" s="73"/>
      <c r="P651" s="73"/>
      <c r="Q651" s="73"/>
    </row>
    <row r="652" spans="2:17" x14ac:dyDescent="0.3">
      <c r="B652" s="73"/>
      <c r="C652" s="73">
        <f t="shared" si="101"/>
        <v>1825000</v>
      </c>
      <c r="D652" s="62" t="e">
        <f t="shared" si="95"/>
        <v>#DIV/0!</v>
      </c>
      <c r="E652" s="62" t="e">
        <f t="shared" si="96"/>
        <v>#DIV/0!</v>
      </c>
      <c r="F652" s="62">
        <f t="shared" si="97"/>
        <v>-17.815353048811907</v>
      </c>
      <c r="G652" s="67">
        <f t="shared" si="98"/>
        <v>-73.7318547132395</v>
      </c>
      <c r="H652" s="62" t="e">
        <f t="shared" si="99"/>
        <v>#DIV/0!</v>
      </c>
      <c r="I652" s="62" t="e">
        <f t="shared" si="100"/>
        <v>#DIV/0!</v>
      </c>
      <c r="J652" s="74"/>
      <c r="K652" s="73"/>
      <c r="L652" s="73"/>
      <c r="M652" s="73"/>
      <c r="N652" s="73"/>
      <c r="O652" s="73"/>
      <c r="P652" s="73"/>
      <c r="Q652" s="73"/>
    </row>
    <row r="653" spans="2:17" x14ac:dyDescent="0.3">
      <c r="B653" s="73"/>
      <c r="C653" s="73">
        <f t="shared" si="101"/>
        <v>1830000</v>
      </c>
      <c r="D653" s="62" t="e">
        <f t="shared" si="95"/>
        <v>#DIV/0!</v>
      </c>
      <c r="E653" s="62" t="e">
        <f t="shared" si="96"/>
        <v>#DIV/0!</v>
      </c>
      <c r="F653" s="62">
        <f t="shared" si="97"/>
        <v>-17.837231350503767</v>
      </c>
      <c r="G653" s="67">
        <f t="shared" si="98"/>
        <v>-73.773911483911988</v>
      </c>
      <c r="H653" s="62" t="e">
        <f t="shared" si="99"/>
        <v>#DIV/0!</v>
      </c>
      <c r="I653" s="62" t="e">
        <f t="shared" si="100"/>
        <v>#DIV/0!</v>
      </c>
      <c r="J653" s="74"/>
      <c r="K653" s="73"/>
      <c r="L653" s="73"/>
      <c r="M653" s="73"/>
      <c r="N653" s="73"/>
      <c r="O653" s="73"/>
      <c r="P653" s="73"/>
      <c r="Q653" s="73"/>
    </row>
    <row r="654" spans="2:17" x14ac:dyDescent="0.3">
      <c r="B654" s="73"/>
      <c r="C654" s="73">
        <f t="shared" si="101"/>
        <v>1835000</v>
      </c>
      <c r="D654" s="62" t="e">
        <f t="shared" si="95"/>
        <v>#DIV/0!</v>
      </c>
      <c r="E654" s="62" t="e">
        <f t="shared" si="96"/>
        <v>#DIV/0!</v>
      </c>
      <c r="F654" s="62">
        <f t="shared" si="97"/>
        <v>-17.859059397865288</v>
      </c>
      <c r="G654" s="67">
        <f t="shared" si="98"/>
        <v>-73.815757299380905</v>
      </c>
      <c r="H654" s="62" t="e">
        <f t="shared" si="99"/>
        <v>#DIV/0!</v>
      </c>
      <c r="I654" s="62" t="e">
        <f t="shared" si="100"/>
        <v>#DIV/0!</v>
      </c>
      <c r="J654" s="74"/>
      <c r="K654" s="73"/>
      <c r="L654" s="73"/>
      <c r="M654" s="73"/>
      <c r="N654" s="73"/>
      <c r="O654" s="73"/>
      <c r="P654" s="73"/>
      <c r="Q654" s="73"/>
    </row>
    <row r="655" spans="2:17" x14ac:dyDescent="0.3">
      <c r="B655" s="73"/>
      <c r="C655" s="73">
        <f t="shared" si="101"/>
        <v>1840000</v>
      </c>
      <c r="D655" s="62" t="e">
        <f t="shared" si="95"/>
        <v>#DIV/0!</v>
      </c>
      <c r="E655" s="62" t="e">
        <f t="shared" si="96"/>
        <v>#DIV/0!</v>
      </c>
      <c r="F655" s="62">
        <f t="shared" si="97"/>
        <v>-17.880837395687685</v>
      </c>
      <c r="G655" s="67">
        <f t="shared" si="98"/>
        <v>-73.857393697482351</v>
      </c>
      <c r="H655" s="62" t="e">
        <f t="shared" si="99"/>
        <v>#DIV/0!</v>
      </c>
      <c r="I655" s="62" t="e">
        <f t="shared" si="100"/>
        <v>#DIV/0!</v>
      </c>
      <c r="J655" s="74"/>
      <c r="K655" s="73"/>
      <c r="L655" s="73"/>
      <c r="M655" s="73"/>
      <c r="N655" s="73"/>
      <c r="O655" s="73"/>
      <c r="P655" s="73"/>
      <c r="Q655" s="73"/>
    </row>
    <row r="656" spans="2:17" x14ac:dyDescent="0.3">
      <c r="B656" s="73"/>
      <c r="C656" s="73">
        <f t="shared" si="101"/>
        <v>1845000</v>
      </c>
      <c r="D656" s="62" t="e">
        <f t="shared" si="95"/>
        <v>#DIV/0!</v>
      </c>
      <c r="E656" s="62" t="e">
        <f t="shared" si="96"/>
        <v>#DIV/0!</v>
      </c>
      <c r="F656" s="62">
        <f t="shared" si="97"/>
        <v>-17.902565547739915</v>
      </c>
      <c r="G656" s="67">
        <f t="shared" si="98"/>
        <v>-73.898822201605526</v>
      </c>
      <c r="H656" s="62" t="e">
        <f t="shared" si="99"/>
        <v>#DIV/0!</v>
      </c>
      <c r="I656" s="62" t="e">
        <f t="shared" si="100"/>
        <v>#DIV/0!</v>
      </c>
      <c r="J656" s="74"/>
      <c r="K656" s="73"/>
      <c r="L656" s="73"/>
      <c r="M656" s="73"/>
      <c r="N656" s="73"/>
      <c r="O656" s="73"/>
      <c r="P656" s="73"/>
      <c r="Q656" s="73"/>
    </row>
    <row r="657" spans="2:17" x14ac:dyDescent="0.3">
      <c r="B657" s="73"/>
      <c r="C657" s="73">
        <f t="shared" si="101"/>
        <v>1850000</v>
      </c>
      <c r="D657" s="62" t="e">
        <f t="shared" si="95"/>
        <v>#DIV/0!</v>
      </c>
      <c r="E657" s="62" t="e">
        <f t="shared" si="96"/>
        <v>#DIV/0!</v>
      </c>
      <c r="F657" s="62">
        <f t="shared" si="97"/>
        <v>-17.924244056771805</v>
      </c>
      <c r="G657" s="67">
        <f t="shared" si="98"/>
        <v>-73.940044320857126</v>
      </c>
      <c r="H657" s="62" t="e">
        <f t="shared" si="99"/>
        <v>#DIV/0!</v>
      </c>
      <c r="I657" s="62" t="e">
        <f t="shared" si="100"/>
        <v>#DIV/0!</v>
      </c>
      <c r="J657" s="74"/>
      <c r="K657" s="73"/>
      <c r="L657" s="73"/>
      <c r="M657" s="73"/>
      <c r="N657" s="73"/>
      <c r="O657" s="73"/>
      <c r="P657" s="73"/>
      <c r="Q657" s="73"/>
    </row>
    <row r="658" spans="2:17" x14ac:dyDescent="0.3">
      <c r="B658" s="73"/>
      <c r="C658" s="73">
        <f t="shared" si="101"/>
        <v>1855000</v>
      </c>
      <c r="D658" s="62" t="e">
        <f t="shared" ref="D658:D721" si="102">20*LOG(Am*IMABS(IMDIV(IMDIV(IMDIV(IMPRODUCT( COMPLEX(1,C658/Fzesr),COMPLEX(1,-C658/Frhp) ),COMPLEX(1,C658/Flp) ),COMPLEX(1,C658/Fesrp) ),COMPLEX(1-C658^2/(Fdp^2),C658/Fsp) )))</f>
        <v>#DIV/0!</v>
      </c>
      <c r="E658" s="62" t="e">
        <f t="shared" ref="E658:E721" si="103">IMARGUMENT(IMDIV(IMDIV(IMDIV(IMPRODUCT( COMPLEX(1,C658/Fzesr),COMPLEX(1,-C658/Frhp) ),COMPLEX(1,C658/Flp) ),COMPLEX(1,C658/Fesrp) ),COMPLEX(1-C658^2/(Fdp^2),C658/Fsp) ))*180/pi</f>
        <v>#DIV/0!</v>
      </c>
      <c r="F658" s="62">
        <f t="shared" ref="F658:F721" si="104">20*LOG(Afb*IMABS(IMDIV(IMDIV(COMPLEX(1,C658/Fzea),COMPLEX(1,C658/Fpea)),COMPLEX(0,2*3.14*C658))))</f>
        <v>-17.945873124518002</v>
      </c>
      <c r="G658" s="67">
        <f t="shared" ref="G658:G721" si="105">IMARGUMENT(IMDIV(IMDIV(COMPLEX(1,C658/Fzea),COMPLEX(1,C658/Fpea)),COMPLEX(0,2*3.14*C658)))*180/pi</f>
        <v>-73.981061550222279</v>
      </c>
      <c r="H658" s="62" t="e">
        <f t="shared" ref="H658:H721" si="106">D658+F658</f>
        <v>#DIV/0!</v>
      </c>
      <c r="I658" s="62" t="e">
        <f t="shared" ref="I658:I721" si="107">E658+G658</f>
        <v>#DIV/0!</v>
      </c>
      <c r="J658" s="74"/>
      <c r="K658" s="73"/>
      <c r="L658" s="73"/>
      <c r="M658" s="73"/>
      <c r="N658" s="73"/>
      <c r="O658" s="73"/>
      <c r="P658" s="73"/>
      <c r="Q658" s="73"/>
    </row>
    <row r="659" spans="2:17" x14ac:dyDescent="0.3">
      <c r="B659" s="73"/>
      <c r="C659" s="73">
        <f t="shared" si="101"/>
        <v>1860000</v>
      </c>
      <c r="D659" s="62" t="e">
        <f t="shared" si="102"/>
        <v>#DIV/0!</v>
      </c>
      <c r="E659" s="62" t="e">
        <f t="shared" si="103"/>
        <v>#DIV/0!</v>
      </c>
      <c r="F659" s="62">
        <f t="shared" si="104"/>
        <v>-17.967452951702015</v>
      </c>
      <c r="G659" s="67">
        <f t="shared" si="105"/>
        <v>-74.021875370723421</v>
      </c>
      <c r="H659" s="62" t="e">
        <f t="shared" si="106"/>
        <v>#DIV/0!</v>
      </c>
      <c r="I659" s="62" t="e">
        <f t="shared" si="107"/>
        <v>#DIV/0!</v>
      </c>
      <c r="J659" s="74"/>
      <c r="K659" s="73"/>
      <c r="L659" s="73"/>
      <c r="M659" s="73"/>
      <c r="N659" s="73"/>
      <c r="O659" s="73"/>
      <c r="P659" s="73"/>
      <c r="Q659" s="73"/>
    </row>
    <row r="660" spans="2:17" x14ac:dyDescent="0.3">
      <c r="B660" s="73"/>
      <c r="C660" s="73">
        <f t="shared" si="101"/>
        <v>1865000</v>
      </c>
      <c r="D660" s="62" t="e">
        <f t="shared" si="102"/>
        <v>#DIV/0!</v>
      </c>
      <c r="E660" s="62" t="e">
        <f t="shared" si="103"/>
        <v>#DIV/0!</v>
      </c>
      <c r="F660" s="62">
        <f t="shared" si="104"/>
        <v>-17.988983738040197</v>
      </c>
      <c r="G660" s="67">
        <f t="shared" si="105"/>
        <v>-74.062487249576833</v>
      </c>
      <c r="H660" s="62" t="e">
        <f t="shared" si="106"/>
        <v>#DIV/0!</v>
      </c>
      <c r="I660" s="62" t="e">
        <f t="shared" si="107"/>
        <v>#DIV/0!</v>
      </c>
      <c r="J660" s="74"/>
      <c r="K660" s="73"/>
      <c r="L660" s="73"/>
      <c r="M660" s="73"/>
      <c r="N660" s="73"/>
      <c r="O660" s="73"/>
      <c r="P660" s="73"/>
      <c r="Q660" s="73"/>
    </row>
    <row r="661" spans="2:17" x14ac:dyDescent="0.3">
      <c r="B661" s="73"/>
      <c r="C661" s="73">
        <f t="shared" si="101"/>
        <v>1870000</v>
      </c>
      <c r="D661" s="62" t="e">
        <f t="shared" si="102"/>
        <v>#DIV/0!</v>
      </c>
      <c r="E661" s="62" t="e">
        <f t="shared" si="103"/>
        <v>#DIV/0!</v>
      </c>
      <c r="F661" s="62">
        <f t="shared" si="104"/>
        <v>-18.010465682245286</v>
      </c>
      <c r="G661" s="67">
        <f t="shared" si="105"/>
        <v>-74.102898640348911</v>
      </c>
      <c r="H661" s="62" t="e">
        <f t="shared" si="106"/>
        <v>#DIV/0!</v>
      </c>
      <c r="I661" s="62" t="e">
        <f t="shared" si="107"/>
        <v>#DIV/0!</v>
      </c>
      <c r="J661" s="74"/>
      <c r="K661" s="73"/>
      <c r="L661" s="73"/>
      <c r="M661" s="73"/>
      <c r="N661" s="73"/>
      <c r="O661" s="73"/>
      <c r="P661" s="73"/>
      <c r="Q661" s="73"/>
    </row>
    <row r="662" spans="2:17" x14ac:dyDescent="0.3">
      <c r="B662" s="73"/>
      <c r="C662" s="73">
        <f t="shared" si="101"/>
        <v>1875000</v>
      </c>
      <c r="D662" s="62" t="e">
        <f t="shared" si="102"/>
        <v>#DIV/0!</v>
      </c>
      <c r="E662" s="62" t="e">
        <f t="shared" si="103"/>
        <v>#DIV/0!</v>
      </c>
      <c r="F662" s="62">
        <f t="shared" si="104"/>
        <v>-18.03189898203096</v>
      </c>
      <c r="G662" s="67">
        <f t="shared" si="105"/>
        <v>-74.143110983107235</v>
      </c>
      <c r="H662" s="62" t="e">
        <f t="shared" si="106"/>
        <v>#DIV/0!</v>
      </c>
      <c r="I662" s="62" t="e">
        <f t="shared" si="107"/>
        <v>#DIV/0!</v>
      </c>
      <c r="J662" s="74"/>
      <c r="K662" s="73"/>
      <c r="L662" s="73"/>
      <c r="M662" s="73"/>
      <c r="N662" s="73"/>
      <c r="O662" s="73"/>
      <c r="P662" s="73"/>
      <c r="Q662" s="73"/>
    </row>
    <row r="663" spans="2:17" x14ac:dyDescent="0.3">
      <c r="B663" s="73"/>
      <c r="C663" s="73">
        <f t="shared" si="101"/>
        <v>1880000</v>
      </c>
      <c r="D663" s="62" t="e">
        <f t="shared" si="102"/>
        <v>#DIV/0!</v>
      </c>
      <c r="E663" s="62" t="e">
        <f t="shared" si="103"/>
        <v>#DIV/0!</v>
      </c>
      <c r="F663" s="62">
        <f t="shared" si="104"/>
        <v>-18.053283834115334</v>
      </c>
      <c r="G663" s="67">
        <f t="shared" si="105"/>
        <v>-74.183125704573371</v>
      </c>
      <c r="H663" s="62" t="e">
        <f t="shared" si="106"/>
        <v>#DIV/0!</v>
      </c>
      <c r="I663" s="62" t="e">
        <f t="shared" si="107"/>
        <v>#DIV/0!</v>
      </c>
      <c r="J663" s="74"/>
      <c r="K663" s="73"/>
      <c r="L663" s="73"/>
      <c r="M663" s="73"/>
      <c r="N663" s="73"/>
      <c r="O663" s="73"/>
      <c r="P663" s="73"/>
      <c r="Q663" s="73"/>
    </row>
    <row r="664" spans="2:17" x14ac:dyDescent="0.3">
      <c r="B664" s="73"/>
      <c r="C664" s="73">
        <f t="shared" si="101"/>
        <v>1885000</v>
      </c>
      <c r="D664" s="62" t="e">
        <f t="shared" si="102"/>
        <v>#DIV/0!</v>
      </c>
      <c r="E664" s="62" t="e">
        <f t="shared" si="103"/>
        <v>#DIV/0!</v>
      </c>
      <c r="F664" s="62">
        <f t="shared" si="104"/>
        <v>-18.074620434225459</v>
      </c>
      <c r="G664" s="67">
        <f t="shared" si="105"/>
        <v>-74.222944218270712</v>
      </c>
      <c r="H664" s="62" t="e">
        <f t="shared" si="106"/>
        <v>#DIV/0!</v>
      </c>
      <c r="I664" s="62" t="e">
        <f t="shared" si="107"/>
        <v>#DIV/0!</v>
      </c>
      <c r="J664" s="74"/>
      <c r="K664" s="73"/>
      <c r="L664" s="73"/>
      <c r="M664" s="73"/>
      <c r="N664" s="73"/>
      <c r="O664" s="73"/>
      <c r="P664" s="73"/>
      <c r="Q664" s="73"/>
    </row>
    <row r="665" spans="2:17" x14ac:dyDescent="0.3">
      <c r="B665" s="73"/>
      <c r="C665" s="73">
        <f t="shared" si="101"/>
        <v>1890000</v>
      </c>
      <c r="D665" s="62" t="e">
        <f t="shared" si="102"/>
        <v>#DIV/0!</v>
      </c>
      <c r="E665" s="62" t="e">
        <f t="shared" si="103"/>
        <v>#DIV/0!</v>
      </c>
      <c r="F665" s="62">
        <f t="shared" si="104"/>
        <v>-18.095908977101082</v>
      </c>
      <c r="G665" s="67">
        <f t="shared" si="105"/>
        <v>-74.262567924672268</v>
      </c>
      <c r="H665" s="62" t="e">
        <f t="shared" si="106"/>
        <v>#DIV/0!</v>
      </c>
      <c r="I665" s="62" t="e">
        <f t="shared" si="107"/>
        <v>#DIV/0!</v>
      </c>
      <c r="J665" s="74"/>
      <c r="K665" s="73"/>
      <c r="L665" s="73"/>
      <c r="M665" s="73"/>
      <c r="N665" s="73"/>
      <c r="O665" s="73"/>
      <c r="P665" s="73"/>
      <c r="Q665" s="73"/>
    </row>
    <row r="666" spans="2:17" x14ac:dyDescent="0.3">
      <c r="B666" s="73"/>
      <c r="C666" s="73">
        <f t="shared" si="101"/>
        <v>1895000</v>
      </c>
      <c r="D666" s="62" t="e">
        <f t="shared" si="102"/>
        <v>#DIV/0!</v>
      </c>
      <c r="E666" s="62" t="e">
        <f t="shared" si="103"/>
        <v>#DIV/0!</v>
      </c>
      <c r="F666" s="62">
        <f t="shared" si="104"/>
        <v>-18.117149656498718</v>
      </c>
      <c r="G666" s="67">
        <f t="shared" si="105"/>
        <v>-74.301998211345932</v>
      </c>
      <c r="H666" s="62" t="e">
        <f t="shared" si="106"/>
        <v>#DIV/0!</v>
      </c>
      <c r="I666" s="62" t="e">
        <f t="shared" si="107"/>
        <v>#DIV/0!</v>
      </c>
      <c r="J666" s="74"/>
      <c r="K666" s="73"/>
      <c r="L666" s="73"/>
      <c r="M666" s="73"/>
      <c r="N666" s="73"/>
      <c r="O666" s="73"/>
      <c r="P666" s="73"/>
      <c r="Q666" s="73"/>
    </row>
    <row r="667" spans="2:17" x14ac:dyDescent="0.3">
      <c r="B667" s="73"/>
      <c r="C667" s="73">
        <f t="shared" si="101"/>
        <v>1900000</v>
      </c>
      <c r="D667" s="62" t="e">
        <f t="shared" si="102"/>
        <v>#DIV/0!</v>
      </c>
      <c r="E667" s="62" t="e">
        <f t="shared" si="103"/>
        <v>#DIV/0!</v>
      </c>
      <c r="F667" s="62">
        <f t="shared" si="104"/>
        <v>-18.138342665196255</v>
      </c>
      <c r="G667" s="67">
        <f t="shared" si="105"/>
        <v>-74.341236453097054</v>
      </c>
      <c r="H667" s="62" t="e">
        <f t="shared" si="106"/>
        <v>#DIV/0!</v>
      </c>
      <c r="I667" s="62" t="e">
        <f t="shared" si="107"/>
        <v>#DIV/0!</v>
      </c>
      <c r="J667" s="74"/>
      <c r="K667" s="73"/>
      <c r="L667" s="73"/>
      <c r="M667" s="73"/>
      <c r="N667" s="73"/>
      <c r="O667" s="73"/>
      <c r="P667" s="73"/>
      <c r="Q667" s="73"/>
    </row>
    <row r="668" spans="2:17" x14ac:dyDescent="0.3">
      <c r="B668" s="73"/>
      <c r="C668" s="73">
        <f t="shared" si="101"/>
        <v>1905000</v>
      </c>
      <c r="D668" s="62" t="e">
        <f t="shared" si="102"/>
        <v>#DIV/0!</v>
      </c>
      <c r="E668" s="62" t="e">
        <f t="shared" si="103"/>
        <v>#DIV/0!</v>
      </c>
      <c r="F668" s="62">
        <f t="shared" si="104"/>
        <v>-18.159488194996676</v>
      </c>
      <c r="G668" s="67">
        <f t="shared" si="105"/>
        <v>-74.380284012110891</v>
      </c>
      <c r="H668" s="62" t="e">
        <f t="shared" si="106"/>
        <v>#DIV/0!</v>
      </c>
      <c r="I668" s="62" t="e">
        <f t="shared" si="107"/>
        <v>#DIV/0!</v>
      </c>
      <c r="J668" s="74"/>
      <c r="K668" s="73"/>
      <c r="L668" s="73"/>
      <c r="M668" s="73"/>
      <c r="N668" s="73"/>
      <c r="O668" s="73"/>
      <c r="P668" s="73"/>
      <c r="Q668" s="73"/>
    </row>
    <row r="669" spans="2:17" x14ac:dyDescent="0.3">
      <c r="B669" s="73"/>
      <c r="C669" s="73">
        <f t="shared" si="101"/>
        <v>1910000</v>
      </c>
      <c r="D669" s="62" t="e">
        <f t="shared" si="102"/>
        <v>#DIV/0!</v>
      </c>
      <c r="E669" s="62" t="e">
        <f t="shared" si="103"/>
        <v>#DIV/0!</v>
      </c>
      <c r="F669" s="62">
        <f t="shared" si="104"/>
        <v>-18.180586436732305</v>
      </c>
      <c r="G669" s="67">
        <f t="shared" si="105"/>
        <v>-74.419142238092348</v>
      </c>
      <c r="H669" s="62" t="e">
        <f t="shared" si="106"/>
        <v>#DIV/0!</v>
      </c>
      <c r="I669" s="62" t="e">
        <f t="shared" si="107"/>
        <v>#DIV/0!</v>
      </c>
      <c r="J669" s="74"/>
      <c r="K669" s="73"/>
      <c r="L669" s="73"/>
      <c r="M669" s="73"/>
      <c r="N669" s="73"/>
      <c r="O669" s="73"/>
      <c r="P669" s="73"/>
      <c r="Q669" s="73"/>
    </row>
    <row r="670" spans="2:17" x14ac:dyDescent="0.3">
      <c r="B670" s="73"/>
      <c r="C670" s="73">
        <f t="shared" si="101"/>
        <v>1915000</v>
      </c>
      <c r="D670" s="62" t="e">
        <f t="shared" si="102"/>
        <v>#DIV/0!</v>
      </c>
      <c r="E670" s="62" t="e">
        <f t="shared" si="103"/>
        <v>#DIV/0!</v>
      </c>
      <c r="F670" s="62">
        <f t="shared" si="104"/>
        <v>-18.201637580269082</v>
      </c>
      <c r="G670" s="67">
        <f t="shared" si="105"/>
        <v>-74.457812468403262</v>
      </c>
      <c r="H670" s="62" t="e">
        <f t="shared" si="106"/>
        <v>#DIV/0!</v>
      </c>
      <c r="I670" s="62" t="e">
        <f t="shared" si="107"/>
        <v>#DIV/0!</v>
      </c>
      <c r="J670" s="74"/>
      <c r="K670" s="73"/>
      <c r="L670" s="73"/>
      <c r="M670" s="73"/>
      <c r="N670" s="73"/>
      <c r="O670" s="73"/>
      <c r="P670" s="73"/>
      <c r="Q670" s="73"/>
    </row>
    <row r="671" spans="2:17" x14ac:dyDescent="0.3">
      <c r="B671" s="73"/>
      <c r="C671" s="73">
        <f t="shared" si="101"/>
        <v>1920000</v>
      </c>
      <c r="D671" s="62" t="e">
        <f t="shared" si="102"/>
        <v>#DIV/0!</v>
      </c>
      <c r="E671" s="62" t="e">
        <f t="shared" si="103"/>
        <v>#DIV/0!</v>
      </c>
      <c r="F671" s="62">
        <f t="shared" si="104"/>
        <v>-18.222641814510997</v>
      </c>
      <c r="G671" s="67">
        <f t="shared" si="105"/>
        <v>-74.496296028199069</v>
      </c>
      <c r="H671" s="62" t="e">
        <f t="shared" si="106"/>
        <v>#DIV/0!</v>
      </c>
      <c r="I671" s="62" t="e">
        <f t="shared" si="107"/>
        <v>#DIV/0!</v>
      </c>
      <c r="J671" s="74"/>
      <c r="K671" s="73"/>
      <c r="L671" s="73"/>
      <c r="M671" s="73"/>
      <c r="N671" s="73"/>
      <c r="O671" s="73"/>
      <c r="P671" s="73"/>
      <c r="Q671" s="73"/>
    </row>
    <row r="672" spans="2:17" x14ac:dyDescent="0.3">
      <c r="B672" s="73"/>
      <c r="C672" s="73">
        <f t="shared" si="101"/>
        <v>1925000</v>
      </c>
      <c r="D672" s="62" t="e">
        <f t="shared" si="102"/>
        <v>#DIV/0!</v>
      </c>
      <c r="E672" s="62" t="e">
        <f t="shared" si="103"/>
        <v>#DIV/0!</v>
      </c>
      <c r="F672" s="62">
        <f t="shared" si="104"/>
        <v>-18.243599327403977</v>
      </c>
      <c r="G672" s="67">
        <f t="shared" si="105"/>
        <v>-74.534594230563329</v>
      </c>
      <c r="H672" s="62" t="e">
        <f t="shared" si="106"/>
        <v>#DIV/0!</v>
      </c>
      <c r="I672" s="62" t="e">
        <f t="shared" si="107"/>
        <v>#DIV/0!</v>
      </c>
      <c r="J672" s="74"/>
      <c r="K672" s="73"/>
      <c r="L672" s="73"/>
      <c r="M672" s="73"/>
      <c r="N672" s="73"/>
      <c r="O672" s="73"/>
      <c r="P672" s="73"/>
      <c r="Q672" s="73"/>
    </row>
    <row r="673" spans="2:17" x14ac:dyDescent="0.3">
      <c r="B673" s="73"/>
      <c r="C673" s="73">
        <f t="shared" si="101"/>
        <v>1930000</v>
      </c>
      <c r="D673" s="62" t="e">
        <f t="shared" si="102"/>
        <v>#DIV/0!</v>
      </c>
      <c r="E673" s="62" t="e">
        <f t="shared" si="103"/>
        <v>#DIV/0!</v>
      </c>
      <c r="F673" s="62">
        <f t="shared" si="104"/>
        <v>-18.264510305940437</v>
      </c>
      <c r="G673" s="67">
        <f t="shared" si="105"/>
        <v>-74.572708376640364</v>
      </c>
      <c r="H673" s="62" t="e">
        <f t="shared" si="106"/>
        <v>#DIV/0!</v>
      </c>
      <c r="I673" s="62" t="e">
        <f t="shared" si="107"/>
        <v>#DIV/0!</v>
      </c>
      <c r="J673" s="74"/>
      <c r="K673" s="73"/>
      <c r="L673" s="73"/>
      <c r="M673" s="73"/>
      <c r="N673" s="73"/>
      <c r="O673" s="73"/>
      <c r="P673" s="73"/>
      <c r="Q673" s="73"/>
    </row>
    <row r="674" spans="2:17" x14ac:dyDescent="0.3">
      <c r="B674" s="73"/>
      <c r="C674" s="73">
        <f t="shared" si="101"/>
        <v>1935000</v>
      </c>
      <c r="D674" s="62" t="e">
        <f t="shared" si="102"/>
        <v>#DIV/0!</v>
      </c>
      <c r="E674" s="62" t="e">
        <f t="shared" si="103"/>
        <v>#DIV/0!</v>
      </c>
      <c r="F674" s="62">
        <f t="shared" si="104"/>
        <v>-18.285374936163286</v>
      </c>
      <c r="G674" s="67">
        <f t="shared" si="105"/>
        <v>-74.610639755766528</v>
      </c>
      <c r="H674" s="62" t="e">
        <f t="shared" si="106"/>
        <v>#DIV/0!</v>
      </c>
      <c r="I674" s="62" t="e">
        <f t="shared" si="107"/>
        <v>#DIV/0!</v>
      </c>
      <c r="J674" s="74"/>
      <c r="K674" s="73"/>
      <c r="L674" s="73"/>
      <c r="M674" s="73"/>
      <c r="N674" s="73"/>
      <c r="O674" s="73"/>
      <c r="P674" s="73"/>
      <c r="Q674" s="73"/>
    </row>
    <row r="675" spans="2:17" x14ac:dyDescent="0.3">
      <c r="B675" s="73"/>
      <c r="C675" s="73">
        <f t="shared" si="101"/>
        <v>1940000</v>
      </c>
      <c r="D675" s="62" t="e">
        <f t="shared" si="102"/>
        <v>#DIV/0!</v>
      </c>
      <c r="E675" s="62" t="e">
        <f t="shared" si="103"/>
        <v>#DIV/0!</v>
      </c>
      <c r="F675" s="62">
        <f t="shared" si="104"/>
        <v>-18.306193403170528</v>
      </c>
      <c r="G675" s="67">
        <f t="shared" si="105"/>
        <v>-74.648389645599451</v>
      </c>
      <c r="H675" s="62" t="e">
        <f t="shared" si="106"/>
        <v>#DIV/0!</v>
      </c>
      <c r="I675" s="62" t="e">
        <f t="shared" si="107"/>
        <v>#DIV/0!</v>
      </c>
      <c r="J675" s="74"/>
      <c r="K675" s="73"/>
      <c r="L675" s="73"/>
      <c r="M675" s="73"/>
      <c r="N675" s="73"/>
      <c r="O675" s="73"/>
      <c r="P675" s="73"/>
      <c r="Q675" s="73"/>
    </row>
    <row r="676" spans="2:17" x14ac:dyDescent="0.3">
      <c r="B676" s="73"/>
      <c r="C676" s="73">
        <f t="shared" si="101"/>
        <v>1945000</v>
      </c>
      <c r="D676" s="62" t="e">
        <f t="shared" si="102"/>
        <v>#DIV/0!</v>
      </c>
      <c r="E676" s="62" t="e">
        <f t="shared" si="103"/>
        <v>#DIV/0!</v>
      </c>
      <c r="F676" s="62">
        <f t="shared" si="104"/>
        <v>-18.326965891119503</v>
      </c>
      <c r="G676" s="67">
        <f t="shared" si="105"/>
        <v>-74.685959312245714</v>
      </c>
      <c r="H676" s="62" t="e">
        <f t="shared" si="106"/>
        <v>#DIV/0!</v>
      </c>
      <c r="I676" s="62" t="e">
        <f t="shared" si="107"/>
        <v>#DIV/0!</v>
      </c>
      <c r="J676" s="74"/>
      <c r="K676" s="73"/>
      <c r="L676" s="73"/>
      <c r="M676" s="73"/>
      <c r="N676" s="73"/>
      <c r="O676" s="73"/>
      <c r="P676" s="73"/>
      <c r="Q676" s="73"/>
    </row>
    <row r="677" spans="2:17" x14ac:dyDescent="0.3">
      <c r="B677" s="73"/>
      <c r="C677" s="73">
        <f t="shared" si="101"/>
        <v>1950000</v>
      </c>
      <c r="D677" s="62" t="e">
        <f t="shared" si="102"/>
        <v>#DIV/0!</v>
      </c>
      <c r="E677" s="62" t="e">
        <f t="shared" si="103"/>
        <v>#DIV/0!</v>
      </c>
      <c r="F677" s="62">
        <f t="shared" si="104"/>
        <v>-18.347692583230927</v>
      </c>
      <c r="G677" s="67">
        <f t="shared" si="105"/>
        <v>-74.723350010387605</v>
      </c>
      <c r="H677" s="62" t="e">
        <f t="shared" si="106"/>
        <v>#DIV/0!</v>
      </c>
      <c r="I677" s="62" t="e">
        <f t="shared" si="107"/>
        <v>#DIV/0!</v>
      </c>
      <c r="J677" s="74"/>
      <c r="K677" s="73"/>
      <c r="L677" s="73"/>
      <c r="M677" s="73"/>
      <c r="N677" s="73"/>
      <c r="O677" s="73"/>
      <c r="P677" s="73"/>
      <c r="Q677" s="73"/>
    </row>
    <row r="678" spans="2:17" x14ac:dyDescent="0.3">
      <c r="B678" s="73"/>
      <c r="C678" s="73">
        <f t="shared" si="101"/>
        <v>1955000</v>
      </c>
      <c r="D678" s="62" t="e">
        <f t="shared" si="102"/>
        <v>#DIV/0!</v>
      </c>
      <c r="E678" s="62" t="e">
        <f t="shared" si="103"/>
        <v>#DIV/0!</v>
      </c>
      <c r="F678" s="62">
        <f t="shared" si="104"/>
        <v>-18.368373661793687</v>
      </c>
      <c r="G678" s="67">
        <f t="shared" si="105"/>
        <v>-74.760562983406857</v>
      </c>
      <c r="H678" s="62" t="e">
        <f t="shared" si="106"/>
        <v>#DIV/0!</v>
      </c>
      <c r="I678" s="62" t="e">
        <f t="shared" si="107"/>
        <v>#DIV/0!</v>
      </c>
      <c r="J678" s="74"/>
      <c r="K678" s="73"/>
      <c r="L678" s="73"/>
      <c r="M678" s="73"/>
      <c r="N678" s="73"/>
      <c r="O678" s="73"/>
      <c r="P678" s="73"/>
      <c r="Q678" s="73"/>
    </row>
    <row r="679" spans="2:17" x14ac:dyDescent="0.3">
      <c r="B679" s="73"/>
      <c r="C679" s="73">
        <f t="shared" si="101"/>
        <v>1960000</v>
      </c>
      <c r="D679" s="62" t="e">
        <f t="shared" si="102"/>
        <v>#DIV/0!</v>
      </c>
      <c r="E679" s="62" t="e">
        <f t="shared" si="103"/>
        <v>#DIV/0!</v>
      </c>
      <c r="F679" s="62">
        <f t="shared" si="104"/>
        <v>-18.389009308168873</v>
      </c>
      <c r="G679" s="67">
        <f t="shared" si="105"/>
        <v>-74.797599463508476</v>
      </c>
      <c r="H679" s="62" t="e">
        <f t="shared" si="106"/>
        <v>#DIV/0!</v>
      </c>
      <c r="I679" s="62" t="e">
        <f t="shared" si="107"/>
        <v>#DIV/0!</v>
      </c>
      <c r="J679" s="74"/>
      <c r="K679" s="73"/>
      <c r="L679" s="73"/>
      <c r="M679" s="73"/>
      <c r="N679" s="73"/>
      <c r="O679" s="73"/>
      <c r="P679" s="73"/>
      <c r="Q679" s="73"/>
    </row>
    <row r="680" spans="2:17" x14ac:dyDescent="0.3">
      <c r="B680" s="73"/>
      <c r="C680" s="73">
        <f t="shared" si="101"/>
        <v>1965000</v>
      </c>
      <c r="D680" s="62" t="e">
        <f t="shared" si="102"/>
        <v>#DIV/0!</v>
      </c>
      <c r="E680" s="62" t="e">
        <f t="shared" si="103"/>
        <v>#DIV/0!</v>
      </c>
      <c r="F680" s="62">
        <f t="shared" si="104"/>
        <v>-18.409599702794203</v>
      </c>
      <c r="G680" s="67">
        <f t="shared" si="105"/>
        <v>-74.83446067184191</v>
      </c>
      <c r="H680" s="62" t="e">
        <f t="shared" si="106"/>
        <v>#DIV/0!</v>
      </c>
      <c r="I680" s="62" t="e">
        <f t="shared" si="107"/>
        <v>#DIV/0!</v>
      </c>
      <c r="J680" s="74"/>
      <c r="K680" s="73"/>
      <c r="L680" s="73"/>
      <c r="M680" s="73"/>
      <c r="N680" s="73"/>
      <c r="O680" s="73"/>
      <c r="P680" s="73"/>
      <c r="Q680" s="73"/>
    </row>
    <row r="681" spans="2:17" x14ac:dyDescent="0.3">
      <c r="B681" s="73"/>
      <c r="C681" s="73">
        <f t="shared" si="101"/>
        <v>1970000</v>
      </c>
      <c r="D681" s="62" t="e">
        <f t="shared" si="102"/>
        <v>#DIV/0!</v>
      </c>
      <c r="E681" s="62" t="e">
        <f t="shared" si="103"/>
        <v>#DIV/0!</v>
      </c>
      <c r="F681" s="62">
        <f t="shared" si="104"/>
        <v>-18.430145025188448</v>
      </c>
      <c r="G681" s="67">
        <f t="shared" si="105"/>
        <v>-74.871147818620827</v>
      </c>
      <c r="H681" s="62" t="e">
        <f t="shared" si="106"/>
        <v>#DIV/0!</v>
      </c>
      <c r="I681" s="62" t="e">
        <f t="shared" si="107"/>
        <v>#DIV/0!</v>
      </c>
      <c r="J681" s="74"/>
      <c r="K681" s="73"/>
      <c r="L681" s="73"/>
      <c r="M681" s="73"/>
      <c r="N681" s="73"/>
      <c r="O681" s="73"/>
      <c r="P681" s="73"/>
      <c r="Q681" s="73"/>
    </row>
    <row r="682" spans="2:17" x14ac:dyDescent="0.3">
      <c r="B682" s="73"/>
      <c r="C682" s="73">
        <f t="shared" si="101"/>
        <v>1975000</v>
      </c>
      <c r="D682" s="62" t="e">
        <f t="shared" si="102"/>
        <v>#DIV/0!</v>
      </c>
      <c r="E682" s="62" t="e">
        <f t="shared" si="103"/>
        <v>#DIV/0!</v>
      </c>
      <c r="F682" s="62">
        <f t="shared" si="104"/>
        <v>-18.450645453955854</v>
      </c>
      <c r="G682" s="67">
        <f t="shared" si="105"/>
        <v>-74.907662103241677</v>
      </c>
      <c r="H682" s="62" t="e">
        <f t="shared" si="106"/>
        <v>#DIV/0!</v>
      </c>
      <c r="I682" s="62" t="e">
        <f t="shared" si="107"/>
        <v>#DIV/0!</v>
      </c>
      <c r="J682" s="74"/>
      <c r="K682" s="73"/>
      <c r="L682" s="73"/>
      <c r="M682" s="73"/>
      <c r="N682" s="73"/>
      <c r="O682" s="73"/>
      <c r="P682" s="73"/>
      <c r="Q682" s="73"/>
    </row>
    <row r="683" spans="2:17" x14ac:dyDescent="0.3">
      <c r="B683" s="73"/>
      <c r="C683" s="73">
        <f t="shared" si="101"/>
        <v>1980000</v>
      </c>
      <c r="D683" s="62" t="e">
        <f t="shared" si="102"/>
        <v>#DIV/0!</v>
      </c>
      <c r="E683" s="62" t="e">
        <f t="shared" si="103"/>
        <v>#DIV/0!</v>
      </c>
      <c r="F683" s="62">
        <f t="shared" si="104"/>
        <v>-18.471101166790206</v>
      </c>
      <c r="G683" s="67">
        <f t="shared" si="105"/>
        <v>-74.944004714401188</v>
      </c>
      <c r="H683" s="62" t="e">
        <f t="shared" si="106"/>
        <v>#DIV/0!</v>
      </c>
      <c r="I683" s="62" t="e">
        <f t="shared" si="107"/>
        <v>#DIV/0!</v>
      </c>
      <c r="J683" s="74"/>
      <c r="K683" s="73"/>
      <c r="L683" s="73"/>
      <c r="M683" s="73"/>
      <c r="N683" s="73"/>
      <c r="O683" s="73"/>
      <c r="P683" s="73"/>
      <c r="Q683" s="73"/>
    </row>
    <row r="684" spans="2:17" x14ac:dyDescent="0.3">
      <c r="B684" s="73"/>
      <c r="C684" s="73">
        <f t="shared" si="101"/>
        <v>1985000</v>
      </c>
      <c r="D684" s="62" t="e">
        <f t="shared" si="102"/>
        <v>#DIV/0!</v>
      </c>
      <c r="E684" s="62" t="e">
        <f t="shared" si="103"/>
        <v>#DIV/0!</v>
      </c>
      <c r="F684" s="62">
        <f t="shared" si="104"/>
        <v>-18.491512340479691</v>
      </c>
      <c r="G684" s="67">
        <f t="shared" si="105"/>
        <v>-74.980176830210794</v>
      </c>
      <c r="H684" s="62" t="e">
        <f t="shared" si="106"/>
        <v>#DIV/0!</v>
      </c>
      <c r="I684" s="62" t="e">
        <f t="shared" si="107"/>
        <v>#DIV/0!</v>
      </c>
      <c r="J684" s="74"/>
      <c r="K684" s="73"/>
      <c r="L684" s="73"/>
      <c r="M684" s="73"/>
      <c r="N684" s="73"/>
      <c r="O684" s="73"/>
      <c r="P684" s="73"/>
      <c r="Q684" s="73"/>
    </row>
    <row r="685" spans="2:17" x14ac:dyDescent="0.3">
      <c r="B685" s="73"/>
      <c r="C685" s="73">
        <f t="shared" si="101"/>
        <v>1990000</v>
      </c>
      <c r="D685" s="62" t="e">
        <f t="shared" si="102"/>
        <v>#DIV/0!</v>
      </c>
      <c r="E685" s="62" t="e">
        <f t="shared" si="103"/>
        <v>#DIV/0!</v>
      </c>
      <c r="F685" s="62">
        <f t="shared" si="104"/>
        <v>-18.511879150910964</v>
      </c>
      <c r="G685" s="67">
        <f t="shared" si="105"/>
        <v>-75.016179618311767</v>
      </c>
      <c r="H685" s="62" t="e">
        <f t="shared" si="106"/>
        <v>#DIV/0!</v>
      </c>
      <c r="I685" s="62" t="e">
        <f t="shared" si="107"/>
        <v>#DIV/0!</v>
      </c>
      <c r="J685" s="74"/>
      <c r="K685" s="73"/>
      <c r="L685" s="73"/>
      <c r="M685" s="73"/>
      <c r="N685" s="73"/>
      <c r="O685" s="73"/>
      <c r="P685" s="73"/>
      <c r="Q685" s="73"/>
    </row>
    <row r="686" spans="2:17" x14ac:dyDescent="0.3">
      <c r="B686" s="73"/>
      <c r="C686" s="73">
        <f t="shared" si="101"/>
        <v>1995000</v>
      </c>
      <c r="D686" s="62" t="e">
        <f t="shared" si="102"/>
        <v>#DIV/0!</v>
      </c>
      <c r="E686" s="62" t="e">
        <f t="shared" si="103"/>
        <v>#DIV/0!</v>
      </c>
      <c r="F686" s="62">
        <f t="shared" si="104"/>
        <v>-18.532201773073709</v>
      </c>
      <c r="G686" s="67">
        <f t="shared" si="105"/>
        <v>-75.052014235987201</v>
      </c>
      <c r="H686" s="62" t="e">
        <f t="shared" si="106"/>
        <v>#DIV/0!</v>
      </c>
      <c r="I686" s="62" t="e">
        <f t="shared" si="107"/>
        <v>#DIV/0!</v>
      </c>
      <c r="J686" s="74"/>
      <c r="K686" s="73"/>
      <c r="L686" s="73"/>
      <c r="M686" s="73"/>
      <c r="N686" s="73"/>
      <c r="O686" s="73"/>
      <c r="P686" s="73"/>
      <c r="Q686" s="73"/>
    </row>
    <row r="687" spans="2:17" x14ac:dyDescent="0.3">
      <c r="B687" s="73"/>
      <c r="C687" s="73">
        <f t="shared" si="101"/>
        <v>2000000</v>
      </c>
      <c r="D687" s="62" t="e">
        <f t="shared" si="102"/>
        <v>#DIV/0!</v>
      </c>
      <c r="E687" s="62" t="e">
        <f t="shared" si="103"/>
        <v>#DIV/0!</v>
      </c>
      <c r="F687" s="62">
        <f t="shared" si="104"/>
        <v>-18.552480381064743</v>
      </c>
      <c r="G687" s="67">
        <f t="shared" si="105"/>
        <v>-75.087681830273524</v>
      </c>
      <c r="H687" s="62" t="e">
        <f t="shared" si="106"/>
        <v>#DIV/0!</v>
      </c>
      <c r="I687" s="62" t="e">
        <f t="shared" si="107"/>
        <v>#DIV/0!</v>
      </c>
      <c r="J687" s="74"/>
      <c r="K687" s="73"/>
      <c r="L687" s="73"/>
      <c r="M687" s="73"/>
      <c r="N687" s="73"/>
      <c r="O687" s="73"/>
      <c r="P687" s="73"/>
      <c r="Q687" s="73"/>
    </row>
    <row r="688" spans="2:17" x14ac:dyDescent="0.3">
      <c r="B688" s="73"/>
      <c r="C688" s="73">
        <f t="shared" ref="C688:C699" si="108">C687+250000</f>
        <v>2250000</v>
      </c>
      <c r="D688" s="62" t="e">
        <f t="shared" si="102"/>
        <v>#DIV/0!</v>
      </c>
      <c r="E688" s="62" t="e">
        <f t="shared" si="103"/>
        <v>#DIV/0!</v>
      </c>
      <c r="F688" s="62">
        <f t="shared" si="104"/>
        <v>-19.513892697580896</v>
      </c>
      <c r="G688" s="67">
        <f t="shared" si="105"/>
        <v>-76.680771047253458</v>
      </c>
      <c r="H688" s="62" t="e">
        <f t="shared" si="106"/>
        <v>#DIV/0!</v>
      </c>
      <c r="I688" s="62" t="e">
        <f t="shared" si="107"/>
        <v>#DIV/0!</v>
      </c>
      <c r="J688" s="74"/>
      <c r="K688" s="73"/>
      <c r="L688" s="73"/>
      <c r="M688" s="73"/>
      <c r="N688" s="73"/>
      <c r="O688" s="73"/>
      <c r="P688" s="73"/>
      <c r="Q688" s="73"/>
    </row>
    <row r="689" spans="2:17" x14ac:dyDescent="0.3">
      <c r="B689" s="73"/>
      <c r="C689" s="73">
        <f t="shared" si="108"/>
        <v>2500000</v>
      </c>
      <c r="D689" s="62" t="e">
        <f t="shared" si="102"/>
        <v>#DIV/0!</v>
      </c>
      <c r="E689" s="62" t="e">
        <f t="shared" si="103"/>
        <v>#DIV/0!</v>
      </c>
      <c r="F689" s="62">
        <f t="shared" si="104"/>
        <v>-20.384410141542869</v>
      </c>
      <c r="G689" s="67">
        <f t="shared" si="105"/>
        <v>-77.970989748659747</v>
      </c>
      <c r="H689" s="62" t="e">
        <f t="shared" si="106"/>
        <v>#DIV/0!</v>
      </c>
      <c r="I689" s="62" t="e">
        <f t="shared" si="107"/>
        <v>#DIV/0!</v>
      </c>
      <c r="J689" s="74"/>
      <c r="K689" s="73"/>
      <c r="L689" s="73"/>
      <c r="M689" s="73"/>
      <c r="N689" s="73"/>
      <c r="O689" s="73"/>
      <c r="P689" s="73"/>
      <c r="Q689" s="73"/>
    </row>
    <row r="690" spans="2:17" x14ac:dyDescent="0.3">
      <c r="B690" s="73"/>
      <c r="C690" s="73">
        <f t="shared" si="108"/>
        <v>2750000</v>
      </c>
      <c r="D690" s="62" t="e">
        <f t="shared" si="102"/>
        <v>#DIV/0!</v>
      </c>
      <c r="E690" s="62" t="e">
        <f t="shared" si="103"/>
        <v>#DIV/0!</v>
      </c>
      <c r="F690" s="62">
        <f t="shared" si="104"/>
        <v>-21.178943141819918</v>
      </c>
      <c r="G690" s="67">
        <f t="shared" si="105"/>
        <v>-79.036180698747785</v>
      </c>
      <c r="H690" s="62" t="e">
        <f t="shared" si="106"/>
        <v>#DIV/0!</v>
      </c>
      <c r="I690" s="62" t="e">
        <f t="shared" si="107"/>
        <v>#DIV/0!</v>
      </c>
      <c r="J690" s="74"/>
      <c r="K690" s="73"/>
      <c r="L690" s="73"/>
      <c r="M690" s="73"/>
      <c r="N690" s="73"/>
      <c r="O690" s="73"/>
      <c r="P690" s="73"/>
      <c r="Q690" s="73"/>
    </row>
    <row r="691" spans="2:17" x14ac:dyDescent="0.3">
      <c r="B691" s="73"/>
      <c r="C691" s="73">
        <f t="shared" si="108"/>
        <v>3000000</v>
      </c>
      <c r="D691" s="62" t="e">
        <f t="shared" si="102"/>
        <v>#DIV/0!</v>
      </c>
      <c r="E691" s="62" t="e">
        <f t="shared" si="103"/>
        <v>#DIV/0!</v>
      </c>
      <c r="F691" s="62">
        <f t="shared" si="104"/>
        <v>-21.909198938384087</v>
      </c>
      <c r="G691" s="67">
        <f t="shared" si="105"/>
        <v>-79.929901525583588</v>
      </c>
      <c r="H691" s="62" t="e">
        <f t="shared" si="106"/>
        <v>#DIV/0!</v>
      </c>
      <c r="I691" s="62" t="e">
        <f t="shared" si="107"/>
        <v>#DIV/0!</v>
      </c>
      <c r="J691" s="74"/>
      <c r="K691" s="73"/>
      <c r="L691" s="73"/>
      <c r="M691" s="73"/>
      <c r="N691" s="73"/>
      <c r="O691" s="73"/>
      <c r="P691" s="73"/>
      <c r="Q691" s="73"/>
    </row>
    <row r="692" spans="2:17" x14ac:dyDescent="0.3">
      <c r="B692" s="73"/>
      <c r="C692" s="73">
        <f t="shared" si="108"/>
        <v>3250000</v>
      </c>
      <c r="D692" s="62" t="e">
        <f t="shared" si="102"/>
        <v>#DIV/0!</v>
      </c>
      <c r="E692" s="62" t="e">
        <f t="shared" si="103"/>
        <v>#DIV/0!</v>
      </c>
      <c r="F692" s="62">
        <f t="shared" si="104"/>
        <v>-22.584479806788895</v>
      </c>
      <c r="G692" s="67">
        <f t="shared" si="105"/>
        <v>-80.690116687563446</v>
      </c>
      <c r="H692" s="62" t="e">
        <f t="shared" si="106"/>
        <v>#DIV/0!</v>
      </c>
      <c r="I692" s="62" t="e">
        <f t="shared" si="107"/>
        <v>#DIV/0!</v>
      </c>
      <c r="J692" s="74"/>
      <c r="K692" s="73"/>
      <c r="L692" s="73"/>
      <c r="M692" s="73"/>
      <c r="N692" s="73"/>
      <c r="O692" s="73"/>
      <c r="P692" s="73"/>
      <c r="Q692" s="73"/>
    </row>
    <row r="693" spans="2:17" x14ac:dyDescent="0.3">
      <c r="B693" s="73"/>
      <c r="C693" s="73">
        <f t="shared" si="108"/>
        <v>3500000</v>
      </c>
      <c r="D693" s="62" t="e">
        <f t="shared" si="102"/>
        <v>#DIV/0!</v>
      </c>
      <c r="E693" s="62" t="e">
        <f t="shared" si="103"/>
        <v>#DIV/0!</v>
      </c>
      <c r="F693" s="62">
        <f t="shared" si="104"/>
        <v>-23.212269280901392</v>
      </c>
      <c r="G693" s="67">
        <f t="shared" si="105"/>
        <v>-81.344440240460244</v>
      </c>
      <c r="H693" s="62" t="e">
        <f t="shared" si="106"/>
        <v>#DIV/0!</v>
      </c>
      <c r="I693" s="62" t="e">
        <f t="shared" si="107"/>
        <v>#DIV/0!</v>
      </c>
      <c r="J693" s="74"/>
      <c r="K693" s="73"/>
      <c r="L693" s="73"/>
      <c r="M693" s="73"/>
      <c r="N693" s="73"/>
      <c r="O693" s="73"/>
      <c r="P693" s="73"/>
      <c r="Q693" s="73"/>
    </row>
    <row r="694" spans="2:17" x14ac:dyDescent="0.3">
      <c r="B694" s="73"/>
      <c r="C694" s="73">
        <f t="shared" si="108"/>
        <v>3750000</v>
      </c>
      <c r="D694" s="62" t="e">
        <f t="shared" si="102"/>
        <v>#DIV/0!</v>
      </c>
      <c r="E694" s="62" t="e">
        <f t="shared" si="103"/>
        <v>#DIV/0!</v>
      </c>
      <c r="F694" s="62">
        <f t="shared" si="104"/>
        <v>-23.798660469967011</v>
      </c>
      <c r="G694" s="67">
        <f t="shared" si="105"/>
        <v>-81.913413026473151</v>
      </c>
      <c r="H694" s="62" t="e">
        <f t="shared" si="106"/>
        <v>#DIV/0!</v>
      </c>
      <c r="I694" s="62" t="e">
        <f t="shared" si="107"/>
        <v>#DIV/0!</v>
      </c>
      <c r="J694" s="74"/>
      <c r="K694" s="73"/>
      <c r="L694" s="73"/>
      <c r="M694" s="73"/>
      <c r="N694" s="73"/>
      <c r="O694" s="73"/>
      <c r="P694" s="73"/>
      <c r="Q694" s="73"/>
    </row>
    <row r="695" spans="2:17" x14ac:dyDescent="0.3">
      <c r="B695" s="73"/>
      <c r="C695" s="73">
        <f t="shared" si="108"/>
        <v>4000000</v>
      </c>
      <c r="D695" s="62" t="e">
        <f t="shared" si="102"/>
        <v>#DIV/0!</v>
      </c>
      <c r="E695" s="62" t="e">
        <f t="shared" si="103"/>
        <v>#DIV/0!</v>
      </c>
      <c r="F695" s="62">
        <f t="shared" si="104"/>
        <v>-24.348670635009206</v>
      </c>
      <c r="G695" s="67">
        <f t="shared" si="105"/>
        <v>-82.412617114386236</v>
      </c>
      <c r="H695" s="62" t="e">
        <f t="shared" si="106"/>
        <v>#DIV/0!</v>
      </c>
      <c r="I695" s="62" t="e">
        <f t="shared" si="107"/>
        <v>#DIV/0!</v>
      </c>
      <c r="J695" s="74"/>
      <c r="K695" s="73"/>
      <c r="L695" s="73"/>
      <c r="M695" s="73"/>
      <c r="N695" s="73"/>
      <c r="O695" s="73"/>
      <c r="P695" s="73"/>
      <c r="Q695" s="73"/>
    </row>
    <row r="696" spans="2:17" x14ac:dyDescent="0.3">
      <c r="B696" s="73"/>
      <c r="C696" s="73">
        <f t="shared" si="108"/>
        <v>4250000</v>
      </c>
      <c r="D696" s="62" t="e">
        <f t="shared" si="102"/>
        <v>#DIV/0!</v>
      </c>
      <c r="E696" s="62" t="e">
        <f t="shared" si="103"/>
        <v>#DIV/0!</v>
      </c>
      <c r="F696" s="62">
        <f t="shared" si="104"/>
        <v>-24.866474451914222</v>
      </c>
      <c r="G696" s="67">
        <f t="shared" si="105"/>
        <v>-82.854078896531249</v>
      </c>
      <c r="H696" s="62" t="e">
        <f t="shared" si="106"/>
        <v>#DIV/0!</v>
      </c>
      <c r="I696" s="62" t="e">
        <f t="shared" si="107"/>
        <v>#DIV/0!</v>
      </c>
      <c r="J696" s="74"/>
      <c r="K696" s="73"/>
      <c r="L696" s="73"/>
      <c r="M696" s="73"/>
      <c r="N696" s="73"/>
      <c r="O696" s="73"/>
      <c r="P696" s="73"/>
      <c r="Q696" s="73"/>
    </row>
    <row r="697" spans="2:17" x14ac:dyDescent="0.3">
      <c r="B697" s="73"/>
      <c r="C697" s="73">
        <f t="shared" si="108"/>
        <v>4500000</v>
      </c>
      <c r="D697" s="62" t="e">
        <f t="shared" si="102"/>
        <v>#DIV/0!</v>
      </c>
      <c r="E697" s="62" t="e">
        <f t="shared" si="103"/>
        <v>#DIV/0!</v>
      </c>
      <c r="F697" s="62">
        <f t="shared" si="104"/>
        <v>-25.355578946253839</v>
      </c>
      <c r="G697" s="67">
        <f t="shared" si="105"/>
        <v>-83.24722369782576</v>
      </c>
      <c r="H697" s="62" t="e">
        <f t="shared" si="106"/>
        <v>#DIV/0!</v>
      </c>
      <c r="I697" s="62" t="e">
        <f t="shared" si="107"/>
        <v>#DIV/0!</v>
      </c>
      <c r="J697" s="74"/>
      <c r="K697" s="73"/>
      <c r="L697" s="73"/>
      <c r="M697" s="73"/>
      <c r="N697" s="73"/>
      <c r="O697" s="73"/>
      <c r="P697" s="73"/>
      <c r="Q697" s="73"/>
    </row>
    <row r="698" spans="2:17" x14ac:dyDescent="0.3">
      <c r="B698" s="73"/>
      <c r="C698" s="73">
        <f t="shared" si="108"/>
        <v>4750000</v>
      </c>
      <c r="D698" s="62" t="e">
        <f t="shared" si="102"/>
        <v>#DIV/0!</v>
      </c>
      <c r="E698" s="62" t="e">
        <f t="shared" si="103"/>
        <v>#DIV/0!</v>
      </c>
      <c r="F698" s="62">
        <f t="shared" si="104"/>
        <v>-25.818956239416305</v>
      </c>
      <c r="G698" s="67">
        <f t="shared" si="105"/>
        <v>-83.599539888555938</v>
      </c>
      <c r="H698" s="62" t="e">
        <f t="shared" si="106"/>
        <v>#DIV/0!</v>
      </c>
      <c r="I698" s="62" t="e">
        <f t="shared" si="107"/>
        <v>#DIV/0!</v>
      </c>
      <c r="J698" s="74"/>
      <c r="K698" s="73"/>
      <c r="L698" s="73"/>
      <c r="M698" s="73"/>
      <c r="N698" s="73"/>
      <c r="O698" s="73"/>
      <c r="P698" s="73"/>
      <c r="Q698" s="73"/>
    </row>
    <row r="699" spans="2:17" x14ac:dyDescent="0.3">
      <c r="B699" s="73"/>
      <c r="C699" s="73">
        <f t="shared" si="108"/>
        <v>5000000</v>
      </c>
      <c r="D699" s="62" t="e">
        <f t="shared" si="102"/>
        <v>#DIV/0!</v>
      </c>
      <c r="E699" s="62" t="e">
        <f t="shared" si="103"/>
        <v>#DIV/0!</v>
      </c>
      <c r="F699" s="62">
        <f t="shared" si="104"/>
        <v>-26.259145459481971</v>
      </c>
      <c r="G699" s="67">
        <f t="shared" si="105"/>
        <v>-83.917050221319187</v>
      </c>
      <c r="H699" s="62" t="e">
        <f t="shared" si="106"/>
        <v>#DIV/0!</v>
      </c>
      <c r="I699" s="62" t="e">
        <f t="shared" si="107"/>
        <v>#DIV/0!</v>
      </c>
      <c r="J699" s="74"/>
      <c r="K699" s="73"/>
      <c r="L699" s="73"/>
      <c r="M699" s="73"/>
      <c r="N699" s="73"/>
      <c r="O699" s="73"/>
      <c r="P699" s="73"/>
      <c r="Q699" s="73"/>
    </row>
    <row r="700" spans="2:17" x14ac:dyDescent="0.3">
      <c r="B700" s="73"/>
      <c r="C700" s="73">
        <f t="shared" ref="C700:C731" si="109">C699+100000</f>
        <v>5100000</v>
      </c>
      <c r="D700" s="62" t="e">
        <f t="shared" si="102"/>
        <v>#DIV/0!</v>
      </c>
      <c r="E700" s="62" t="e">
        <f t="shared" si="103"/>
        <v>#DIV/0!</v>
      </c>
      <c r="F700" s="62">
        <f t="shared" si="104"/>
        <v>-26.429228369343228</v>
      </c>
      <c r="G700" s="67">
        <f t="shared" si="105"/>
        <v>-84.035437453650843</v>
      </c>
      <c r="H700" s="62" t="e">
        <f t="shared" si="106"/>
        <v>#DIV/0!</v>
      </c>
      <c r="I700" s="62" t="e">
        <f t="shared" si="107"/>
        <v>#DIV/0!</v>
      </c>
      <c r="J700" s="74"/>
      <c r="K700" s="73"/>
      <c r="L700" s="73"/>
      <c r="M700" s="73"/>
      <c r="N700" s="73"/>
      <c r="O700" s="73"/>
      <c r="P700" s="73"/>
      <c r="Q700" s="73"/>
    </row>
    <row r="701" spans="2:17" x14ac:dyDescent="0.3">
      <c r="B701" s="73"/>
      <c r="C701" s="73">
        <f t="shared" si="109"/>
        <v>5200000</v>
      </c>
      <c r="D701" s="62" t="e">
        <f t="shared" si="102"/>
        <v>#DIV/0!</v>
      </c>
      <c r="E701" s="62" t="e">
        <f t="shared" si="103"/>
        <v>#DIV/0!</v>
      </c>
      <c r="F701" s="62">
        <f t="shared" si="104"/>
        <v>-26.596080147053126</v>
      </c>
      <c r="G701" s="67">
        <f t="shared" si="105"/>
        <v>-84.149320593477682</v>
      </c>
      <c r="H701" s="62" t="e">
        <f t="shared" si="106"/>
        <v>#DIV/0!</v>
      </c>
      <c r="I701" s="62" t="e">
        <f t="shared" si="107"/>
        <v>#DIV/0!</v>
      </c>
      <c r="J701" s="74"/>
      <c r="K701" s="73"/>
      <c r="L701" s="73"/>
      <c r="M701" s="73"/>
      <c r="N701" s="73"/>
      <c r="O701" s="73"/>
      <c r="P701" s="73"/>
      <c r="Q701" s="73"/>
    </row>
    <row r="702" spans="2:17" x14ac:dyDescent="0.3">
      <c r="B702" s="73"/>
      <c r="C702" s="73">
        <f t="shared" si="109"/>
        <v>5300000</v>
      </c>
      <c r="D702" s="62" t="e">
        <f t="shared" si="102"/>
        <v>#DIV/0!</v>
      </c>
      <c r="E702" s="62" t="e">
        <f t="shared" si="103"/>
        <v>#DIV/0!</v>
      </c>
      <c r="F702" s="62">
        <f t="shared" si="104"/>
        <v>-26.759819971065998</v>
      </c>
      <c r="G702" s="67">
        <f t="shared" si="105"/>
        <v>-84.258951013665168</v>
      </c>
      <c r="H702" s="62" t="e">
        <f t="shared" si="106"/>
        <v>#DIV/0!</v>
      </c>
      <c r="I702" s="62" t="e">
        <f t="shared" si="107"/>
        <v>#DIV/0!</v>
      </c>
      <c r="J702" s="74"/>
      <c r="K702" s="73"/>
      <c r="L702" s="73"/>
      <c r="M702" s="73"/>
      <c r="N702" s="73"/>
      <c r="O702" s="73"/>
      <c r="P702" s="73"/>
      <c r="Q702" s="73"/>
    </row>
    <row r="703" spans="2:17" x14ac:dyDescent="0.3">
      <c r="B703" s="73"/>
      <c r="C703" s="73">
        <f t="shared" si="109"/>
        <v>5400000</v>
      </c>
      <c r="D703" s="62" t="e">
        <f t="shared" si="102"/>
        <v>#DIV/0!</v>
      </c>
      <c r="E703" s="62" t="e">
        <f t="shared" si="103"/>
        <v>#DIV/0!</v>
      </c>
      <c r="F703" s="62">
        <f t="shared" si="104"/>
        <v>-26.920560616520138</v>
      </c>
      <c r="G703" s="67">
        <f t="shared" si="105"/>
        <v>-84.364561784899067</v>
      </c>
      <c r="H703" s="62" t="e">
        <f t="shared" si="106"/>
        <v>#DIV/0!</v>
      </c>
      <c r="I703" s="62" t="e">
        <f t="shared" si="107"/>
        <v>#DIV/0!</v>
      </c>
      <c r="J703" s="74"/>
      <c r="K703" s="73"/>
      <c r="L703" s="73"/>
      <c r="M703" s="73"/>
      <c r="N703" s="73"/>
      <c r="O703" s="73"/>
      <c r="P703" s="73"/>
      <c r="Q703" s="73"/>
    </row>
    <row r="704" spans="2:17" x14ac:dyDescent="0.3">
      <c r="B704" s="73"/>
      <c r="C704" s="73">
        <f t="shared" si="109"/>
        <v>5500000</v>
      </c>
      <c r="D704" s="62" t="e">
        <f t="shared" si="102"/>
        <v>#DIV/0!</v>
      </c>
      <c r="E704" s="62" t="e">
        <f t="shared" si="103"/>
        <v>#DIV/0!</v>
      </c>
      <c r="F704" s="62">
        <f t="shared" si="104"/>
        <v>-27.078408900747625</v>
      </c>
      <c r="G704" s="67">
        <f t="shared" si="105"/>
        <v>-84.466369306233204</v>
      </c>
      <c r="H704" s="62" t="e">
        <f t="shared" si="106"/>
        <v>#DIV/0!</v>
      </c>
      <c r="I704" s="62" t="e">
        <f t="shared" si="107"/>
        <v>#DIV/0!</v>
      </c>
      <c r="J704" s="74"/>
      <c r="K704" s="73"/>
      <c r="L704" s="73"/>
      <c r="M704" s="73"/>
      <c r="N704" s="73"/>
      <c r="O704" s="73"/>
      <c r="P704" s="73"/>
      <c r="Q704" s="73"/>
    </row>
    <row r="705" spans="2:17" x14ac:dyDescent="0.3">
      <c r="B705" s="73"/>
      <c r="C705" s="73">
        <f t="shared" si="109"/>
        <v>5600000</v>
      </c>
      <c r="D705" s="62" t="e">
        <f t="shared" si="102"/>
        <v>#DIV/0!</v>
      </c>
      <c r="E705" s="62" t="e">
        <f t="shared" si="103"/>
        <v>#DIV/0!</v>
      </c>
      <c r="F705" s="62">
        <f t="shared" si="104"/>
        <v>-27.233466091164221</v>
      </c>
      <c r="G705" s="67">
        <f t="shared" si="105"/>
        <v>-84.564574764922853</v>
      </c>
      <c r="H705" s="62" t="e">
        <f t="shared" si="106"/>
        <v>#DIV/0!</v>
      </c>
      <c r="I705" s="62" t="e">
        <f t="shared" si="107"/>
        <v>#DIV/0!</v>
      </c>
      <c r="J705" s="74"/>
      <c r="K705" s="73"/>
      <c r="L705" s="73"/>
      <c r="M705" s="73"/>
      <c r="N705" s="73"/>
      <c r="O705" s="73"/>
      <c r="P705" s="73"/>
      <c r="Q705" s="73"/>
    </row>
    <row r="706" spans="2:17" x14ac:dyDescent="0.3">
      <c r="B706" s="73"/>
      <c r="C706" s="73">
        <f t="shared" si="109"/>
        <v>5700000</v>
      </c>
      <c r="D706" s="62" t="e">
        <f t="shared" si="102"/>
        <v>#DIV/0!</v>
      </c>
      <c r="E706" s="62" t="e">
        <f t="shared" si="103"/>
        <v>#DIV/0!</v>
      </c>
      <c r="F706" s="62">
        <f t="shared" si="104"/>
        <v>-27.38582827923716</v>
      </c>
      <c r="G706" s="67">
        <f t="shared" si="105"/>
        <v>-84.659365445973677</v>
      </c>
      <c r="H706" s="62" t="e">
        <f t="shared" si="106"/>
        <v>#DIV/0!</v>
      </c>
      <c r="I706" s="62" t="e">
        <f t="shared" si="107"/>
        <v>#DIV/0!</v>
      </c>
      <c r="J706" s="74"/>
      <c r="K706" s="73"/>
      <c r="L706" s="73"/>
      <c r="M706" s="73"/>
      <c r="N706" s="73"/>
      <c r="O706" s="73"/>
      <c r="P706" s="73"/>
      <c r="Q706" s="73"/>
    </row>
    <row r="707" spans="2:17" x14ac:dyDescent="0.3">
      <c r="B707" s="73"/>
      <c r="C707" s="73">
        <f t="shared" si="109"/>
        <v>5800000</v>
      </c>
      <c r="D707" s="62" t="e">
        <f t="shared" si="102"/>
        <v>#DIV/0!</v>
      </c>
      <c r="E707" s="62" t="e">
        <f t="shared" si="103"/>
        <v>#DIV/0!</v>
      </c>
      <c r="F707" s="62">
        <f t="shared" si="104"/>
        <v>-27.535586723819378</v>
      </c>
      <c r="G707" s="67">
        <f t="shared" si="105"/>
        <v>-84.750915909096477</v>
      </c>
      <c r="H707" s="62" t="e">
        <f t="shared" si="106"/>
        <v>#DIV/0!</v>
      </c>
      <c r="I707" s="62" t="e">
        <f t="shared" si="107"/>
        <v>#DIV/0!</v>
      </c>
      <c r="J707" s="74"/>
      <c r="K707" s="73"/>
      <c r="L707" s="73"/>
      <c r="M707" s="73"/>
      <c r="N707" s="73"/>
      <c r="O707" s="73"/>
      <c r="P707" s="73"/>
      <c r="Q707" s="73"/>
    </row>
    <row r="708" spans="2:17" x14ac:dyDescent="0.3">
      <c r="B708" s="73"/>
      <c r="C708" s="73">
        <f t="shared" si="109"/>
        <v>5900000</v>
      </c>
      <c r="D708" s="62" t="e">
        <f t="shared" si="102"/>
        <v>#DIV/0!</v>
      </c>
      <c r="E708" s="62" t="e">
        <f t="shared" si="103"/>
        <v>#DIV/0!</v>
      </c>
      <c r="F708" s="62">
        <f t="shared" si="104"/>
        <v>-27.682828166778656</v>
      </c>
      <c r="G708" s="67">
        <f t="shared" si="105"/>
        <v>-84.839389048425062</v>
      </c>
      <c r="H708" s="62" t="e">
        <f t="shared" si="106"/>
        <v>#DIV/0!</v>
      </c>
      <c r="I708" s="62" t="e">
        <f t="shared" si="107"/>
        <v>#DIV/0!</v>
      </c>
      <c r="J708" s="74"/>
      <c r="K708" s="73"/>
      <c r="L708" s="73"/>
      <c r="M708" s="73"/>
      <c r="N708" s="73"/>
      <c r="O708" s="73"/>
      <c r="P708" s="73"/>
      <c r="Q708" s="73"/>
    </row>
    <row r="709" spans="2:17" x14ac:dyDescent="0.3">
      <c r="B709" s="73"/>
      <c r="C709" s="73">
        <f t="shared" si="109"/>
        <v>6000000</v>
      </c>
      <c r="D709" s="62" t="e">
        <f t="shared" si="102"/>
        <v>#DIV/0!</v>
      </c>
      <c r="E709" s="62" t="e">
        <f t="shared" si="103"/>
        <v>#DIV/0!</v>
      </c>
      <c r="F709" s="62">
        <f t="shared" si="104"/>
        <v>-27.827635123529134</v>
      </c>
      <c r="G709" s="67">
        <f t="shared" si="105"/>
        <v>-84.924937048361357</v>
      </c>
      <c r="H709" s="62" t="e">
        <f t="shared" si="106"/>
        <v>#DIV/0!</v>
      </c>
      <c r="I709" s="62" t="e">
        <f t="shared" si="107"/>
        <v>#DIV/0!</v>
      </c>
      <c r="J709" s="74"/>
      <c r="K709" s="73"/>
      <c r="L709" s="73"/>
      <c r="M709" s="73"/>
      <c r="N709" s="73"/>
      <c r="O709" s="73"/>
      <c r="P709" s="73"/>
      <c r="Q709" s="73"/>
    </row>
    <row r="710" spans="2:17" x14ac:dyDescent="0.3">
      <c r="B710" s="73"/>
      <c r="C710" s="73">
        <f t="shared" si="109"/>
        <v>6100000</v>
      </c>
      <c r="D710" s="62" t="e">
        <f t="shared" si="102"/>
        <v>#DIV/0!</v>
      </c>
      <c r="E710" s="62" t="e">
        <f t="shared" si="103"/>
        <v>#DIV/0!</v>
      </c>
      <c r="F710" s="62">
        <f t="shared" si="104"/>
        <v>-27.970086150799442</v>
      </c>
      <c r="G710" s="67">
        <f t="shared" si="105"/>
        <v>-85.007702247201735</v>
      </c>
      <c r="H710" s="62" t="e">
        <f t="shared" si="106"/>
        <v>#DIV/0!</v>
      </c>
      <c r="I710" s="62" t="e">
        <f t="shared" si="107"/>
        <v>#DIV/0!</v>
      </c>
      <c r="J710" s="74"/>
      <c r="K710" s="73"/>
      <c r="L710" s="73"/>
      <c r="M710" s="73"/>
      <c r="N710" s="73"/>
      <c r="O710" s="73"/>
      <c r="P710" s="73"/>
      <c r="Q710" s="73"/>
    </row>
    <row r="711" spans="2:17" x14ac:dyDescent="0.3">
      <c r="B711" s="73"/>
      <c r="C711" s="73">
        <f t="shared" si="109"/>
        <v>6200000</v>
      </c>
      <c r="D711" s="62" t="e">
        <f t="shared" si="102"/>
        <v>#DIV/0!</v>
      </c>
      <c r="E711" s="62" t="e">
        <f t="shared" si="103"/>
        <v>#DIV/0!</v>
      </c>
      <c r="F711" s="62">
        <f t="shared" si="104"/>
        <v>-28.110256093720306</v>
      </c>
      <c r="G711" s="67">
        <f t="shared" si="105"/>
        <v>-85.087817918734686</v>
      </c>
      <c r="H711" s="62" t="e">
        <f t="shared" si="106"/>
        <v>#DIV/0!</v>
      </c>
      <c r="I711" s="62" t="e">
        <f t="shared" si="107"/>
        <v>#DIV/0!</v>
      </c>
      <c r="J711" s="74"/>
      <c r="K711" s="73"/>
      <c r="L711" s="73"/>
      <c r="M711" s="73"/>
      <c r="N711" s="73"/>
      <c r="O711" s="73"/>
      <c r="P711" s="73"/>
      <c r="Q711" s="73"/>
    </row>
    <row r="712" spans="2:17" x14ac:dyDescent="0.3">
      <c r="B712" s="73"/>
      <c r="C712" s="73">
        <f t="shared" si="109"/>
        <v>6300000</v>
      </c>
      <c r="D712" s="62" t="e">
        <f t="shared" si="102"/>
        <v>#DIV/0!</v>
      </c>
      <c r="E712" s="62" t="e">
        <f t="shared" si="103"/>
        <v>#DIV/0!</v>
      </c>
      <c r="F712" s="62">
        <f t="shared" si="104"/>
        <v>-28.24821631410282</v>
      </c>
      <c r="G712" s="67">
        <f t="shared" si="105"/>
        <v>-85.165408980733616</v>
      </c>
      <c r="H712" s="62" t="e">
        <f t="shared" si="106"/>
        <v>#DIV/0!</v>
      </c>
      <c r="I712" s="62" t="e">
        <f t="shared" si="107"/>
        <v>#DIV/0!</v>
      </c>
      <c r="J712" s="74"/>
      <c r="K712" s="73"/>
      <c r="L712" s="73"/>
      <c r="M712" s="73"/>
      <c r="N712" s="73"/>
      <c r="O712" s="73"/>
      <c r="P712" s="73"/>
      <c r="Q712" s="73"/>
    </row>
    <row r="713" spans="2:17" x14ac:dyDescent="0.3">
      <c r="B713" s="73"/>
      <c r="C713" s="73">
        <f t="shared" si="109"/>
        <v>6400000</v>
      </c>
      <c r="D713" s="62" t="e">
        <f t="shared" si="102"/>
        <v>#DIV/0!</v>
      </c>
      <c r="E713" s="62" t="e">
        <f t="shared" si="103"/>
        <v>#DIV/0!</v>
      </c>
      <c r="F713" s="62">
        <f t="shared" si="104"/>
        <v>-28.384034901580854</v>
      </c>
      <c r="G713" s="67">
        <f t="shared" si="105"/>
        <v>-85.240592638180402</v>
      </c>
      <c r="H713" s="62" t="e">
        <f t="shared" si="106"/>
        <v>#DIV/0!</v>
      </c>
      <c r="I713" s="62" t="e">
        <f t="shared" si="107"/>
        <v>#DIV/0!</v>
      </c>
      <c r="J713" s="74"/>
      <c r="K713" s="73"/>
      <c r="L713" s="73"/>
      <c r="M713" s="73"/>
      <c r="N713" s="73"/>
      <c r="O713" s="73"/>
      <c r="P713" s="73"/>
      <c r="Q713" s="73"/>
    </row>
    <row r="714" spans="2:17" x14ac:dyDescent="0.3">
      <c r="B714" s="73"/>
      <c r="C714" s="73">
        <f t="shared" si="109"/>
        <v>6500000</v>
      </c>
      <c r="D714" s="62" t="e">
        <f t="shared" si="102"/>
        <v>#DIV/0!</v>
      </c>
      <c r="E714" s="62" t="e">
        <f t="shared" si="103"/>
        <v>#DIV/0!</v>
      </c>
      <c r="F714" s="62">
        <f t="shared" si="104"/>
        <v>-28.51777686912682</v>
      </c>
      <c r="G714" s="67">
        <f t="shared" si="105"/>
        <v>-85.313478968112491</v>
      </c>
      <c r="H714" s="62" t="e">
        <f t="shared" si="106"/>
        <v>#DIV/0!</v>
      </c>
      <c r="I714" s="62" t="e">
        <f t="shared" si="107"/>
        <v>#DIV/0!</v>
      </c>
      <c r="J714" s="74"/>
      <c r="K714" s="73"/>
      <c r="L714" s="73"/>
      <c r="M714" s="73"/>
      <c r="N714" s="73"/>
      <c r="O714" s="73"/>
      <c r="P714" s="73"/>
      <c r="Q714" s="73"/>
    </row>
    <row r="715" spans="2:17" x14ac:dyDescent="0.3">
      <c r="B715" s="73"/>
      <c r="C715" s="73">
        <f t="shared" si="109"/>
        <v>6600000</v>
      </c>
      <c r="D715" s="62" t="e">
        <f t="shared" si="102"/>
        <v>#DIV/0!</v>
      </c>
      <c r="E715" s="62" t="e">
        <f t="shared" si="103"/>
        <v>#DIV/0!</v>
      </c>
      <c r="F715" s="62">
        <f t="shared" si="104"/>
        <v>-28.649504334294296</v>
      </c>
      <c r="G715" s="67">
        <f t="shared" si="105"/>
        <v>-85.38417145216701</v>
      </c>
      <c r="H715" s="62" t="e">
        <f t="shared" si="106"/>
        <v>#DIV/0!</v>
      </c>
      <c r="I715" s="62" t="e">
        <f t="shared" si="107"/>
        <v>#DIV/0!</v>
      </c>
      <c r="J715" s="74"/>
      <c r="K715" s="73"/>
      <c r="L715" s="73"/>
      <c r="M715" s="73"/>
      <c r="N715" s="73"/>
      <c r="O715" s="73"/>
      <c r="P715" s="73"/>
      <c r="Q715" s="73"/>
    </row>
    <row r="716" spans="2:17" x14ac:dyDescent="0.3">
      <c r="B716" s="73"/>
      <c r="C716" s="73">
        <f t="shared" si="109"/>
        <v>6700000</v>
      </c>
      <c r="D716" s="62" t="e">
        <f t="shared" si="102"/>
        <v>#DIV/0!</v>
      </c>
      <c r="E716" s="62" t="e">
        <f t="shared" si="103"/>
        <v>#DIV/0!</v>
      </c>
      <c r="F716" s="62">
        <f t="shared" si="104"/>
        <v>-28.77927668741134</v>
      </c>
      <c r="G716" s="67">
        <f t="shared" si="105"/>
        <v>-85.452767462188447</v>
      </c>
      <c r="H716" s="62" t="e">
        <f t="shared" si="106"/>
        <v>#DIV/0!</v>
      </c>
      <c r="I716" s="62" t="e">
        <f t="shared" si="107"/>
        <v>#DIV/0!</v>
      </c>
      <c r="J716" s="74"/>
      <c r="K716" s="73"/>
      <c r="L716" s="73"/>
      <c r="M716" s="73"/>
      <c r="N716" s="73"/>
      <c r="O716" s="73"/>
      <c r="P716" s="73"/>
      <c r="Q716" s="73"/>
    </row>
    <row r="717" spans="2:17" x14ac:dyDescent="0.3">
      <c r="B717" s="73"/>
      <c r="C717" s="73">
        <f t="shared" si="109"/>
        <v>6800000</v>
      </c>
      <c r="D717" s="62" t="e">
        <f t="shared" si="102"/>
        <v>#DIV/0!</v>
      </c>
      <c r="E717" s="62" t="e">
        <f t="shared" si="103"/>
        <v>#DIV/0!</v>
      </c>
      <c r="F717" s="62">
        <f t="shared" si="104"/>
        <v>-28.907150747825334</v>
      </c>
      <c r="G717" s="67">
        <f t="shared" si="105"/>
        <v>-85.519358703643846</v>
      </c>
      <c r="H717" s="62" t="e">
        <f t="shared" si="106"/>
        <v>#DIV/0!</v>
      </c>
      <c r="I717" s="62" t="e">
        <f t="shared" si="107"/>
        <v>#DIV/0!</v>
      </c>
      <c r="J717" s="74"/>
      <c r="K717" s="73"/>
      <c r="L717" s="73"/>
      <c r="M717" s="73"/>
      <c r="N717" s="73"/>
      <c r="O717" s="73"/>
      <c r="P717" s="73"/>
      <c r="Q717" s="73"/>
    </row>
    <row r="718" spans="2:17" x14ac:dyDescent="0.3">
      <c r="B718" s="73"/>
      <c r="C718" s="73">
        <f t="shared" si="109"/>
        <v>6900000</v>
      </c>
      <c r="D718" s="62" t="e">
        <f t="shared" si="102"/>
        <v>#DIV/0!</v>
      </c>
      <c r="E718" s="62" t="e">
        <f t="shared" si="103"/>
        <v>#DIV/0!</v>
      </c>
      <c r="F718" s="62">
        <f t="shared" si="104"/>
        <v>-29.033180909196467</v>
      </c>
      <c r="G718" s="67">
        <f t="shared" si="105"/>
        <v>-85.584031621053896</v>
      </c>
      <c r="H718" s="62" t="e">
        <f t="shared" si="106"/>
        <v>#DIV/0!</v>
      </c>
      <c r="I718" s="62" t="e">
        <f t="shared" si="107"/>
        <v>#DIV/0!</v>
      </c>
      <c r="J718" s="74"/>
      <c r="K718" s="73"/>
      <c r="L718" s="73"/>
      <c r="M718" s="73"/>
      <c r="N718" s="73"/>
      <c r="O718" s="73"/>
      <c r="P718" s="73"/>
      <c r="Q718" s="73"/>
    </row>
    <row r="719" spans="2:17" x14ac:dyDescent="0.3">
      <c r="B719" s="73"/>
      <c r="C719" s="73">
        <f t="shared" si="109"/>
        <v>7000000</v>
      </c>
      <c r="D719" s="62" t="e">
        <f t="shared" si="102"/>
        <v>#DIV/0!</v>
      </c>
      <c r="E719" s="62" t="e">
        <f t="shared" si="103"/>
        <v>#DIV/0!</v>
      </c>
      <c r="F719" s="62">
        <f t="shared" si="104"/>
        <v>-29.157419274741322</v>
      </c>
      <c r="G719" s="67">
        <f t="shared" si="105"/>
        <v>-85.646867769174335</v>
      </c>
      <c r="H719" s="62" t="e">
        <f t="shared" si="106"/>
        <v>#DIV/0!</v>
      </c>
      <c r="I719" s="62" t="e">
        <f t="shared" si="107"/>
        <v>#DIV/0!</v>
      </c>
      <c r="J719" s="74"/>
      <c r="K719" s="73"/>
      <c r="L719" s="73"/>
      <c r="M719" s="73"/>
      <c r="N719" s="73"/>
      <c r="O719" s="73"/>
      <c r="P719" s="73"/>
      <c r="Q719" s="73"/>
    </row>
    <row r="720" spans="2:17" x14ac:dyDescent="0.3">
      <c r="B720" s="73"/>
      <c r="C720" s="73">
        <f t="shared" si="109"/>
        <v>7100000</v>
      </c>
      <c r="D720" s="62" t="e">
        <f t="shared" si="102"/>
        <v>#DIV/0!</v>
      </c>
      <c r="E720" s="62" t="e">
        <f t="shared" si="103"/>
        <v>#DIV/0!</v>
      </c>
      <c r="F720" s="62">
        <f t="shared" si="104"/>
        <v>-29.279915783243062</v>
      </c>
      <c r="G720" s="67">
        <f t="shared" si="105"/>
        <v>-85.707944153249571</v>
      </c>
      <c r="H720" s="62" t="e">
        <f t="shared" si="106"/>
        <v>#DIV/0!</v>
      </c>
      <c r="I720" s="62" t="e">
        <f t="shared" si="107"/>
        <v>#DIV/0!</v>
      </c>
      <c r="J720" s="74"/>
      <c r="K720" s="73"/>
      <c r="L720" s="73"/>
      <c r="M720" s="73"/>
      <c r="N720" s="73"/>
      <c r="O720" s="73"/>
      <c r="P720" s="73"/>
      <c r="Q720" s="73"/>
    </row>
    <row r="721" spans="2:17" x14ac:dyDescent="0.3">
      <c r="B721" s="73"/>
      <c r="C721" s="73">
        <f t="shared" si="109"/>
        <v>7200000</v>
      </c>
      <c r="D721" s="62" t="e">
        <f t="shared" si="102"/>
        <v>#DIV/0!</v>
      </c>
      <c r="E721" s="62" t="e">
        <f t="shared" si="103"/>
        <v>#DIV/0!</v>
      </c>
      <c r="F721" s="62">
        <f t="shared" si="104"/>
        <v>-29.400718326569869</v>
      </c>
      <c r="G721" s="67">
        <f t="shared" si="105"/>
        <v>-85.767333541298399</v>
      </c>
      <c r="H721" s="62" t="e">
        <f t="shared" si="106"/>
        <v>#DIV/0!</v>
      </c>
      <c r="I721" s="62" t="e">
        <f t="shared" si="107"/>
        <v>#DIV/0!</v>
      </c>
      <c r="J721" s="74"/>
      <c r="K721" s="73"/>
      <c r="L721" s="73"/>
      <c r="M721" s="73"/>
      <c r="N721" s="73"/>
      <c r="O721" s="73"/>
      <c r="P721" s="73"/>
      <c r="Q721" s="73"/>
    </row>
    <row r="722" spans="2:17" x14ac:dyDescent="0.3">
      <c r="B722" s="73"/>
      <c r="C722" s="73">
        <f t="shared" si="109"/>
        <v>7300000</v>
      </c>
      <c r="D722" s="62" t="e">
        <f t="shared" ref="D722:D749" si="110">20*LOG(Am*IMABS(IMDIV(IMDIV(IMDIV(IMPRODUCT( COMPLEX(1,C722/Fzesr),COMPLEX(1,-C722/Frhp) ),COMPLEX(1,C722/Flp) ),COMPLEX(1,C722/Fesrp) ),COMPLEX(1-C722^2/(Fdp^2),C722/Fsp) )))</f>
        <v>#DIV/0!</v>
      </c>
      <c r="E722" s="62" t="e">
        <f t="shared" ref="E722:E749" si="111">IMARGUMENT(IMDIV(IMDIV(IMDIV(IMPRODUCT( COMPLEX(1,C722/Fzesr),COMPLEX(1,-C722/Frhp) ),COMPLEX(1,C722/Flp) ),COMPLEX(1,C722/Fesrp) ),COMPLEX(1-C722^2/(Fdp^2),C722/Fsp) ))*180/pi</f>
        <v>#DIV/0!</v>
      </c>
      <c r="F722" s="62">
        <f t="shared" ref="F722:F749" si="112">20*LOG(Afb*IMABS(IMDIV(IMDIV(COMPLEX(1,C722/Fzea),COMPLEX(1,C722/Fpea)),COMPLEX(0,2*3.14*C722))))</f>
        <v>-29.519872859373592</v>
      </c>
      <c r="G722" s="67">
        <f t="shared" ref="G722:G749" si="113">IMARGUMENT(IMDIV(IMDIV(COMPLEX(1,C722/Fzea),COMPLEX(1,C722/Fpea)),COMPLEX(0,2*3.14*C722)))*180/pi</f>
        <v>-85.825104751072175</v>
      </c>
      <c r="H722" s="62" t="e">
        <f t="shared" ref="H722:H749" si="114">D722+F722</f>
        <v>#DIV/0!</v>
      </c>
      <c r="I722" s="62" t="e">
        <f t="shared" ref="I722:I749" si="115">E722+G722</f>
        <v>#DIV/0!</v>
      </c>
      <c r="J722" s="74"/>
      <c r="K722" s="73"/>
      <c r="L722" s="73"/>
      <c r="M722" s="73"/>
      <c r="N722" s="73"/>
      <c r="O722" s="73"/>
      <c r="P722" s="73"/>
      <c r="Q722" s="73"/>
    </row>
    <row r="723" spans="2:17" x14ac:dyDescent="0.3">
      <c r="B723" s="73"/>
      <c r="C723" s="73">
        <f t="shared" si="109"/>
        <v>7400000</v>
      </c>
      <c r="D723" s="62" t="e">
        <f t="shared" si="110"/>
        <v>#DIV/0!</v>
      </c>
      <c r="E723" s="62" t="e">
        <f t="shared" si="111"/>
        <v>#DIV/0!</v>
      </c>
      <c r="F723" s="62">
        <f t="shared" si="112"/>
        <v>-29.637423501581853</v>
      </c>
      <c r="G723" s="67">
        <f t="shared" si="113"/>
        <v>-85.881322914046038</v>
      </c>
      <c r="H723" s="62" t="e">
        <f t="shared" si="114"/>
        <v>#DIV/0!</v>
      </c>
      <c r="I723" s="62" t="e">
        <f t="shared" si="115"/>
        <v>#DIV/0!</v>
      </c>
      <c r="J723" s="74"/>
      <c r="K723" s="73"/>
      <c r="L723" s="73"/>
      <c r="M723" s="73"/>
      <c r="N723" s="73"/>
      <c r="O723" s="73"/>
      <c r="P723" s="73"/>
      <c r="Q723" s="73"/>
    </row>
    <row r="724" spans="2:17" x14ac:dyDescent="0.3">
      <c r="B724" s="73"/>
      <c r="C724" s="73">
        <f t="shared" si="109"/>
        <v>7500000</v>
      </c>
      <c r="D724" s="62" t="e">
        <f t="shared" si="110"/>
        <v>#DIV/0!</v>
      </c>
      <c r="E724" s="62" t="e">
        <f t="shared" si="111"/>
        <v>#DIV/0!</v>
      </c>
      <c r="F724" s="62">
        <f t="shared" si="112"/>
        <v>-29.753412634239712</v>
      </c>
      <c r="G724" s="67">
        <f t="shared" si="113"/>
        <v>-85.93604971855531</v>
      </c>
      <c r="H724" s="62" t="e">
        <f t="shared" si="114"/>
        <v>#DIV/0!</v>
      </c>
      <c r="I724" s="62" t="e">
        <f t="shared" si="115"/>
        <v>#DIV/0!</v>
      </c>
      <c r="J724" s="74"/>
      <c r="K724" s="73"/>
      <c r="L724" s="73"/>
      <c r="M724" s="73"/>
      <c r="N724" s="73"/>
      <c r="O724" s="73"/>
      <c r="P724" s="73"/>
      <c r="Q724" s="73"/>
    </row>
    <row r="725" spans="2:17" x14ac:dyDescent="0.3">
      <c r="B725" s="73"/>
      <c r="C725" s="73">
        <f t="shared" si="109"/>
        <v>7600000</v>
      </c>
      <c r="D725" s="62" t="e">
        <f t="shared" si="110"/>
        <v>#DIV/0!</v>
      </c>
      <c r="E725" s="62" t="e">
        <f t="shared" si="111"/>
        <v>#DIV/0!</v>
      </c>
      <c r="F725" s="62">
        <f t="shared" si="112"/>
        <v>-29.867880989209983</v>
      </c>
      <c r="G725" s="67">
        <f t="shared" si="113"/>
        <v>-85.989343633971501</v>
      </c>
      <c r="H725" s="62" t="e">
        <f t="shared" si="114"/>
        <v>#DIV/0!</v>
      </c>
      <c r="I725" s="62" t="e">
        <f t="shared" si="115"/>
        <v>#DIV/0!</v>
      </c>
      <c r="J725" s="74"/>
      <c r="K725" s="73"/>
      <c r="L725" s="73"/>
      <c r="M725" s="73"/>
      <c r="N725" s="73"/>
      <c r="O725" s="73"/>
      <c r="P725" s="73"/>
      <c r="Q725" s="73"/>
    </row>
    <row r="726" spans="2:17" x14ac:dyDescent="0.3">
      <c r="B726" s="73"/>
      <c r="C726" s="73">
        <f t="shared" si="109"/>
        <v>7700000</v>
      </c>
      <c r="D726" s="62" t="e">
        <f t="shared" si="110"/>
        <v>#DIV/0!</v>
      </c>
      <c r="E726" s="62" t="e">
        <f t="shared" si="111"/>
        <v>#DIV/0!</v>
      </c>
      <c r="F726" s="62">
        <f t="shared" si="112"/>
        <v>-29.98086773319487</v>
      </c>
      <c r="G726" s="67">
        <f t="shared" si="113"/>
        <v>-86.041260117617256</v>
      </c>
      <c r="H726" s="62" t="e">
        <f t="shared" si="114"/>
        <v>#DIV/0!</v>
      </c>
      <c r="I726" s="62" t="e">
        <f t="shared" si="115"/>
        <v>#DIV/0!</v>
      </c>
      <c r="J726" s="74"/>
      <c r="K726" s="73"/>
      <c r="L726" s="73"/>
      <c r="M726" s="73"/>
      <c r="N726" s="73"/>
      <c r="O726" s="73"/>
      <c r="P726" s="73"/>
      <c r="Q726" s="73"/>
    </row>
    <row r="727" spans="2:17" x14ac:dyDescent="0.3">
      <c r="B727" s="73"/>
      <c r="C727" s="73">
        <f t="shared" si="109"/>
        <v>7800000</v>
      </c>
      <c r="D727" s="62" t="e">
        <f t="shared" si="110"/>
        <v>#DIV/0!</v>
      </c>
      <c r="E727" s="62" t="e">
        <f t="shared" si="111"/>
        <v>#DIV/0!</v>
      </c>
      <c r="F727" s="62">
        <f t="shared" si="112"/>
        <v>-30.092410546502695</v>
      </c>
      <c r="G727" s="67">
        <f t="shared" si="113"/>
        <v>-86.091851805948849</v>
      </c>
      <c r="H727" s="62" t="e">
        <f t="shared" si="114"/>
        <v>#DIV/0!</v>
      </c>
      <c r="I727" s="62" t="e">
        <f t="shared" si="115"/>
        <v>#DIV/0!</v>
      </c>
      <c r="J727" s="74"/>
      <c r="K727" s="73"/>
      <c r="L727" s="73"/>
      <c r="M727" s="73"/>
      <c r="N727" s="73"/>
      <c r="O727" s="73"/>
      <c r="P727" s="73"/>
      <c r="Q727" s="73"/>
    </row>
    <row r="728" spans="2:17" x14ac:dyDescent="0.3">
      <c r="B728" s="73"/>
      <c r="C728" s="73">
        <f t="shared" si="109"/>
        <v>7900000</v>
      </c>
      <c r="D728" s="62" t="e">
        <f t="shared" si="110"/>
        <v>#DIV/0!</v>
      </c>
      <c r="E728" s="62" t="e">
        <f t="shared" si="111"/>
        <v>#DIV/0!</v>
      </c>
      <c r="F728" s="62">
        <f t="shared" si="112"/>
        <v>-30.202545696946977</v>
      </c>
      <c r="G728" s="67">
        <f t="shared" si="113"/>
        <v>-86.141168691382475</v>
      </c>
      <c r="H728" s="62" t="e">
        <f t="shared" si="114"/>
        <v>#DIV/0!</v>
      </c>
      <c r="I728" s="62" t="e">
        <f t="shared" si="115"/>
        <v>#DIV/0!</v>
      </c>
      <c r="J728" s="74"/>
      <c r="K728" s="73"/>
      <c r="L728" s="73"/>
      <c r="M728" s="73"/>
      <c r="N728" s="73"/>
      <c r="O728" s="73"/>
      <c r="P728" s="73"/>
      <c r="Q728" s="73"/>
    </row>
    <row r="729" spans="2:17" x14ac:dyDescent="0.3">
      <c r="B729" s="73"/>
      <c r="C729" s="73">
        <f t="shared" si="109"/>
        <v>8000000</v>
      </c>
      <c r="D729" s="62" t="e">
        <f t="shared" si="110"/>
        <v>#DIV/0!</v>
      </c>
      <c r="E729" s="62" t="e">
        <f t="shared" si="111"/>
        <v>#DIV/0!</v>
      </c>
      <c r="F729" s="62">
        <f t="shared" si="112"/>
        <v>-30.31130810923343</v>
      </c>
      <c r="G729" s="67">
        <f t="shared" si="113"/>
        <v>-86.189258286004033</v>
      </c>
      <c r="H729" s="62" t="e">
        <f t="shared" si="114"/>
        <v>#DIV/0!</v>
      </c>
      <c r="I729" s="62" t="e">
        <f t="shared" si="115"/>
        <v>#DIV/0!</v>
      </c>
      <c r="J729" s="74"/>
      <c r="K729" s="73"/>
      <c r="L729" s="73"/>
      <c r="M729" s="73"/>
      <c r="N729" s="73"/>
      <c r="O729" s="73"/>
      <c r="P729" s="73"/>
      <c r="Q729" s="73"/>
    </row>
    <row r="730" spans="2:17" x14ac:dyDescent="0.3">
      <c r="B730" s="73"/>
      <c r="C730" s="73">
        <f t="shared" si="109"/>
        <v>8100000</v>
      </c>
      <c r="D730" s="62" t="e">
        <f t="shared" si="110"/>
        <v>#DIV/0!</v>
      </c>
      <c r="E730" s="62" t="e">
        <f t="shared" si="111"/>
        <v>#DIV/0!</v>
      </c>
      <c r="F730" s="62">
        <f t="shared" si="112"/>
        <v>-30.418731430157962</v>
      </c>
      <c r="G730" s="67">
        <f t="shared" si="113"/>
        <v>-86.23616577328221</v>
      </c>
      <c r="H730" s="62" t="e">
        <f t="shared" si="114"/>
        <v>#DIV/0!</v>
      </c>
      <c r="I730" s="62" t="e">
        <f t="shared" si="115"/>
        <v>#DIV/0!</v>
      </c>
      <c r="J730" s="74"/>
      <c r="K730" s="73"/>
      <c r="L730" s="73"/>
      <c r="M730" s="73"/>
      <c r="N730" s="73"/>
      <c r="O730" s="73"/>
      <c r="P730" s="73"/>
      <c r="Q730" s="73"/>
    </row>
    <row r="731" spans="2:17" x14ac:dyDescent="0.3">
      <c r="B731" s="73"/>
      <c r="C731" s="73">
        <f t="shared" si="109"/>
        <v>8200000</v>
      </c>
      <c r="D731" s="62" t="e">
        <f t="shared" si="110"/>
        <v>#DIV/0!</v>
      </c>
      <c r="E731" s="62" t="e">
        <f t="shared" si="111"/>
        <v>#DIV/0!</v>
      </c>
      <c r="F731" s="62">
        <f t="shared" si="112"/>
        <v>-30.52484808991521</v>
      </c>
      <c r="G731" s="67">
        <f t="shared" si="113"/>
        <v>-86.281934148796751</v>
      </c>
      <c r="H731" s="62" t="e">
        <f t="shared" si="114"/>
        <v>#DIV/0!</v>
      </c>
      <c r="I731" s="62" t="e">
        <f t="shared" si="115"/>
        <v>#DIV/0!</v>
      </c>
      <c r="J731" s="74"/>
      <c r="K731" s="73"/>
      <c r="L731" s="73"/>
      <c r="M731" s="73"/>
      <c r="N731" s="73"/>
      <c r="O731" s="73"/>
      <c r="P731" s="73"/>
      <c r="Q731" s="73"/>
    </row>
    <row r="732" spans="2:17" x14ac:dyDescent="0.3">
      <c r="B732" s="73"/>
      <c r="C732" s="73">
        <f t="shared" ref="C732:C749" si="116">C731+100000</f>
        <v>8300000</v>
      </c>
      <c r="D732" s="62" t="e">
        <f t="shared" si="110"/>
        <v>#DIV/0!</v>
      </c>
      <c r="E732" s="62" t="e">
        <f t="shared" si="111"/>
        <v>#DIV/0!</v>
      </c>
      <c r="F732" s="62">
        <f t="shared" si="112"/>
        <v>-30.629689359791673</v>
      </c>
      <c r="G732" s="67">
        <f t="shared" si="113"/>
        <v>-86.326604350896858</v>
      </c>
      <c r="H732" s="62" t="e">
        <f t="shared" si="114"/>
        <v>#DIV/0!</v>
      </c>
      <c r="I732" s="62" t="e">
        <f t="shared" si="115"/>
        <v>#DIV/0!</v>
      </c>
      <c r="J732" s="74"/>
      <c r="K732" s="73"/>
      <c r="L732" s="73"/>
      <c r="M732" s="73"/>
      <c r="N732" s="73"/>
      <c r="O732" s="73"/>
      <c r="P732" s="73"/>
      <c r="Q732" s="73"/>
    </row>
    <row r="733" spans="2:17" x14ac:dyDescent="0.3">
      <c r="B733" s="73"/>
      <c r="C733" s="73">
        <f t="shared" si="116"/>
        <v>8400000</v>
      </c>
      <c r="D733" s="62" t="e">
        <f t="shared" si="110"/>
        <v>#DIV/0!</v>
      </c>
      <c r="E733" s="62" t="e">
        <f t="shared" si="111"/>
        <v>#DIV/0!</v>
      </c>
      <c r="F733" s="62">
        <f t="shared" si="112"/>
        <v>-30.733285406493881</v>
      </c>
      <c r="G733" s="67">
        <f t="shared" si="113"/>
        <v>-86.370215382120321</v>
      </c>
      <c r="H733" s="62" t="e">
        <f t="shared" si="114"/>
        <v>#DIV/0!</v>
      </c>
      <c r="I733" s="62" t="e">
        <f t="shared" si="115"/>
        <v>#DIV/0!</v>
      </c>
      <c r="J733" s="74"/>
      <c r="K733" s="73"/>
      <c r="L733" s="73"/>
      <c r="M733" s="73"/>
      <c r="N733" s="73"/>
      <c r="O733" s="73"/>
      <c r="P733" s="73"/>
      <c r="Q733" s="73"/>
    </row>
    <row r="734" spans="2:17" x14ac:dyDescent="0.3">
      <c r="B734" s="73"/>
      <c r="C734" s="73">
        <f t="shared" si="116"/>
        <v>8500000</v>
      </c>
      <c r="D734" s="62" t="e">
        <f t="shared" si="110"/>
        <v>#DIV/0!</v>
      </c>
      <c r="E734" s="62" t="e">
        <f t="shared" si="111"/>
        <v>#DIV/0!</v>
      </c>
      <c r="F734" s="62">
        <f t="shared" si="112"/>
        <v>-30.835665343344495</v>
      </c>
      <c r="G734" s="67">
        <f t="shared" si="113"/>
        <v>-86.412804422124523</v>
      </c>
      <c r="H734" s="62" t="e">
        <f t="shared" si="114"/>
        <v>#DIV/0!</v>
      </c>
      <c r="I734" s="62" t="e">
        <f t="shared" si="115"/>
        <v>#DIV/0!</v>
      </c>
      <c r="J734" s="74"/>
      <c r="K734" s="73"/>
      <c r="L734" s="73"/>
      <c r="M734" s="73"/>
      <c r="N734" s="73"/>
      <c r="O734" s="73"/>
      <c r="P734" s="73"/>
      <c r="Q734" s="73"/>
    </row>
    <row r="735" spans="2:17" x14ac:dyDescent="0.3">
      <c r="B735" s="73"/>
      <c r="C735" s="73">
        <f t="shared" si="116"/>
        <v>8600000</v>
      </c>
      <c r="D735" s="62" t="e">
        <f t="shared" si="110"/>
        <v>#DIV/0!</v>
      </c>
      <c r="E735" s="62" t="e">
        <f t="shared" si="111"/>
        <v>#DIV/0!</v>
      </c>
      <c r="F735" s="62">
        <f t="shared" si="112"/>
        <v>-30.936857278558723</v>
      </c>
      <c r="G735" s="67">
        <f t="shared" si="113"/>
        <v>-86.454406932813555</v>
      </c>
      <c r="H735" s="62" t="e">
        <f t="shared" si="114"/>
        <v>#DIV/0!</v>
      </c>
      <c r="I735" s="62" t="e">
        <f t="shared" si="115"/>
        <v>#DIV/0!</v>
      </c>
      <c r="J735" s="74"/>
      <c r="K735" s="73"/>
      <c r="L735" s="73"/>
      <c r="M735" s="73"/>
      <c r="N735" s="73"/>
      <c r="O735" s="73"/>
      <c r="P735" s="73"/>
      <c r="Q735" s="73"/>
    </row>
    <row r="736" spans="2:17" x14ac:dyDescent="0.3">
      <c r="B736" s="73"/>
      <c r="C736" s="73">
        <f t="shared" si="116"/>
        <v>8700000</v>
      </c>
      <c r="D736" s="62" t="e">
        <f t="shared" si="110"/>
        <v>#DIV/0!</v>
      </c>
      <c r="E736" s="62" t="e">
        <f t="shared" si="111"/>
        <v>#DIV/0!</v>
      </c>
      <c r="F736" s="62">
        <f t="shared" si="112"/>
        <v>-31.036888360798255</v>
      </c>
      <c r="G736" s="67">
        <f t="shared" si="113"/>
        <v>-86.495056756282054</v>
      </c>
      <c r="H736" s="62" t="e">
        <f t="shared" si="114"/>
        <v>#DIV/0!</v>
      </c>
      <c r="I736" s="62" t="e">
        <f t="shared" si="115"/>
        <v>#DIV/0!</v>
      </c>
      <c r="J736" s="74"/>
      <c r="K736" s="73"/>
      <c r="L736" s="73"/>
      <c r="M736" s="73"/>
      <c r="N736" s="73"/>
      <c r="O736" s="73"/>
      <c r="P736" s="73"/>
      <c r="Q736" s="73"/>
    </row>
    <row r="737" spans="2:17" x14ac:dyDescent="0.3">
      <c r="B737" s="73"/>
      <c r="C737" s="73">
        <f t="shared" si="116"/>
        <v>8800000</v>
      </c>
      <c r="D737" s="62" t="e">
        <f t="shared" si="110"/>
        <v>#DIV/0!</v>
      </c>
      <c r="E737" s="62" t="e">
        <f t="shared" si="111"/>
        <v>#DIV/0!</v>
      </c>
      <c r="F737" s="62">
        <f t="shared" si="112"/>
        <v>-31.135784822183645</v>
      </c>
      <c r="G737" s="67">
        <f t="shared" si="113"/>
        <v>-86.534786206141931</v>
      </c>
      <c r="H737" s="62" t="e">
        <f t="shared" si="114"/>
        <v>#DIV/0!</v>
      </c>
      <c r="I737" s="62" t="e">
        <f t="shared" si="115"/>
        <v>#DIV/0!</v>
      </c>
      <c r="J737" s="74"/>
      <c r="K737" s="73"/>
      <c r="L737" s="73"/>
      <c r="M737" s="73"/>
      <c r="N737" s="73"/>
      <c r="O737" s="73"/>
      <c r="P737" s="73"/>
      <c r="Q737" s="73"/>
    </row>
    <row r="738" spans="2:17" x14ac:dyDescent="0.3">
      <c r="B738" s="73"/>
      <c r="C738" s="73">
        <f t="shared" si="116"/>
        <v>8900000</v>
      </c>
      <c r="D738" s="62" t="e">
        <f t="shared" si="110"/>
        <v>#DIV/0!</v>
      </c>
      <c r="E738" s="62" t="e">
        <f t="shared" si="111"/>
        <v>#DIV/0!</v>
      </c>
      <c r="F738" s="62">
        <f t="shared" si="112"/>
        <v>-31.233572018933565</v>
      </c>
      <c r="G738" s="67">
        <f t="shared" si="113"/>
        <v>-86.573626152746201</v>
      </c>
      <c r="H738" s="62" t="e">
        <f t="shared" si="114"/>
        <v>#DIV/0!</v>
      </c>
      <c r="I738" s="62" t="e">
        <f t="shared" si="115"/>
        <v>#DIV/0!</v>
      </c>
      <c r="J738" s="74"/>
      <c r="K738" s="73"/>
      <c r="L738" s="73"/>
      <c r="M738" s="73"/>
      <c r="N738" s="73"/>
      <c r="O738" s="73"/>
      <c r="P738" s="73"/>
      <c r="Q738" s="73"/>
    </row>
    <row r="739" spans="2:17" x14ac:dyDescent="0.3">
      <c r="B739" s="73"/>
      <c r="C739" s="73">
        <f t="shared" si="116"/>
        <v>9000000</v>
      </c>
      <c r="D739" s="62" t="e">
        <f t="shared" si="110"/>
        <v>#DIV/0!</v>
      </c>
      <c r="E739" s="62" t="e">
        <f t="shared" si="111"/>
        <v>#DIV/0!</v>
      </c>
      <c r="F739" s="62">
        <f t="shared" si="112"/>
        <v>-31.330274469784165</v>
      </c>
      <c r="G739" s="67">
        <f t="shared" si="113"/>
        <v>-86.611606102780584</v>
      </c>
      <c r="H739" s="62" t="e">
        <f t="shared" si="114"/>
        <v>#DIV/0!</v>
      </c>
      <c r="I739" s="62" t="e">
        <f t="shared" si="115"/>
        <v>#DIV/0!</v>
      </c>
      <c r="J739" s="74"/>
      <c r="K739" s="73"/>
      <c r="L739" s="73"/>
      <c r="M739" s="73"/>
      <c r="N739" s="73"/>
      <c r="O739" s="73"/>
      <c r="P739" s="73"/>
      <c r="Q739" s="73"/>
    </row>
    <row r="740" spans="2:17" x14ac:dyDescent="0.3">
      <c r="B740" s="73"/>
      <c r="C740" s="73">
        <f t="shared" si="116"/>
        <v>9100000</v>
      </c>
      <c r="D740" s="62" t="e">
        <f t="shared" si="110"/>
        <v>#DIV/0!</v>
      </c>
      <c r="E740" s="62" t="e">
        <f t="shared" si="111"/>
        <v>#DIV/0!</v>
      </c>
      <c r="F740" s="62">
        <f t="shared" si="112"/>
        <v>-31.42591589233384</v>
      </c>
      <c r="G740" s="67">
        <f t="shared" si="113"/>
        <v>-86.648754273651491</v>
      </c>
      <c r="H740" s="62" t="e">
        <f t="shared" si="114"/>
        <v>#DIV/0!</v>
      </c>
      <c r="I740" s="62" t="e">
        <f t="shared" si="115"/>
        <v>#DIV/0!</v>
      </c>
      <c r="J740" s="74"/>
      <c r="K740" s="73"/>
      <c r="L740" s="73"/>
      <c r="M740" s="73"/>
      <c r="N740" s="73"/>
      <c r="O740" s="73"/>
      <c r="P740" s="73"/>
      <c r="Q740" s="73"/>
    </row>
    <row r="741" spans="2:17" x14ac:dyDescent="0.3">
      <c r="B741" s="73"/>
      <c r="C741" s="73">
        <f t="shared" si="116"/>
        <v>9200000</v>
      </c>
      <c r="D741" s="62" t="e">
        <f t="shared" si="110"/>
        <v>#DIV/0!</v>
      </c>
      <c r="E741" s="62" t="e">
        <f t="shared" si="111"/>
        <v>#DIV/0!</v>
      </c>
      <c r="F741" s="62">
        <f t="shared" si="112"/>
        <v>-31.520519237443935</v>
      </c>
      <c r="G741" s="67">
        <f t="shared" si="113"/>
        <v>-86.685097663062933</v>
      </c>
      <c r="H741" s="62" t="e">
        <f t="shared" si="114"/>
        <v>#DIV/0!</v>
      </c>
      <c r="I741" s="62" t="e">
        <f t="shared" si="115"/>
        <v>#DIV/0!</v>
      </c>
      <c r="J741" s="74"/>
      <c r="K741" s="73"/>
      <c r="L741" s="73"/>
      <c r="M741" s="73"/>
      <c r="N741" s="73"/>
      <c r="O741" s="73"/>
      <c r="P741" s="73"/>
      <c r="Q741" s="73"/>
    </row>
    <row r="742" spans="2:17" x14ac:dyDescent="0.3">
      <c r="B742" s="73"/>
      <c r="C742" s="73">
        <f t="shared" si="116"/>
        <v>9300000</v>
      </c>
      <c r="D742" s="62" t="e">
        <f t="shared" si="110"/>
        <v>#DIV/0!</v>
      </c>
      <c r="E742" s="62" t="e">
        <f t="shared" si="111"/>
        <v>#DIV/0!</v>
      </c>
      <c r="F742" s="62">
        <f t="shared" si="112"/>
        <v>-31.614106721820185</v>
      </c>
      <c r="G742" s="67">
        <f t="shared" si="113"/>
        <v>-86.720662114140723</v>
      </c>
      <c r="H742" s="62" t="e">
        <f t="shared" si="114"/>
        <v>#DIV/0!</v>
      </c>
      <c r="I742" s="62" t="e">
        <f t="shared" si="115"/>
        <v>#DIV/0!</v>
      </c>
      <c r="J742" s="74"/>
      <c r="K742" s="73"/>
      <c r="L742" s="73"/>
      <c r="M742" s="73"/>
      <c r="N742" s="73"/>
      <c r="O742" s="73"/>
      <c r="P742" s="73"/>
      <c r="Q742" s="73"/>
    </row>
    <row r="743" spans="2:17" x14ac:dyDescent="0.3">
      <c r="B743" s="73"/>
      <c r="C743" s="73">
        <f t="shared" si="116"/>
        <v>9400000</v>
      </c>
      <c r="D743" s="62" t="e">
        <f t="shared" si="110"/>
        <v>#DIV/0!</v>
      </c>
      <c r="E743" s="62" t="e">
        <f t="shared" si="111"/>
        <v>#DIV/0!</v>
      </c>
      <c r="F743" s="62">
        <f t="shared" si="112"/>
        <v>-31.706699858887262</v>
      </c>
      <c r="G743" s="67">
        <f t="shared" si="113"/>
        <v>-86.755472376432635</v>
      </c>
      <c r="H743" s="62" t="e">
        <f t="shared" si="114"/>
        <v>#DIV/0!</v>
      </c>
      <c r="I743" s="62" t="e">
        <f t="shared" si="115"/>
        <v>#DIV/0!</v>
      </c>
      <c r="J743" s="74"/>
      <c r="K743" s="73"/>
      <c r="L743" s="73"/>
      <c r="M743" s="73"/>
      <c r="N743" s="73"/>
      <c r="O743" s="73"/>
      <c r="P743" s="73"/>
      <c r="Q743" s="73"/>
    </row>
    <row r="744" spans="2:17" x14ac:dyDescent="0.3">
      <c r="B744" s="73"/>
      <c r="C744" s="73">
        <f t="shared" si="116"/>
        <v>9500000</v>
      </c>
      <c r="D744" s="62" t="e">
        <f t="shared" si="110"/>
        <v>#DIV/0!</v>
      </c>
      <c r="E744" s="62" t="e">
        <f t="shared" si="111"/>
        <v>#DIV/0!</v>
      </c>
      <c r="F744" s="62">
        <f t="shared" si="112"/>
        <v>-31.798319488062905</v>
      </c>
      <c r="G744" s="67">
        <f t="shared" si="113"/>
        <v>-86.789552163086157</v>
      </c>
      <c r="H744" s="62" t="e">
        <f t="shared" si="114"/>
        <v>#DIV/0!</v>
      </c>
      <c r="I744" s="62" t="e">
        <f t="shared" si="115"/>
        <v>#DIV/0!</v>
      </c>
      <c r="J744" s="74"/>
      <c r="K744" s="73"/>
      <c r="L744" s="73"/>
      <c r="M744" s="73"/>
      <c r="N744" s="73"/>
      <c r="O744" s="73"/>
      <c r="P744" s="73"/>
      <c r="Q744" s="73"/>
    </row>
    <row r="745" spans="2:17" x14ac:dyDescent="0.3">
      <c r="B745" s="73"/>
      <c r="C745" s="73">
        <f t="shared" si="116"/>
        <v>9600000</v>
      </c>
      <c r="D745" s="62" t="e">
        <f t="shared" si="110"/>
        <v>#DIV/0!</v>
      </c>
      <c r="E745" s="62" t="e">
        <f t="shared" si="111"/>
        <v>#DIV/0!</v>
      </c>
      <c r="F745" s="62">
        <f t="shared" si="112"/>
        <v>-31.888985802529803</v>
      </c>
      <c r="G745" s="67">
        <f t="shared" si="113"/>
        <v>-86.822924204478966</v>
      </c>
      <c r="H745" s="62" t="e">
        <f t="shared" si="114"/>
        <v>#DIV/0!</v>
      </c>
      <c r="I745" s="62" t="e">
        <f t="shared" si="115"/>
        <v>#DIV/0!</v>
      </c>
      <c r="J745" s="74"/>
      <c r="K745" s="73"/>
      <c r="L745" s="73"/>
      <c r="M745" s="73"/>
      <c r="N745" s="73"/>
      <c r="O745" s="73"/>
      <c r="P745" s="73"/>
      <c r="Q745" s="73"/>
    </row>
    <row r="746" spans="2:17" x14ac:dyDescent="0.3">
      <c r="B746" s="73"/>
      <c r="C746" s="73">
        <f t="shared" si="116"/>
        <v>9700000</v>
      </c>
      <c r="D746" s="62" t="e">
        <f t="shared" si="110"/>
        <v>#DIV/0!</v>
      </c>
      <c r="E746" s="62" t="e">
        <f t="shared" si="111"/>
        <v>#DIV/0!</v>
      </c>
      <c r="F746" s="62">
        <f t="shared" si="112"/>
        <v>-31.978718375596593</v>
      </c>
      <c r="G746" s="67">
        <f t="shared" si="113"/>
        <v>-86.855610298557522</v>
      </c>
      <c r="H746" s="62" t="e">
        <f t="shared" si="114"/>
        <v>#DIV/0!</v>
      </c>
      <c r="I746" s="62" t="e">
        <f t="shared" si="115"/>
        <v>#DIV/0!</v>
      </c>
      <c r="J746" s="74"/>
      <c r="K746" s="73"/>
      <c r="L746" s="73"/>
      <c r="M746" s="73"/>
      <c r="N746" s="73"/>
      <c r="O746" s="73"/>
      <c r="P746" s="73"/>
      <c r="Q746" s="73"/>
    </row>
    <row r="747" spans="2:17" x14ac:dyDescent="0.3">
      <c r="B747" s="73"/>
      <c r="C747" s="73">
        <f t="shared" si="116"/>
        <v>9800000</v>
      </c>
      <c r="D747" s="62" t="e">
        <f t="shared" si="110"/>
        <v>#DIV/0!</v>
      </c>
      <c r="E747" s="62" t="e">
        <f t="shared" si="111"/>
        <v>#DIV/0!</v>
      </c>
      <c r="F747" s="62">
        <f t="shared" si="112"/>
        <v>-32.067536185732266</v>
      </c>
      <c r="G747" s="67">
        <f t="shared" si="113"/>
        <v>-86.88763135811547</v>
      </c>
      <c r="H747" s="62" t="e">
        <f t="shared" si="114"/>
        <v>#DIV/0!</v>
      </c>
      <c r="I747" s="62" t="e">
        <f t="shared" si="115"/>
        <v>#DIV/0!</v>
      </c>
      <c r="J747" s="74"/>
      <c r="K747" s="73"/>
      <c r="L747" s="73"/>
      <c r="M747" s="73"/>
      <c r="N747" s="73"/>
      <c r="O747" s="73"/>
      <c r="P747" s="73"/>
      <c r="Q747" s="73"/>
    </row>
    <row r="748" spans="2:17" x14ac:dyDescent="0.3">
      <c r="B748" s="73"/>
      <c r="C748" s="73">
        <f t="shared" si="116"/>
        <v>9900000</v>
      </c>
      <c r="D748" s="62" t="e">
        <f t="shared" si="110"/>
        <v>#DIV/0!</v>
      </c>
      <c r="E748" s="62" t="e">
        <f t="shared" si="111"/>
        <v>#DIV/0!</v>
      </c>
      <c r="F748" s="62">
        <f t="shared" si="112"/>
        <v>-32.155457640353539</v>
      </c>
      <c r="G748" s="67">
        <f t="shared" si="113"/>
        <v>-86.919007455227543</v>
      </c>
      <c r="H748" s="62" t="e">
        <f t="shared" si="114"/>
        <v>#DIV/0!</v>
      </c>
      <c r="I748" s="62" t="e">
        <f t="shared" si="115"/>
        <v>#DIV/0!</v>
      </c>
      <c r="J748" s="74"/>
      <c r="K748" s="73"/>
      <c r="L748" s="73"/>
      <c r="M748" s="73"/>
      <c r="N748" s="73"/>
      <c r="O748" s="73"/>
      <c r="P748" s="73"/>
      <c r="Q748" s="73"/>
    </row>
    <row r="749" spans="2:17" x14ac:dyDescent="0.3">
      <c r="B749" s="73"/>
      <c r="C749" s="73">
        <f t="shared" si="116"/>
        <v>10000000</v>
      </c>
      <c r="D749" s="62" t="e">
        <f t="shared" si="110"/>
        <v>#DIV/0!</v>
      </c>
      <c r="E749" s="62" t="e">
        <f t="shared" si="111"/>
        <v>#DIV/0!</v>
      </c>
      <c r="F749" s="62">
        <f t="shared" si="112"/>
        <v>-32.242500598438646</v>
      </c>
      <c r="G749" s="67">
        <f t="shared" si="113"/>
        <v>-86.949757863035529</v>
      </c>
      <c r="H749" s="62" t="e">
        <f t="shared" si="114"/>
        <v>#DIV/0!</v>
      </c>
      <c r="I749" s="62" t="e">
        <f t="shared" si="115"/>
        <v>#DIV/0!</v>
      </c>
      <c r="J749" s="74"/>
      <c r="K749" s="73"/>
      <c r="L749" s="73"/>
      <c r="M749" s="73"/>
      <c r="N749" s="73"/>
      <c r="O749" s="73"/>
      <c r="P749" s="73"/>
      <c r="Q749" s="73"/>
    </row>
    <row r="750" spans="2:17" x14ac:dyDescent="0.3">
      <c r="B750" s="73"/>
      <c r="C750" s="73"/>
      <c r="D750" s="73"/>
      <c r="E750" s="73"/>
      <c r="F750" s="73"/>
      <c r="G750" s="73"/>
      <c r="H750" s="75"/>
      <c r="I750" s="73"/>
      <c r="J750" s="74"/>
      <c r="K750" s="73"/>
      <c r="L750" s="73"/>
      <c r="M750" s="73"/>
      <c r="N750" s="73"/>
      <c r="O750" s="73"/>
      <c r="P750" s="73"/>
      <c r="Q750" s="73"/>
    </row>
  </sheetData>
  <protectedRanges>
    <protectedRange sqref="D4" name="Range2"/>
    <protectedRange sqref="D6" name="Range2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66</vt:i4>
      </vt:variant>
    </vt:vector>
  </HeadingPairs>
  <TitlesOfParts>
    <vt:vector size="68" baseType="lpstr">
      <vt:lpstr>LM5150 Quck Start</vt:lpstr>
      <vt:lpstr>Raw data</vt:lpstr>
      <vt:lpstr>Afb</vt:lpstr>
      <vt:lpstr>Am</vt:lpstr>
      <vt:lpstr>Ccomp</vt:lpstr>
      <vt:lpstr>Ccomp_odamp</vt:lpstr>
      <vt:lpstr>Ccs</vt:lpstr>
      <vt:lpstr>Chf</vt:lpstr>
      <vt:lpstr>Cout</vt:lpstr>
      <vt:lpstr>Cout1</vt:lpstr>
      <vt:lpstr>Cout2</vt:lpstr>
      <vt:lpstr>Dmax_ideal</vt:lpstr>
      <vt:lpstr>Dmax_prac</vt:lpstr>
      <vt:lpstr>Dmaxlim_prac</vt:lpstr>
      <vt:lpstr>Dmaxlimit</vt:lpstr>
      <vt:lpstr>Dmaxmargin</vt:lpstr>
      <vt:lpstr>Eff</vt:lpstr>
      <vt:lpstr>ESR</vt:lpstr>
      <vt:lpstr>Fcross</vt:lpstr>
      <vt:lpstr>Fdp</vt:lpstr>
      <vt:lpstr>Fesrp</vt:lpstr>
      <vt:lpstr>Flp</vt:lpstr>
      <vt:lpstr>Fpea</vt:lpstr>
      <vt:lpstr>Frhp</vt:lpstr>
      <vt:lpstr>Fsp</vt:lpstr>
      <vt:lpstr>Fsw</vt:lpstr>
      <vt:lpstr>Fsync</vt:lpstr>
      <vt:lpstr>Fzea</vt:lpstr>
      <vt:lpstr>Fzeat</vt:lpstr>
      <vt:lpstr>Fzesr</vt:lpstr>
      <vt:lpstr>Iinmax</vt:lpstr>
      <vt:lpstr>Iload</vt:lpstr>
      <vt:lpstr>Ipp</vt:lpstr>
      <vt:lpstr>Ivcc</vt:lpstr>
      <vt:lpstr>K1factor</vt:lpstr>
      <vt:lpstr>K2_factor</vt:lpstr>
      <vt:lpstr>Kfactor</vt:lpstr>
      <vt:lpstr>Lm</vt:lpstr>
      <vt:lpstr>Lm_min</vt:lpstr>
      <vt:lpstr>Lm_recommened</vt:lpstr>
      <vt:lpstr>Mcl</vt:lpstr>
      <vt:lpstr>MODE</vt:lpstr>
      <vt:lpstr>pi</vt:lpstr>
      <vt:lpstr>Pout</vt:lpstr>
      <vt:lpstr>'LM5150 Quck Start'!Print_Area</vt:lpstr>
      <vt:lpstr>Qg</vt:lpstr>
      <vt:lpstr>Qrr</vt:lpstr>
      <vt:lpstr>Rcomp</vt:lpstr>
      <vt:lpstr>Rcs</vt:lpstr>
      <vt:lpstr>Rdcr</vt:lpstr>
      <vt:lpstr>Rdson</vt:lpstr>
      <vt:lpstr>Rload</vt:lpstr>
      <vt:lpstr>RR</vt:lpstr>
      <vt:lpstr>Rs</vt:lpstr>
      <vt:lpstr>Rs_recommended</vt:lpstr>
      <vt:lpstr>Rset</vt:lpstr>
      <vt:lpstr>Rsl</vt:lpstr>
      <vt:lpstr>RT</vt:lpstr>
      <vt:lpstr>RT_selected</vt:lpstr>
      <vt:lpstr>Tf</vt:lpstr>
      <vt:lpstr>Tr</vt:lpstr>
      <vt:lpstr>Vds</vt:lpstr>
      <vt:lpstr>Vf</vt:lpstr>
      <vt:lpstr>Vouttarget</vt:lpstr>
      <vt:lpstr>Vr</vt:lpstr>
      <vt:lpstr>Vsupplymax</vt:lpstr>
      <vt:lpstr>Vsupplymin</vt:lpstr>
      <vt:lpstr>Vsupplytyp</vt:lpstr>
    </vt:vector>
  </TitlesOfParts>
  <Company>Texas Instruments,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Eric</dc:creator>
  <cp:lastModifiedBy>Singh, Sumit (S.K.)</cp:lastModifiedBy>
  <cp:lastPrinted>2017-07-10T23:31:33Z</cp:lastPrinted>
  <dcterms:created xsi:type="dcterms:W3CDTF">2016-01-11T20:23:43Z</dcterms:created>
  <dcterms:modified xsi:type="dcterms:W3CDTF">2025-02-12T13:00:31Z</dcterms:modified>
</cp:coreProperties>
</file>