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Projects\KaimanMarine\Hardware\Drawings and Docs\"/>
    </mc:Choice>
  </mc:AlternateContent>
  <xr:revisionPtr revIDLastSave="0" documentId="13_ncr:1_{A77F8CE0-1833-4A43-A7E4-1B12723FD6F8}" xr6:coauthVersionLast="47" xr6:coauthVersionMax="47" xr10:uidLastSave="{00000000-0000-0000-0000-000000000000}"/>
  <workbookProtection workbookPassword="E1A4" lockStructure="1"/>
  <bookViews>
    <workbookView xWindow="-110" yWindow="-110" windowWidth="38620" windowHeight="21100" xr2:uid="{00000000-000D-0000-FFFF-FFFF00000000}"/>
  </bookViews>
  <sheets>
    <sheet name="Design Converter" sheetId="1" r:id="rId1"/>
    <sheet name="Variable_Management" sheetId="2" state="hidden" r:id="rId2"/>
    <sheet name="Eff_vs_IOUT" sheetId="4" state="hidden" r:id="rId3"/>
    <sheet name="Loop_Modeling" sheetId="5" state="hidden" r:id="rId4"/>
    <sheet name="Constants" sheetId="3" state="hidden" r:id="rId5"/>
    <sheet name="Plot_Management_Eff" sheetId="6" state="hidden" r:id="rId6"/>
    <sheet name="Plot_Management_Sch" sheetId="7" state="hidden" r:id="rId7"/>
    <sheet name="Lists" sheetId="8" state="hidden" r:id="rId8"/>
    <sheet name="Sheet1" sheetId="9" state="hidden" r:id="rId9"/>
  </sheets>
  <definedNames>
    <definedName name="Acs">Constants!$B$30</definedName>
    <definedName name="Adc">Loop_Modeling!$B$34</definedName>
    <definedName name="Adc_ea">Loop_Modeling!$B$58</definedName>
    <definedName name="ADC_VINmin">Variable_Management!$B$178</definedName>
    <definedName name="Cac">Variable_Management!$B$132</definedName>
    <definedName name="Cac_min">Variable_Management!$B$131</definedName>
    <definedName name="CCOMP">Variable_Management!$B$238</definedName>
    <definedName name="CCOMP_Calc">Variable_Management!$B$237</definedName>
    <definedName name="CCOMP_calc_CCM">Variable_Management!$B$207</definedName>
    <definedName name="CCOMP_CALC_DCM">Variable_Management!$B$228</definedName>
    <definedName name="CHF">Variable_Management!$B$240</definedName>
    <definedName name="CHF_calc">Variable_Management!$B$239</definedName>
    <definedName name="CHF_CALC_CCM">Variable_Management!$B$208</definedName>
    <definedName name="CHF_CALC_DCM">Variable_Management!$B$229</definedName>
    <definedName name="Comp_calc_CCM">Variable_Management!$B$207</definedName>
    <definedName name="Cout">Variable_Management!$B$144</definedName>
    <definedName name="Cout_min">Variable_Management!$B$142</definedName>
    <definedName name="D_limit_max">Constants!$B$18</definedName>
    <definedName name="D_limit_min">Constants!$B$16</definedName>
    <definedName name="D_limit_nom">Constants!$B$17</definedName>
    <definedName name="DC_DCM_max">Variable_Management!$B$32</definedName>
    <definedName name="Dc_max_IC">Variable_Management!$B$20</definedName>
    <definedName name="Dc_max_ideal">Variable_Management!$A$19</definedName>
    <definedName name="DC_rip">Variable_Management!#REF!</definedName>
    <definedName name="Dc_rip_max">Variable_Management!#REF!</definedName>
    <definedName name="Dc_VIN_max">Variable_Management!$B$87</definedName>
    <definedName name="Dc_VIN_min">Variable_Management!$B$53</definedName>
    <definedName name="Dc_VIN_nom">Variable_Management!$B$70</definedName>
    <definedName name="DC_VIN_Var">Loop_Modeling!$B$18</definedName>
    <definedName name="DC_VIN_var_DCM">Loop_Modeling!$B$66</definedName>
    <definedName name="EFF_est">Variable_Management!$B$17</definedName>
    <definedName name="Eff_vs_IOUT">Plot_Management_Eff!$C$3</definedName>
    <definedName name="fcross">Variable_Management!$B$233</definedName>
    <definedName name="fcross_est">Variable_Management!$B$232</definedName>
    <definedName name="fp_ea_est">Variable_Management!$B$202</definedName>
    <definedName name="Fsw">Variable_Management!$B$10</definedName>
    <definedName name="fz_ea_est">Variable_Management!$B$201</definedName>
    <definedName name="fz_rhp">Variable_Management!$B$187</definedName>
    <definedName name="Gcomp">Constants!$B$29</definedName>
    <definedName name="Gea_mid_calc">Variable_Management!#REF!</definedName>
    <definedName name="gfs">Variable_Management!$B$256</definedName>
    <definedName name="gm_ea">Constants!$B$34</definedName>
    <definedName name="Gplant_fc_dB">Loop_Modeling!$AD$7</definedName>
    <definedName name="IIN_33">Variable_Management!#REF!</definedName>
    <definedName name="IL_coupled">Variable_Management!$B$24</definedName>
    <definedName name="IL_pk">Variable_Management!$B$122</definedName>
    <definedName name="IL_pk_max">Variable_Management!$B$123</definedName>
    <definedName name="ILA_avg_VIN_max">Variable_Management!$B$90</definedName>
    <definedName name="ILA_avg_VIN_min">Variable_Management!$B$56</definedName>
    <definedName name="ILA_avg_VIN_nom">Variable_Management!$B$73</definedName>
    <definedName name="ILAp_VINmax">Variable_Management!$B$92</definedName>
    <definedName name="ILAp_VINmin">Variable_Management!$B$58</definedName>
    <definedName name="ILAp_VINnom">Variable_Management!$B$75</definedName>
    <definedName name="ILArip_VINmax">Variable_Management!$B$91</definedName>
    <definedName name="ILArip_VINmin">Variable_Management!$B$57</definedName>
    <definedName name="ILArip_VINnom">Variable_Management!$B$74</definedName>
    <definedName name="ILB_avg_VIN_max">Variable_Management!$B$95</definedName>
    <definedName name="ILB_avg_VIN_min">Variable_Management!$B$61</definedName>
    <definedName name="ILB_avg_VIN_nom">Variable_Management!$B$78</definedName>
    <definedName name="ILBp_VIN_max">Variable_Management!$B$97</definedName>
    <definedName name="ILBp_VIN_min">Variable_Management!$B$63</definedName>
    <definedName name="ILBp_VIN_nom">Variable_Management!$B$80</definedName>
    <definedName name="ILBrip_VIN_max">Variable_Management!$B$96</definedName>
    <definedName name="ILBrip_VIN_nom">Variable_Management!$B$79</definedName>
    <definedName name="ILBrip_VINmin">Variable_Management!$B$62</definedName>
    <definedName name="ILrip">Variable_Management!$B$28</definedName>
    <definedName name="IOUT">Variable_Management!$B$14</definedName>
    <definedName name="IOUT_VAR">Loop_Modeling!$B$17</definedName>
    <definedName name="Ipk_margin">Variable_Management!$B$103</definedName>
    <definedName name="Ipk_selected">Variable_Management!$B$104</definedName>
    <definedName name="IQ">Constants!$B$48</definedName>
    <definedName name="IRMS_COUT">Variable_Management!$B$143</definedName>
    <definedName name="Isl">Constants!$B$25</definedName>
    <definedName name="Iss">Constants!$B$37</definedName>
    <definedName name="ISW_peak_VIN_min">Variable_Management!$B$66</definedName>
    <definedName name="ISW_peak_VIN_nom">Variable_Management!$B$83</definedName>
    <definedName name="Kslope">Variable_Management!$B$110</definedName>
    <definedName name="Lm">Variable_Management!$B$40</definedName>
    <definedName name="Lm_A">Variable_Management!$B$42</definedName>
    <definedName name="Lm_B">Variable_Management!$B$44</definedName>
    <definedName name="Lopt">Variable_Management!#REF!</definedName>
    <definedName name="Lopt_2">Variable_Management!$B$29</definedName>
    <definedName name="M_L_DCM">Variable_Management!$B$34</definedName>
    <definedName name="POUT">Variable_Management!$B$16</definedName>
    <definedName name="_xlnm.Print_Area" localSheetId="0">'Design Converter'!$A$1:$Z$102</definedName>
    <definedName name="Q">Loop_Modeling!$B$48</definedName>
    <definedName name="Q_VINmin">Variable_Management!$B$195</definedName>
    <definedName name="Qg_tot">Variable_Management!$B$251</definedName>
    <definedName name="Qgd">Variable_Management!$B$252</definedName>
    <definedName name="Qgs">Variable_Management!$B$253</definedName>
    <definedName name="Qrr">Variable_Management!$B$246</definedName>
    <definedName name="R_cs">Variable_Management!$B$118</definedName>
    <definedName name="R_sl">Variable_Management!$B$119</definedName>
    <definedName name="RCOMP">Variable_Management!$B$236</definedName>
    <definedName name="RCOMP_Calc">Variable_Management!$B$235</definedName>
    <definedName name="Rcomp_calc_CCM">Variable_Management!$B$206</definedName>
    <definedName name="RCOMP_CALC_DCM">Variable_Management!$B$227</definedName>
    <definedName name="Rcs_max">Variable_Management!$B$107</definedName>
    <definedName name="Rcs_w_sl">Variable_Management!$B$111</definedName>
    <definedName name="Rcs_wo_sl">Variable_Management!$B$108</definedName>
    <definedName name="Rdcr">Variable_Management!$B$46</definedName>
    <definedName name="RDS_on">Variable_Management!$B$250</definedName>
    <definedName name="Resr">Variable_Management!$B$145</definedName>
    <definedName name="RFBB">Variable_Management!$B$172</definedName>
    <definedName name="RFBB_calc">Variable_Management!$B$171</definedName>
    <definedName name="RFBT">Variable_Management!$B$170</definedName>
    <definedName name="Rgate">Variable_Management!$B$254</definedName>
    <definedName name="ROUT">Variable_Management!$B$15</definedName>
    <definedName name="Rsl_int">Constants!$B$26</definedName>
    <definedName name="RT">Variable_Management!$B$11</definedName>
    <definedName name="Ruvlo_bottom_calc">Variable_Management!$B$161</definedName>
    <definedName name="Ruvlo_top">Variable_Management!$B$160</definedName>
    <definedName name="Ruvlo_top_calc">Variable_Management!$B$159</definedName>
    <definedName name="SCH_1">Plot_Management_Sch!$B$2</definedName>
    <definedName name="Se_VINmin">Variable_Management!$B$191</definedName>
    <definedName name="Sn_VINmin">Variable_Management!$B$192</definedName>
    <definedName name="tf_sw">Variable_Management!$B$263</definedName>
    <definedName name="tr_sw">Variable_Management!$B$262</definedName>
    <definedName name="tss">Variable_Management!$B$150</definedName>
    <definedName name="UV_fall">Constants!$B$41</definedName>
    <definedName name="UV_I_hyst">Constants!$B$42</definedName>
    <definedName name="UV_rise">Constants!$B$40</definedName>
    <definedName name="Vcc">Constants!$B$45</definedName>
    <definedName name="Vcl">Constants!$B$27</definedName>
    <definedName name="VCrr">Variable_Management!$B$130</definedName>
    <definedName name="Vd_rect">Variable_Management!$B$245</definedName>
    <definedName name="VIN_33">Variable_Management!#REF!</definedName>
    <definedName name="VIN_max">Variable_Management!$B$9</definedName>
    <definedName name="VIN_min">Variable_Management!$B$7</definedName>
    <definedName name="VIN_nom">Variable_Management!$B$8</definedName>
    <definedName name="VIN_op_max">Constants!$B$52</definedName>
    <definedName name="VIN_op_min">Constants!$B$51</definedName>
    <definedName name="VIN_var">Loop_Modeling!$B$16</definedName>
    <definedName name="VOUT">Variable_Management!$B$13</definedName>
    <definedName name="Vout_rip_sel">Variable_Management!$B$140</definedName>
    <definedName name="Vref">Constants!$B$33</definedName>
    <definedName name="Vth">Variable_Management!$B$257</definedName>
    <definedName name="Vuvlo_off">Variable_Management!$B$155</definedName>
    <definedName name="Vuvlo_on">Variable_Management!$B$154</definedName>
    <definedName name="wp_lf">Loop_Modeling!$B$35</definedName>
    <definedName name="wp_lf_DCM">Loop_Modeling!$B$69</definedName>
    <definedName name="wp_lf_VINmin">Variable_Management!$B$180</definedName>
    <definedName name="wp0_ea">Loop_Modeling!$B$60</definedName>
    <definedName name="wp1_ea">Loop_Modeling!$B$61</definedName>
    <definedName name="wsl">Loop_Modeling!$B$47</definedName>
    <definedName name="wsl_VINmin">Variable_Management!$B$194</definedName>
    <definedName name="wz_ea">Loop_Modeling!$B$59</definedName>
    <definedName name="wz_esr">Loop_Modeling!$B$41</definedName>
    <definedName name="wz_esr_VINmin">Variable_Management!$B$183</definedName>
    <definedName name="wz_rhp">Loop_Modeling!$B$38</definedName>
    <definedName name="wz_RHP_VINmin">Variable_Management!$B$186</definedName>
    <definedName name="wz1_dcm">Loop_Modeling!$B$71</definedName>
    <definedName name="wz2_dcm">Loop_Modeling!$B$73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2" i="2" l="1"/>
  <c r="B46" i="2"/>
  <c r="B2" i="6" l="1"/>
  <c r="B48" i="3" l="1"/>
  <c r="B258" i="2" l="1"/>
  <c r="B257" i="2"/>
  <c r="B256" i="2"/>
  <c r="B254" i="2"/>
  <c r="B253" i="2"/>
  <c r="B252" i="2"/>
  <c r="B251" i="2"/>
  <c r="B250" i="2"/>
  <c r="B246" i="2"/>
  <c r="B245" i="2"/>
  <c r="B160" i="2" l="1"/>
  <c r="B42" i="3"/>
  <c r="B158" i="2" s="1"/>
  <c r="B157" i="2"/>
  <c r="B156" i="2"/>
  <c r="B155" i="2"/>
  <c r="B154" i="2"/>
  <c r="B150" i="2"/>
  <c r="B148" i="2"/>
  <c r="B37" i="3"/>
  <c r="B159" i="2" l="1"/>
  <c r="H54" i="1" s="1"/>
  <c r="B161" i="2"/>
  <c r="B233" i="2"/>
  <c r="B34"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E196" i="2" l="1"/>
  <c r="B224" i="2"/>
  <c r="B203" i="2"/>
  <c r="O8" i="5"/>
  <c r="O7" i="5"/>
  <c r="B162" i="2"/>
  <c r="H56" i="1"/>
  <c r="B163" i="2"/>
  <c r="B29" i="3" l="1"/>
  <c r="B30" i="5" s="1"/>
  <c r="B170" i="2" l="1"/>
  <c r="B172" i="2"/>
  <c r="B238" i="2"/>
  <c r="B240" i="2"/>
  <c r="B56" i="5" s="1"/>
  <c r="B236" i="2"/>
  <c r="B54" i="5" s="1"/>
  <c r="B27" i="5"/>
  <c r="B53" i="5" l="1"/>
  <c r="B52" i="5"/>
  <c r="B58" i="5"/>
  <c r="AS7" i="5" s="1"/>
  <c r="B55" i="5"/>
  <c r="B60" i="5"/>
  <c r="B61" i="5"/>
  <c r="AW7" i="5" s="1"/>
  <c r="B59" i="5"/>
  <c r="AZ7" i="5" s="1"/>
  <c r="B145" i="2"/>
  <c r="B144" i="2"/>
  <c r="B124" i="2"/>
  <c r="B119" i="2"/>
  <c r="B118" i="2"/>
  <c r="B27" i="3"/>
  <c r="B25" i="3"/>
  <c r="B28" i="5" s="1"/>
  <c r="B103" i="2"/>
  <c r="B71" i="5" l="1"/>
  <c r="B72" i="5" s="1"/>
  <c r="AJ72" i="5"/>
  <c r="AJ98" i="5"/>
  <c r="AJ108" i="5"/>
  <c r="AJ116" i="5"/>
  <c r="AJ124" i="5"/>
  <c r="AJ132" i="5"/>
  <c r="AJ149" i="5"/>
  <c r="AJ167" i="5"/>
  <c r="AJ187" i="5"/>
  <c r="AJ22" i="5"/>
  <c r="AJ38" i="5"/>
  <c r="AJ54" i="5"/>
  <c r="AJ68" i="5"/>
  <c r="AJ70" i="5"/>
  <c r="AJ84" i="5"/>
  <c r="AJ86" i="5"/>
  <c r="AJ141" i="5"/>
  <c r="AJ145" i="5"/>
  <c r="AJ151" i="5"/>
  <c r="AJ153" i="5"/>
  <c r="AJ157" i="5"/>
  <c r="AJ165" i="5"/>
  <c r="AJ169" i="5"/>
  <c r="AJ173" i="5"/>
  <c r="AJ24" i="5"/>
  <c r="AJ27" i="5"/>
  <c r="AJ29" i="5"/>
  <c r="AJ40" i="5"/>
  <c r="AJ43" i="5"/>
  <c r="AJ45" i="5"/>
  <c r="AJ50" i="5"/>
  <c r="AJ56" i="5"/>
  <c r="AJ61" i="5"/>
  <c r="AJ64" i="5"/>
  <c r="AJ66" i="5"/>
  <c r="AJ71" i="5"/>
  <c r="AJ77" i="5"/>
  <c r="AJ80" i="5"/>
  <c r="AJ82" i="5"/>
  <c r="AJ87" i="5"/>
  <c r="AJ93" i="5"/>
  <c r="AJ97" i="5"/>
  <c r="AJ101" i="5"/>
  <c r="AJ105" i="5"/>
  <c r="AJ109" i="5"/>
  <c r="AJ113" i="5"/>
  <c r="AJ117" i="5"/>
  <c r="AJ121" i="5"/>
  <c r="AJ125" i="5"/>
  <c r="AJ129" i="5"/>
  <c r="AJ133" i="5"/>
  <c r="AJ143" i="5"/>
  <c r="AJ146" i="5"/>
  <c r="AJ150" i="5"/>
  <c r="AJ154" i="5"/>
  <c r="AJ156" i="5"/>
  <c r="AJ158" i="5"/>
  <c r="AJ160" i="5"/>
  <c r="AJ162" i="5"/>
  <c r="AJ164" i="5"/>
  <c r="AJ166" i="5"/>
  <c r="AJ168" i="5"/>
  <c r="AJ170" i="5"/>
  <c r="AJ172" i="5"/>
  <c r="AJ174" i="5"/>
  <c r="AJ176" i="5"/>
  <c r="AJ180" i="5"/>
  <c r="AJ184" i="5"/>
  <c r="AJ188" i="5"/>
  <c r="AJ25" i="5"/>
  <c r="AJ52" i="5"/>
  <c r="AJ62" i="5"/>
  <c r="AJ89" i="5"/>
  <c r="AJ137" i="5"/>
  <c r="AJ181" i="5"/>
  <c r="AJ185" i="5"/>
  <c r="AJ189" i="5"/>
  <c r="AJ197" i="5"/>
  <c r="AJ199" i="5"/>
  <c r="AJ203" i="5"/>
  <c r="AJ207" i="5"/>
  <c r="AJ211" i="5"/>
  <c r="AJ215" i="5"/>
  <c r="AJ219" i="5"/>
  <c r="AJ223" i="5"/>
  <c r="AJ226" i="5"/>
  <c r="AJ228" i="5"/>
  <c r="AJ233" i="5"/>
  <c r="AJ239" i="5"/>
  <c r="AJ243" i="5"/>
  <c r="AJ251" i="5"/>
  <c r="AJ255" i="5"/>
  <c r="AJ259" i="5"/>
  <c r="AJ265" i="5"/>
  <c r="AJ268" i="5"/>
  <c r="AJ270" i="5"/>
  <c r="AJ275" i="5"/>
  <c r="AJ281" i="5"/>
  <c r="AJ284" i="5"/>
  <c r="AJ286" i="5"/>
  <c r="AJ291" i="5"/>
  <c r="AJ297" i="5"/>
  <c r="AJ300" i="5"/>
  <c r="AJ302" i="5"/>
  <c r="AJ307" i="5"/>
  <c r="AJ311" i="5"/>
  <c r="AJ315" i="5"/>
  <c r="AJ319" i="5"/>
  <c r="AJ326" i="5"/>
  <c r="AJ36" i="5"/>
  <c r="AJ46" i="5"/>
  <c r="AJ55" i="5"/>
  <c r="AJ73" i="5"/>
  <c r="AJ83" i="5"/>
  <c r="AJ99" i="5"/>
  <c r="AJ107" i="5"/>
  <c r="AJ115" i="5"/>
  <c r="AJ123" i="5"/>
  <c r="AJ131" i="5"/>
  <c r="AJ139" i="5"/>
  <c r="AJ148" i="5"/>
  <c r="AJ177" i="5"/>
  <c r="AJ182" i="5"/>
  <c r="AJ186" i="5"/>
  <c r="AJ190" i="5"/>
  <c r="AJ192" i="5"/>
  <c r="AJ198" i="5"/>
  <c r="AJ202" i="5"/>
  <c r="AJ206" i="5"/>
  <c r="AJ210" i="5"/>
  <c r="AJ214" i="5"/>
  <c r="AJ218" i="5"/>
  <c r="AJ222" i="5"/>
  <c r="AJ224" i="5"/>
  <c r="AJ229" i="5"/>
  <c r="AJ235" i="5"/>
  <c r="AJ238" i="5"/>
  <c r="AJ240" i="5"/>
  <c r="AJ242" i="5"/>
  <c r="AJ20" i="5"/>
  <c r="AJ30" i="5"/>
  <c r="AJ39" i="5"/>
  <c r="AJ57" i="5"/>
  <c r="AJ67" i="5"/>
  <c r="AJ76" i="5"/>
  <c r="AJ142" i="5"/>
  <c r="AJ178" i="5"/>
  <c r="AJ193" i="5"/>
  <c r="AJ200" i="5"/>
  <c r="AJ204" i="5"/>
  <c r="AJ208" i="5"/>
  <c r="AJ212" i="5"/>
  <c r="AJ216" i="5"/>
  <c r="AJ220" i="5"/>
  <c r="AJ225" i="5"/>
  <c r="AJ231" i="5"/>
  <c r="AJ234" i="5"/>
  <c r="AJ236" i="5"/>
  <c r="AJ241" i="5"/>
  <c r="AJ244" i="5"/>
  <c r="AJ246" i="5"/>
  <c r="AJ248" i="5"/>
  <c r="AJ250" i="5"/>
  <c r="AJ252" i="5"/>
  <c r="AJ254" i="5"/>
  <c r="AJ256" i="5"/>
  <c r="AJ258" i="5"/>
  <c r="AJ260" i="5"/>
  <c r="AJ262" i="5"/>
  <c r="AJ267" i="5"/>
  <c r="AJ273" i="5"/>
  <c r="AJ276" i="5"/>
  <c r="AJ278" i="5"/>
  <c r="AJ283" i="5"/>
  <c r="AJ289" i="5"/>
  <c r="AJ292" i="5"/>
  <c r="AJ294" i="5"/>
  <c r="AJ299" i="5"/>
  <c r="AJ305" i="5"/>
  <c r="AJ308" i="5"/>
  <c r="AJ312" i="5"/>
  <c r="AJ316" i="5"/>
  <c r="AJ320" i="5"/>
  <c r="AJ324" i="5"/>
  <c r="AJ119" i="5"/>
  <c r="AJ152" i="5"/>
  <c r="AJ179" i="5"/>
  <c r="AJ194" i="5"/>
  <c r="AJ227" i="5"/>
  <c r="AJ237" i="5"/>
  <c r="AJ247" i="5"/>
  <c r="AJ264" i="5"/>
  <c r="AJ277" i="5"/>
  <c r="AJ282" i="5"/>
  <c r="AJ287" i="5"/>
  <c r="AJ296" i="5"/>
  <c r="AJ309" i="5"/>
  <c r="AJ313" i="5"/>
  <c r="AJ317" i="5"/>
  <c r="AJ321" i="5"/>
  <c r="AJ325" i="5"/>
  <c r="AJ330" i="5"/>
  <c r="AJ335" i="5"/>
  <c r="AJ339" i="5"/>
  <c r="AJ343" i="5"/>
  <c r="AJ347" i="5"/>
  <c r="AJ351" i="5"/>
  <c r="AJ355" i="5"/>
  <c r="AJ359" i="5"/>
  <c r="AJ363" i="5"/>
  <c r="AJ367" i="5"/>
  <c r="AJ371" i="5"/>
  <c r="AJ375" i="5"/>
  <c r="AJ377" i="5"/>
  <c r="AJ379" i="5"/>
  <c r="AJ383" i="5"/>
  <c r="AJ388" i="5"/>
  <c r="AJ390" i="5"/>
  <c r="AJ394" i="5"/>
  <c r="AJ396" i="5"/>
  <c r="AJ398" i="5"/>
  <c r="AJ453" i="5"/>
  <c r="AJ459" i="5"/>
  <c r="AJ462" i="5"/>
  <c r="AJ464" i="5"/>
  <c r="AJ469" i="5"/>
  <c r="AJ475" i="5"/>
  <c r="AJ478" i="5"/>
  <c r="AJ480" i="5"/>
  <c r="AJ485" i="5"/>
  <c r="AJ491" i="5"/>
  <c r="AJ494" i="5"/>
  <c r="AJ496" i="5"/>
  <c r="AJ501" i="5"/>
  <c r="AJ507" i="5"/>
  <c r="AJ509" i="5"/>
  <c r="AJ511" i="5"/>
  <c r="AJ513" i="5"/>
  <c r="AJ517" i="5"/>
  <c r="AJ519" i="5"/>
  <c r="AJ523" i="5"/>
  <c r="AJ525" i="5"/>
  <c r="AJ527" i="5"/>
  <c r="AJ529" i="5"/>
  <c r="AJ533" i="5"/>
  <c r="AJ535" i="5"/>
  <c r="AJ539" i="5"/>
  <c r="AJ543" i="5"/>
  <c r="AJ547" i="5"/>
  <c r="AJ551" i="5"/>
  <c r="AJ555" i="5"/>
  <c r="AJ559" i="5"/>
  <c r="AJ23" i="5"/>
  <c r="AJ60" i="5"/>
  <c r="AJ95" i="5"/>
  <c r="AJ127" i="5"/>
  <c r="AJ196" i="5"/>
  <c r="AJ205" i="5"/>
  <c r="AJ213" i="5"/>
  <c r="AJ221" i="5"/>
  <c r="AJ230" i="5"/>
  <c r="AJ245" i="5"/>
  <c r="AJ249" i="5"/>
  <c r="AJ269" i="5"/>
  <c r="AJ274" i="5"/>
  <c r="AJ279" i="5"/>
  <c r="AJ288" i="5"/>
  <c r="AJ301" i="5"/>
  <c r="AJ306" i="5"/>
  <c r="AJ310" i="5"/>
  <c r="AJ314" i="5"/>
  <c r="AJ318" i="5"/>
  <c r="AJ322" i="5"/>
  <c r="AJ328" i="5"/>
  <c r="AJ331" i="5"/>
  <c r="AJ333" i="5"/>
  <c r="AJ337" i="5"/>
  <c r="AJ341" i="5"/>
  <c r="AJ345" i="5"/>
  <c r="AJ349" i="5"/>
  <c r="AJ353" i="5"/>
  <c r="AJ357" i="5"/>
  <c r="AJ361" i="5"/>
  <c r="AJ365" i="5"/>
  <c r="AJ369" i="5"/>
  <c r="AJ373" i="5"/>
  <c r="AJ381" i="5"/>
  <c r="AJ385" i="5"/>
  <c r="AJ387" i="5"/>
  <c r="AJ392" i="5"/>
  <c r="AJ395" i="5"/>
  <c r="AJ401" i="5"/>
  <c r="AJ405" i="5"/>
  <c r="AJ409" i="5"/>
  <c r="AJ413" i="5"/>
  <c r="AJ417" i="5"/>
  <c r="AJ421" i="5"/>
  <c r="AJ425" i="5"/>
  <c r="AJ429" i="5"/>
  <c r="AJ433" i="5"/>
  <c r="AJ103" i="5"/>
  <c r="AJ135" i="5"/>
  <c r="AJ232" i="5"/>
  <c r="AJ253" i="5"/>
  <c r="AJ257" i="5"/>
  <c r="AJ261" i="5"/>
  <c r="AJ266" i="5"/>
  <c r="AJ271" i="5"/>
  <c r="AJ280" i="5"/>
  <c r="AJ293" i="5"/>
  <c r="AJ298" i="5"/>
  <c r="AJ303" i="5"/>
  <c r="AJ323" i="5"/>
  <c r="AJ332" i="5"/>
  <c r="AJ378" i="5"/>
  <c r="AJ389" i="5"/>
  <c r="AJ391" i="5"/>
  <c r="AJ393" i="5"/>
  <c r="AJ399" i="5"/>
  <c r="AJ403" i="5"/>
  <c r="AJ407" i="5"/>
  <c r="AJ411" i="5"/>
  <c r="AJ415" i="5"/>
  <c r="AJ419" i="5"/>
  <c r="AJ423" i="5"/>
  <c r="AJ427" i="5"/>
  <c r="AJ431" i="5"/>
  <c r="AJ435" i="5"/>
  <c r="AJ439" i="5"/>
  <c r="AJ443" i="5"/>
  <c r="AJ447" i="5"/>
  <c r="AJ451" i="5"/>
  <c r="AJ454" i="5"/>
  <c r="AJ456" i="5"/>
  <c r="AJ461" i="5"/>
  <c r="AJ467" i="5"/>
  <c r="AJ470" i="5"/>
  <c r="AJ472" i="5"/>
  <c r="AJ477" i="5"/>
  <c r="AJ483" i="5"/>
  <c r="AJ486" i="5"/>
  <c r="AJ488" i="5"/>
  <c r="AJ493" i="5"/>
  <c r="AJ499" i="5"/>
  <c r="AJ502" i="5"/>
  <c r="AJ504" i="5"/>
  <c r="AJ508" i="5"/>
  <c r="AJ514" i="5"/>
  <c r="AJ516" i="5"/>
  <c r="AJ520" i="5"/>
  <c r="AJ524" i="5"/>
  <c r="AJ530" i="5"/>
  <c r="AJ532" i="5"/>
  <c r="AJ536" i="5"/>
  <c r="AJ538" i="5"/>
  <c r="AJ540" i="5"/>
  <c r="AJ542" i="5"/>
  <c r="AJ544" i="5"/>
  <c r="AJ546" i="5"/>
  <c r="AJ548" i="5"/>
  <c r="AJ550" i="5"/>
  <c r="AJ552" i="5"/>
  <c r="AJ144" i="5"/>
  <c r="AJ209" i="5"/>
  <c r="AJ295" i="5"/>
  <c r="AJ327" i="5"/>
  <c r="AJ336" i="5"/>
  <c r="AJ344" i="5"/>
  <c r="AJ352" i="5"/>
  <c r="AJ360" i="5"/>
  <c r="AJ368" i="5"/>
  <c r="AJ376" i="5"/>
  <c r="AJ384" i="5"/>
  <c r="AJ400" i="5"/>
  <c r="AJ408" i="5"/>
  <c r="AJ416" i="5"/>
  <c r="AJ424" i="5"/>
  <c r="AJ432" i="5"/>
  <c r="AJ437" i="5"/>
  <c r="AJ441" i="5"/>
  <c r="AJ445" i="5"/>
  <c r="AJ449" i="5"/>
  <c r="AJ458" i="5"/>
  <c r="AJ471" i="5"/>
  <c r="AJ476" i="5"/>
  <c r="AJ481" i="5"/>
  <c r="AJ490" i="5"/>
  <c r="AJ503" i="5"/>
  <c r="AJ515" i="5"/>
  <c r="AJ531" i="5"/>
  <c r="AJ560" i="5"/>
  <c r="AJ463" i="5"/>
  <c r="AJ473" i="5"/>
  <c r="AJ495" i="5"/>
  <c r="AJ500" i="5"/>
  <c r="AJ512" i="5"/>
  <c r="AJ521" i="5"/>
  <c r="AJ537" i="5"/>
  <c r="AJ541" i="5"/>
  <c r="AJ549" i="5"/>
  <c r="AJ553" i="5"/>
  <c r="AJ374" i="5"/>
  <c r="AJ406" i="5"/>
  <c r="AJ422" i="5"/>
  <c r="AJ440" i="5"/>
  <c r="AJ448" i="5"/>
  <c r="AJ466" i="5"/>
  <c r="AJ479" i="5"/>
  <c r="AJ41" i="5"/>
  <c r="AJ217" i="5"/>
  <c r="AJ263" i="5"/>
  <c r="AJ329" i="5"/>
  <c r="AJ338" i="5"/>
  <c r="AJ346" i="5"/>
  <c r="AJ354" i="5"/>
  <c r="AJ362" i="5"/>
  <c r="AJ370" i="5"/>
  <c r="AJ386" i="5"/>
  <c r="AJ402" i="5"/>
  <c r="AJ410" i="5"/>
  <c r="AJ418" i="5"/>
  <c r="AJ426" i="5"/>
  <c r="AJ434" i="5"/>
  <c r="AJ438" i="5"/>
  <c r="AJ442" i="5"/>
  <c r="AJ446" i="5"/>
  <c r="AJ450" i="5"/>
  <c r="AJ468" i="5"/>
  <c r="AJ482" i="5"/>
  <c r="AJ505" i="5"/>
  <c r="AJ528" i="5"/>
  <c r="AJ545" i="5"/>
  <c r="AJ558" i="5"/>
  <c r="AJ382" i="5"/>
  <c r="AJ436" i="5"/>
  <c r="AJ452" i="5"/>
  <c r="AJ489" i="5"/>
  <c r="AJ557" i="5"/>
  <c r="AJ78" i="5"/>
  <c r="AJ285" i="5"/>
  <c r="AJ304" i="5"/>
  <c r="AJ340" i="5"/>
  <c r="AJ348" i="5"/>
  <c r="AJ356" i="5"/>
  <c r="AJ364" i="5"/>
  <c r="AJ372" i="5"/>
  <c r="AJ380" i="5"/>
  <c r="AJ404" i="5"/>
  <c r="AJ412" i="5"/>
  <c r="AJ420" i="5"/>
  <c r="AJ428" i="5"/>
  <c r="AJ455" i="5"/>
  <c r="AJ460" i="5"/>
  <c r="AJ465" i="5"/>
  <c r="AJ474" i="5"/>
  <c r="AJ487" i="5"/>
  <c r="AJ492" i="5"/>
  <c r="AJ497" i="5"/>
  <c r="AJ506" i="5"/>
  <c r="AJ510" i="5"/>
  <c r="AJ518" i="5"/>
  <c r="AJ522" i="5"/>
  <c r="AJ526" i="5"/>
  <c r="AJ534" i="5"/>
  <c r="AJ556" i="5"/>
  <c r="AJ19" i="5"/>
  <c r="AJ111" i="5"/>
  <c r="AJ201" i="5"/>
  <c r="AJ272" i="5"/>
  <c r="AJ290" i="5"/>
  <c r="AJ334" i="5"/>
  <c r="AJ342" i="5"/>
  <c r="AJ350" i="5"/>
  <c r="AJ358" i="5"/>
  <c r="AJ366" i="5"/>
  <c r="AJ397" i="5"/>
  <c r="AJ414" i="5"/>
  <c r="AJ430" i="5"/>
  <c r="AJ444" i="5"/>
  <c r="AJ457" i="5"/>
  <c r="AJ484" i="5"/>
  <c r="AJ498" i="5"/>
  <c r="AJ554" i="5"/>
  <c r="B217" i="2"/>
  <c r="B218" i="2" s="1"/>
  <c r="AT8" i="5"/>
  <c r="AV8" i="5" s="1"/>
  <c r="AT7" i="5"/>
  <c r="BA7" i="5"/>
  <c r="BB7" i="5"/>
  <c r="AX7" i="5"/>
  <c r="AY7" i="5"/>
  <c r="B183" i="2"/>
  <c r="O12" i="5"/>
  <c r="AJ12" i="5" s="1"/>
  <c r="AZ8" i="5"/>
  <c r="BB8" i="5" s="1"/>
  <c r="O13" i="5"/>
  <c r="AJ13" i="5" s="1"/>
  <c r="AW8" i="5"/>
  <c r="AY8" i="5" s="1"/>
  <c r="AS9" i="5"/>
  <c r="AS10" i="5"/>
  <c r="AS12" i="5"/>
  <c r="AS13" i="5"/>
  <c r="AS11" i="5"/>
  <c r="AS31" i="5"/>
  <c r="AS8" i="5"/>
  <c r="AS539" i="5"/>
  <c r="AS430" i="5"/>
  <c r="AS522" i="5"/>
  <c r="AS471" i="5"/>
  <c r="AS537" i="5"/>
  <c r="AS534" i="5"/>
  <c r="AS466" i="5"/>
  <c r="AS482" i="5"/>
  <c r="AS448" i="5"/>
  <c r="AS362" i="5"/>
  <c r="AS245" i="5"/>
  <c r="AS243" i="5"/>
  <c r="AS540" i="5"/>
  <c r="AS531" i="5"/>
  <c r="AS445" i="5"/>
  <c r="AS521" i="5"/>
  <c r="AS467" i="5"/>
  <c r="AS514" i="5"/>
  <c r="AS453" i="5"/>
  <c r="AS517" i="5"/>
  <c r="AS415" i="5"/>
  <c r="AS337" i="5"/>
  <c r="AS273" i="5"/>
  <c r="AS287" i="5"/>
  <c r="AS256" i="5"/>
  <c r="AS316" i="5"/>
  <c r="AS196" i="5"/>
  <c r="AS199" i="5"/>
  <c r="AS151" i="5"/>
  <c r="AS494" i="5"/>
  <c r="AS487" i="5"/>
  <c r="AS427" i="5"/>
  <c r="AS511" i="5"/>
  <c r="AS461" i="5"/>
  <c r="AS505" i="5"/>
  <c r="AS437" i="5"/>
  <c r="AS501" i="5"/>
  <c r="AS382" i="5"/>
  <c r="AS417" i="5"/>
  <c r="AS438" i="5"/>
  <c r="AS248" i="5"/>
  <c r="AS318" i="5"/>
  <c r="AS289" i="5"/>
  <c r="AS235" i="5"/>
  <c r="AS180" i="5"/>
  <c r="AS89" i="5"/>
  <c r="AS379" i="5"/>
  <c r="AS339" i="5"/>
  <c r="AS298" i="5"/>
  <c r="AS228" i="5"/>
  <c r="AS90" i="5"/>
  <c r="AS510" i="5"/>
  <c r="AS547" i="5"/>
  <c r="AS551" i="5"/>
  <c r="AS555" i="5"/>
  <c r="AS495" i="5"/>
  <c r="AS444" i="5"/>
  <c r="AS478" i="5"/>
  <c r="AS366" i="5"/>
  <c r="AS483" i="5"/>
  <c r="AS408" i="5"/>
  <c r="AS373" i="5"/>
  <c r="AS387" i="5"/>
  <c r="AS329" i="5"/>
  <c r="AS281" i="5"/>
  <c r="AS250" i="5"/>
  <c r="AS206" i="5"/>
  <c r="AS146" i="5"/>
  <c r="AS24" i="5"/>
  <c r="AS553" i="5"/>
  <c r="AS450" i="5"/>
  <c r="AS481" i="5"/>
  <c r="AS398" i="5"/>
  <c r="AS513" i="5"/>
  <c r="AS543" i="5"/>
  <c r="AS559" i="5"/>
  <c r="AS548" i="5"/>
  <c r="AS552" i="5"/>
  <c r="AS469" i="5"/>
  <c r="AS556" i="5"/>
  <c r="AS523" i="5"/>
  <c r="AS500" i="5"/>
  <c r="AS470" i="5"/>
  <c r="AS446" i="5"/>
  <c r="AS223" i="5"/>
  <c r="AS480" i="5"/>
  <c r="AS457" i="5"/>
  <c r="AS378" i="5"/>
  <c r="AS526" i="5"/>
  <c r="AS485" i="5"/>
  <c r="AS422" i="5"/>
  <c r="AS412" i="5"/>
  <c r="AS338" i="5"/>
  <c r="AS375" i="5"/>
  <c r="AS280" i="5"/>
  <c r="AS391" i="5"/>
  <c r="AS293" i="5"/>
  <c r="AS330" i="5"/>
  <c r="AS262" i="5"/>
  <c r="AS285" i="5"/>
  <c r="AS319" i="5"/>
  <c r="AS258" i="5"/>
  <c r="AS197" i="5"/>
  <c r="AS212" i="5"/>
  <c r="AS207" i="5"/>
  <c r="AS157" i="5"/>
  <c r="AS113" i="5"/>
  <c r="AS91" i="5"/>
  <c r="AS92" i="5"/>
  <c r="AS23" i="5"/>
  <c r="AS165" i="5"/>
  <c r="AS129" i="5"/>
  <c r="AS81" i="5"/>
  <c r="AS70" i="5"/>
  <c r="AS19" i="5"/>
  <c r="AS560" i="5"/>
  <c r="AS502" i="5"/>
  <c r="AS535" i="5"/>
  <c r="AS509" i="5"/>
  <c r="AS479" i="5"/>
  <c r="AS455" i="5"/>
  <c r="AS426" i="5"/>
  <c r="AS504" i="5"/>
  <c r="AS468" i="5"/>
  <c r="AS424" i="5"/>
  <c r="AS533" i="5"/>
  <c r="AS497" i="5"/>
  <c r="AS447" i="5"/>
  <c r="AS364" i="5"/>
  <c r="AS377" i="5"/>
  <c r="AS414" i="5"/>
  <c r="AS332" i="5"/>
  <c r="AS428" i="5"/>
  <c r="AS355" i="5"/>
  <c r="AS360" i="5"/>
  <c r="AS294" i="5"/>
  <c r="AS313" i="5"/>
  <c r="AS227" i="5"/>
  <c r="AS286" i="5"/>
  <c r="AS226" i="5"/>
  <c r="AS233" i="5"/>
  <c r="AS242" i="5"/>
  <c r="AS176" i="5"/>
  <c r="AS161" i="5"/>
  <c r="AS128" i="5"/>
  <c r="AS54" i="5"/>
  <c r="AS68" i="5"/>
  <c r="AS55" i="5"/>
  <c r="AS67" i="5"/>
  <c r="AS20" i="5"/>
  <c r="AS524" i="5"/>
  <c r="AS489" i="5"/>
  <c r="AS544" i="5"/>
  <c r="AS518" i="5"/>
  <c r="AS401" i="5"/>
  <c r="AS541" i="5"/>
  <c r="AS557" i="5"/>
  <c r="AS508" i="5"/>
  <c r="AS356" i="5"/>
  <c r="AS530" i="5"/>
  <c r="AS488" i="5"/>
  <c r="AS429" i="5"/>
  <c r="AS322" i="5"/>
  <c r="AS545" i="5"/>
  <c r="AS528" i="5"/>
  <c r="AS519" i="5"/>
  <c r="AS503" i="5"/>
  <c r="AS484" i="5"/>
  <c r="AS473" i="5"/>
  <c r="AS463" i="5"/>
  <c r="AS449" i="5"/>
  <c r="AS432" i="5"/>
  <c r="AS345" i="5"/>
  <c r="AS507" i="5"/>
  <c r="AS486" i="5"/>
  <c r="AS474" i="5"/>
  <c r="AS459" i="5"/>
  <c r="AS439" i="5"/>
  <c r="AS421" i="5"/>
  <c r="AS536" i="5"/>
  <c r="AS527" i="5"/>
  <c r="AS515" i="5"/>
  <c r="AS491" i="5"/>
  <c r="AS460" i="5"/>
  <c r="AS434" i="5"/>
  <c r="AS397" i="5"/>
  <c r="AS419" i="5"/>
  <c r="AS389" i="5"/>
  <c r="AS363" i="5"/>
  <c r="AS314" i="5"/>
  <c r="AS390" i="5"/>
  <c r="AS351" i="5"/>
  <c r="AS306" i="5"/>
  <c r="AS208" i="5"/>
  <c r="AS405" i="5"/>
  <c r="AS372" i="5"/>
  <c r="AS340" i="5"/>
  <c r="AS260" i="5"/>
  <c r="AS344" i="5"/>
  <c r="AS310" i="5"/>
  <c r="AS272" i="5"/>
  <c r="AS215" i="5"/>
  <c r="AS296" i="5"/>
  <c r="AS261" i="5"/>
  <c r="AS328" i="5"/>
  <c r="AS299" i="5"/>
  <c r="AS276" i="5"/>
  <c r="AS241" i="5"/>
  <c r="AS205" i="5"/>
  <c r="AS240" i="5"/>
  <c r="AS221" i="5"/>
  <c r="AS187" i="5"/>
  <c r="AS220" i="5"/>
  <c r="AS82" i="5"/>
  <c r="AS185" i="5"/>
  <c r="AS188" i="5"/>
  <c r="AS132" i="5"/>
  <c r="AS144" i="5"/>
  <c r="AS110" i="5"/>
  <c r="AS109" i="5"/>
  <c r="AS98" i="5"/>
  <c r="AS29" i="5"/>
  <c r="AS59" i="5"/>
  <c r="AS50" i="5"/>
  <c r="AS27" i="5"/>
  <c r="AS550" i="5"/>
  <c r="AS493" i="5"/>
  <c r="AS549" i="5"/>
  <c r="AS538" i="5"/>
  <c r="AS443" i="5"/>
  <c r="AS542" i="5"/>
  <c r="AS558" i="5"/>
  <c r="AS525" i="5"/>
  <c r="AS451" i="5"/>
  <c r="AS546" i="5"/>
  <c r="AS499" i="5"/>
  <c r="AS431" i="5"/>
  <c r="AS374" i="5"/>
  <c r="AS554" i="5"/>
  <c r="AS529" i="5"/>
  <c r="AS520" i="5"/>
  <c r="AS506" i="5"/>
  <c r="AS492" i="5"/>
  <c r="AS476" i="5"/>
  <c r="AS465" i="5"/>
  <c r="AS454" i="5"/>
  <c r="AS440" i="5"/>
  <c r="AS420" i="5"/>
  <c r="AS512" i="5"/>
  <c r="AS498" i="5"/>
  <c r="AS477" i="5"/>
  <c r="AS462" i="5"/>
  <c r="AS452" i="5"/>
  <c r="AS423" i="5"/>
  <c r="AS359" i="5"/>
  <c r="AS532" i="5"/>
  <c r="AS516" i="5"/>
  <c r="AS496" i="5"/>
  <c r="AS464" i="5"/>
  <c r="AS435" i="5"/>
  <c r="AS400" i="5"/>
  <c r="AS263" i="5"/>
  <c r="AS392" i="5"/>
  <c r="AS365" i="5"/>
  <c r="AS320" i="5"/>
  <c r="AS402" i="5"/>
  <c r="AS353" i="5"/>
  <c r="AS309" i="5"/>
  <c r="AS239" i="5"/>
  <c r="AS407" i="5"/>
  <c r="AS376" i="5"/>
  <c r="AS342" i="5"/>
  <c r="AS265" i="5"/>
  <c r="AS350" i="5"/>
  <c r="AS317" i="5"/>
  <c r="AS275" i="5"/>
  <c r="AS218" i="5"/>
  <c r="AS300" i="5"/>
  <c r="AS264" i="5"/>
  <c r="AS333" i="5"/>
  <c r="AS304" i="5"/>
  <c r="AS278" i="5"/>
  <c r="AS244" i="5"/>
  <c r="AS210" i="5"/>
  <c r="AS139" i="5"/>
  <c r="AS222" i="5"/>
  <c r="AS190" i="5"/>
  <c r="AS224" i="5"/>
  <c r="AS173" i="5"/>
  <c r="AS159" i="5"/>
  <c r="AS108" i="5"/>
  <c r="AS136" i="5"/>
  <c r="AS150" i="5"/>
  <c r="AS111" i="5"/>
  <c r="AS101" i="5"/>
  <c r="AS80" i="5"/>
  <c r="AS64" i="5"/>
  <c r="AS63" i="5"/>
  <c r="AS51" i="5"/>
  <c r="AS28" i="5"/>
  <c r="AS32" i="5"/>
  <c r="AS34" i="5"/>
  <c r="AS26" i="5"/>
  <c r="AS56" i="5"/>
  <c r="AS46" i="5"/>
  <c r="AS33" i="5"/>
  <c r="AS73" i="5"/>
  <c r="AS71" i="5"/>
  <c r="AS87" i="5"/>
  <c r="AS84" i="5"/>
  <c r="AS94" i="5"/>
  <c r="AS126" i="5"/>
  <c r="AS93" i="5"/>
  <c r="AS116" i="5"/>
  <c r="AS135" i="5"/>
  <c r="AS153" i="5"/>
  <c r="AS114" i="5"/>
  <c r="AS145" i="5"/>
  <c r="AS170" i="5"/>
  <c r="AS119" i="5"/>
  <c r="AS167" i="5"/>
  <c r="AS164" i="5"/>
  <c r="AS200" i="5"/>
  <c r="AS179" i="5"/>
  <c r="AS209" i="5"/>
  <c r="AS229" i="5"/>
  <c r="AS251" i="5"/>
  <c r="AS191" i="5"/>
  <c r="AS213" i="5"/>
  <c r="AS225" i="5"/>
  <c r="AS236" i="5"/>
  <c r="AS177" i="5"/>
  <c r="AS202" i="5"/>
  <c r="AS214" i="5"/>
  <c r="AS231" i="5"/>
  <c r="AS201" i="5"/>
  <c r="AS266" i="5"/>
  <c r="AS279" i="5"/>
  <c r="AS292" i="5"/>
  <c r="AS308" i="5"/>
  <c r="AS325" i="5"/>
  <c r="AS171" i="5"/>
  <c r="AS253" i="5"/>
  <c r="AS269" i="5"/>
  <c r="AS288" i="5"/>
  <c r="AS303" i="5"/>
  <c r="AS323" i="5"/>
  <c r="AS234" i="5"/>
  <c r="AS267" i="5"/>
  <c r="AS284" i="5"/>
  <c r="AS302" i="5"/>
  <c r="AS321" i="5"/>
  <c r="AS331" i="5"/>
  <c r="AS352" i="5"/>
  <c r="AS252" i="5"/>
  <c r="AS274" i="5"/>
  <c r="AS301" i="5"/>
  <c r="AS349" i="5"/>
  <c r="AS367" i="5"/>
  <c r="AS381" i="5"/>
  <c r="AS393" i="5"/>
  <c r="AS409" i="5"/>
  <c r="AS441" i="5"/>
  <c r="AS254" i="5"/>
  <c r="AS283" i="5"/>
  <c r="AS312" i="5"/>
  <c r="AS343" i="5"/>
  <c r="AS361" i="5"/>
  <c r="AS383" i="5"/>
  <c r="AS404" i="5"/>
  <c r="AS418" i="5"/>
  <c r="AS334" i="5"/>
  <c r="AS346" i="5"/>
  <c r="AS370" i="5"/>
  <c r="AS380" i="5"/>
  <c r="AS395" i="5"/>
  <c r="AS413" i="5"/>
  <c r="AS336" i="5"/>
  <c r="AS388" i="5"/>
  <c r="AS403" i="5"/>
  <c r="AS425" i="5"/>
  <c r="AS436" i="5"/>
  <c r="AS456" i="5"/>
  <c r="AS472" i="5"/>
  <c r="AS490" i="5"/>
  <c r="AS39" i="5"/>
  <c r="AS43" i="5"/>
  <c r="AS41" i="5"/>
  <c r="AS60" i="5"/>
  <c r="AS49" i="5"/>
  <c r="AS38" i="5"/>
  <c r="AS77" i="5"/>
  <c r="AS79" i="5"/>
  <c r="AS96" i="5"/>
  <c r="AS86" i="5"/>
  <c r="AS106" i="5"/>
  <c r="AS148" i="5"/>
  <c r="AS102" i="5"/>
  <c r="AS123" i="5"/>
  <c r="AS140" i="5"/>
  <c r="AS155" i="5"/>
  <c r="AS127" i="5"/>
  <c r="AS120" i="5"/>
  <c r="AS181" i="5"/>
  <c r="AS137" i="5"/>
  <c r="AS175" i="5"/>
  <c r="AS166" i="5"/>
  <c r="AS204" i="5"/>
  <c r="AS186" i="5"/>
  <c r="AS216" i="5"/>
  <c r="AS232" i="5"/>
  <c r="AS178" i="5"/>
  <c r="AS195" i="5"/>
  <c r="AS217" i="5"/>
  <c r="AS230" i="5"/>
  <c r="AS238" i="5"/>
  <c r="AS194" i="5"/>
  <c r="AS203" i="5"/>
  <c r="AS219" i="5"/>
  <c r="AS237" i="5"/>
  <c r="AS246" i="5"/>
  <c r="AS270" i="5"/>
  <c r="AS282" i="5"/>
  <c r="AS297" i="5"/>
  <c r="AS311" i="5"/>
  <c r="AS327" i="5"/>
  <c r="AS183" i="5"/>
  <c r="AS259" i="5"/>
  <c r="AS271" i="5"/>
  <c r="AS291" i="5"/>
  <c r="AS307" i="5"/>
  <c r="AS198" i="5"/>
  <c r="AS247" i="5"/>
  <c r="AS268" i="5"/>
  <c r="AS290" i="5"/>
  <c r="AS305" i="5"/>
  <c r="AS326" i="5"/>
  <c r="AS341" i="5"/>
  <c r="AS358" i="5"/>
  <c r="AS255" i="5"/>
  <c r="AS277" i="5"/>
  <c r="AS324" i="5"/>
  <c r="AS354" i="5"/>
  <c r="AS368" i="5"/>
  <c r="AS386" i="5"/>
  <c r="AS396" i="5"/>
  <c r="AS410" i="5"/>
  <c r="AS193" i="5"/>
  <c r="AS257" i="5"/>
  <c r="AS295" i="5"/>
  <c r="AS315" i="5"/>
  <c r="AS347" i="5"/>
  <c r="AS369" i="5"/>
  <c r="AS385" i="5"/>
  <c r="AS411" i="5"/>
  <c r="AS249" i="5"/>
  <c r="AS335" i="5"/>
  <c r="AS357" i="5"/>
  <c r="AS371" i="5"/>
  <c r="AS384" i="5"/>
  <c r="AS399" i="5"/>
  <c r="AS416" i="5"/>
  <c r="AS348" i="5"/>
  <c r="AS394" i="5"/>
  <c r="AS406" i="5"/>
  <c r="AS433" i="5"/>
  <c r="AS442" i="5"/>
  <c r="AS458" i="5"/>
  <c r="AS475" i="5"/>
  <c r="AS174" i="5"/>
  <c r="AS118" i="5"/>
  <c r="AS162" i="5"/>
  <c r="AS134" i="5"/>
  <c r="AS182" i="5"/>
  <c r="AS163" i="5"/>
  <c r="AS143" i="5"/>
  <c r="AS115" i="5"/>
  <c r="AS88" i="5"/>
  <c r="AS149" i="5"/>
  <c r="AS131" i="5"/>
  <c r="AS117" i="5"/>
  <c r="AS107" i="5"/>
  <c r="AS156" i="5"/>
  <c r="AS124" i="5"/>
  <c r="AS104" i="5"/>
  <c r="AS95" i="5"/>
  <c r="AS57" i="5"/>
  <c r="AS61" i="5"/>
  <c r="AS74" i="5"/>
  <c r="AS78" i="5"/>
  <c r="AS69" i="5"/>
  <c r="AS66" i="5"/>
  <c r="AS47" i="5"/>
  <c r="AS65" i="5"/>
  <c r="AS52" i="5"/>
  <c r="AS25" i="5"/>
  <c r="AS40" i="5"/>
  <c r="AS42" i="5"/>
  <c r="AS21" i="5"/>
  <c r="AS211" i="5"/>
  <c r="AS189" i="5"/>
  <c r="AS158" i="5"/>
  <c r="AS192" i="5"/>
  <c r="AS168" i="5"/>
  <c r="AS130" i="5"/>
  <c r="AS172" i="5"/>
  <c r="AS152" i="5"/>
  <c r="AS122" i="5"/>
  <c r="AS184" i="5"/>
  <c r="AS169" i="5"/>
  <c r="AS138" i="5"/>
  <c r="AS141" i="5"/>
  <c r="AS121" i="5"/>
  <c r="AS103" i="5"/>
  <c r="AS154" i="5"/>
  <c r="AS147" i="5"/>
  <c r="AS133" i="5"/>
  <c r="AS125" i="5"/>
  <c r="AS112" i="5"/>
  <c r="AS105" i="5"/>
  <c r="AS160" i="5"/>
  <c r="AS142" i="5"/>
  <c r="AS85" i="5"/>
  <c r="AS99" i="5"/>
  <c r="AS100" i="5"/>
  <c r="AS83" i="5"/>
  <c r="AS97" i="5"/>
  <c r="AS48" i="5"/>
  <c r="AS75" i="5"/>
  <c r="AS35" i="5"/>
  <c r="AS76" i="5"/>
  <c r="AS53" i="5"/>
  <c r="AS30" i="5"/>
  <c r="AS58" i="5"/>
  <c r="AS72" i="5"/>
  <c r="AS62" i="5"/>
  <c r="AS44" i="5"/>
  <c r="AS37" i="5"/>
  <c r="AS22" i="5"/>
  <c r="AS36" i="5"/>
  <c r="AS45" i="5"/>
  <c r="AZ29" i="5"/>
  <c r="AZ34" i="5"/>
  <c r="AZ36" i="5"/>
  <c r="AZ40" i="5"/>
  <c r="AZ45" i="5"/>
  <c r="AZ22" i="5"/>
  <c r="AZ25" i="5"/>
  <c r="AZ26" i="5"/>
  <c r="AZ27" i="5"/>
  <c r="AZ31" i="5"/>
  <c r="AZ37" i="5"/>
  <c r="AZ43" i="5"/>
  <c r="AZ20" i="5"/>
  <c r="AZ30" i="5"/>
  <c r="AZ33" i="5"/>
  <c r="AZ38" i="5"/>
  <c r="AZ41" i="5"/>
  <c r="AZ44" i="5"/>
  <c r="AZ46" i="5"/>
  <c r="AZ50" i="5"/>
  <c r="AZ32" i="5"/>
  <c r="AZ35" i="5"/>
  <c r="AZ42" i="5"/>
  <c r="AZ56" i="5"/>
  <c r="AZ60" i="5"/>
  <c r="AZ64" i="5"/>
  <c r="AZ67" i="5"/>
  <c r="AZ68" i="5"/>
  <c r="AZ73" i="5"/>
  <c r="AZ21" i="5"/>
  <c r="AZ28" i="5"/>
  <c r="AZ39" i="5"/>
  <c r="AZ48" i="5"/>
  <c r="AZ52" i="5"/>
  <c r="AZ63" i="5"/>
  <c r="AZ24" i="5"/>
  <c r="AZ51" i="5"/>
  <c r="AZ55" i="5"/>
  <c r="AZ58" i="5"/>
  <c r="AZ61" i="5"/>
  <c r="AZ66" i="5"/>
  <c r="AZ54" i="5"/>
  <c r="AZ57" i="5"/>
  <c r="AZ70" i="5"/>
  <c r="AZ72" i="5"/>
  <c r="AZ78" i="5"/>
  <c r="AZ49" i="5"/>
  <c r="AZ53" i="5"/>
  <c r="AZ71" i="5"/>
  <c r="AZ75" i="5"/>
  <c r="AZ79" i="5"/>
  <c r="AZ23" i="5"/>
  <c r="AZ47" i="5"/>
  <c r="AZ59" i="5"/>
  <c r="AZ62" i="5"/>
  <c r="AZ65" i="5"/>
  <c r="AZ69" i="5"/>
  <c r="AZ76" i="5"/>
  <c r="AZ77" i="5"/>
  <c r="AZ80" i="5"/>
  <c r="AZ82" i="5"/>
  <c r="AZ84" i="5"/>
  <c r="AZ93" i="5"/>
  <c r="AZ83" i="5"/>
  <c r="AZ88" i="5"/>
  <c r="AZ89" i="5"/>
  <c r="AZ90" i="5"/>
  <c r="AZ91" i="5"/>
  <c r="AZ92" i="5"/>
  <c r="AZ95" i="5"/>
  <c r="AZ96" i="5"/>
  <c r="AZ97" i="5"/>
  <c r="AZ98" i="5"/>
  <c r="AZ74" i="5"/>
  <c r="AZ102" i="5"/>
  <c r="AZ105" i="5"/>
  <c r="AZ108" i="5"/>
  <c r="AZ86" i="5"/>
  <c r="AZ87" i="5"/>
  <c r="AZ103" i="5"/>
  <c r="AZ109" i="5"/>
  <c r="AZ94" i="5"/>
  <c r="AZ99" i="5"/>
  <c r="AZ110" i="5"/>
  <c r="AZ114" i="5"/>
  <c r="AZ121" i="5"/>
  <c r="AZ129" i="5"/>
  <c r="AZ131" i="5"/>
  <c r="AZ140" i="5"/>
  <c r="AZ144" i="5"/>
  <c r="AZ151" i="5"/>
  <c r="AZ81" i="5"/>
  <c r="AZ85" i="5"/>
  <c r="AZ100" i="5"/>
  <c r="AZ106" i="5"/>
  <c r="AZ111" i="5"/>
  <c r="AZ112" i="5"/>
  <c r="AZ117" i="5"/>
  <c r="AZ120" i="5"/>
  <c r="AZ123" i="5"/>
  <c r="AZ125" i="5"/>
  <c r="AZ126" i="5"/>
  <c r="AZ128" i="5"/>
  <c r="AZ133" i="5"/>
  <c r="AZ135" i="5"/>
  <c r="AZ138" i="5"/>
  <c r="AZ146" i="5"/>
  <c r="AZ147" i="5"/>
  <c r="AZ149" i="5"/>
  <c r="AZ154" i="5"/>
  <c r="AZ155" i="5"/>
  <c r="AZ107" i="5"/>
  <c r="AZ113" i="5"/>
  <c r="AZ119" i="5"/>
  <c r="AZ124" i="5"/>
  <c r="AZ127" i="5"/>
  <c r="AZ137" i="5"/>
  <c r="AZ139" i="5"/>
  <c r="AZ142" i="5"/>
  <c r="AZ145" i="5"/>
  <c r="AZ148" i="5"/>
  <c r="AZ101" i="5"/>
  <c r="AZ104" i="5"/>
  <c r="AZ132" i="5"/>
  <c r="AZ160" i="5"/>
  <c r="AZ163" i="5"/>
  <c r="AZ167" i="5"/>
  <c r="AZ169" i="5"/>
  <c r="AZ175" i="5"/>
  <c r="AZ177" i="5"/>
  <c r="AZ181" i="5"/>
  <c r="AZ116" i="5"/>
  <c r="AZ141" i="5"/>
  <c r="AZ150" i="5"/>
  <c r="AZ153" i="5"/>
  <c r="AZ159" i="5"/>
  <c r="AZ164" i="5"/>
  <c r="AZ166" i="5"/>
  <c r="AZ170" i="5"/>
  <c r="AZ172" i="5"/>
  <c r="AZ176" i="5"/>
  <c r="AZ180" i="5"/>
  <c r="AZ185" i="5"/>
  <c r="AZ115" i="5"/>
  <c r="AZ122" i="5"/>
  <c r="AZ134" i="5"/>
  <c r="AZ143" i="5"/>
  <c r="AZ152" i="5"/>
  <c r="AZ156" i="5"/>
  <c r="AZ158" i="5"/>
  <c r="AZ162" i="5"/>
  <c r="AZ168" i="5"/>
  <c r="AZ173" i="5"/>
  <c r="AZ183" i="5"/>
  <c r="AZ187" i="5"/>
  <c r="AZ197" i="5"/>
  <c r="AZ198" i="5"/>
  <c r="AZ201" i="5"/>
  <c r="AZ203" i="5"/>
  <c r="AZ118" i="5"/>
  <c r="AZ130" i="5"/>
  <c r="AZ136" i="5"/>
  <c r="AZ165" i="5"/>
  <c r="AZ171" i="5"/>
  <c r="AZ174" i="5"/>
  <c r="AZ190" i="5"/>
  <c r="AZ205" i="5"/>
  <c r="AZ208" i="5"/>
  <c r="AZ211" i="5"/>
  <c r="AZ213" i="5"/>
  <c r="AZ216" i="5"/>
  <c r="AZ221" i="5"/>
  <c r="AZ225" i="5"/>
  <c r="AZ230" i="5"/>
  <c r="AZ233" i="5"/>
  <c r="AZ236" i="5"/>
  <c r="AZ243" i="5"/>
  <c r="AZ179" i="5"/>
  <c r="AZ182" i="5"/>
  <c r="AZ194" i="5"/>
  <c r="AZ195" i="5"/>
  <c r="AZ196" i="5"/>
  <c r="AZ204" i="5"/>
  <c r="AZ210" i="5"/>
  <c r="AZ212" i="5"/>
  <c r="AZ214" i="5"/>
  <c r="AZ217" i="5"/>
  <c r="AZ219" i="5"/>
  <c r="AZ222" i="5"/>
  <c r="AZ226" i="5"/>
  <c r="AZ228" i="5"/>
  <c r="AZ235" i="5"/>
  <c r="AZ238" i="5"/>
  <c r="AZ242" i="5"/>
  <c r="AZ244" i="5"/>
  <c r="AZ161" i="5"/>
  <c r="AZ178" i="5"/>
  <c r="AZ184" i="5"/>
  <c r="AZ186" i="5"/>
  <c r="AZ199" i="5"/>
  <c r="AZ200" i="5"/>
  <c r="AZ202" i="5"/>
  <c r="AZ215" i="5"/>
  <c r="AZ231" i="5"/>
  <c r="AZ234" i="5"/>
  <c r="AZ237" i="5"/>
  <c r="AZ239" i="5"/>
  <c r="AZ240" i="5"/>
  <c r="AZ189" i="5"/>
  <c r="AZ191" i="5"/>
  <c r="AZ193" i="5"/>
  <c r="AZ220" i="5"/>
  <c r="AZ223" i="5"/>
  <c r="AZ246" i="5"/>
  <c r="AZ259" i="5"/>
  <c r="AZ261" i="5"/>
  <c r="AZ264" i="5"/>
  <c r="AZ266" i="5"/>
  <c r="AZ271" i="5"/>
  <c r="AZ274" i="5"/>
  <c r="AZ276" i="5"/>
  <c r="AZ279" i="5"/>
  <c r="AZ281" i="5"/>
  <c r="AZ282" i="5"/>
  <c r="AZ285" i="5"/>
  <c r="AZ288" i="5"/>
  <c r="AZ291" i="5"/>
  <c r="AZ296" i="5"/>
  <c r="AZ300" i="5"/>
  <c r="AZ303" i="5"/>
  <c r="AZ307" i="5"/>
  <c r="AZ313" i="5"/>
  <c r="AZ318" i="5"/>
  <c r="AZ323" i="5"/>
  <c r="AZ327" i="5"/>
  <c r="AZ157" i="5"/>
  <c r="AZ207" i="5"/>
  <c r="AZ247" i="5"/>
  <c r="AZ253" i="5"/>
  <c r="AZ256" i="5"/>
  <c r="AZ262" i="5"/>
  <c r="AZ269" i="5"/>
  <c r="AZ272" i="5"/>
  <c r="AZ278" i="5"/>
  <c r="AZ284" i="5"/>
  <c r="AZ290" i="5"/>
  <c r="AZ294" i="5"/>
  <c r="AZ298" i="5"/>
  <c r="AZ305" i="5"/>
  <c r="AZ317" i="5"/>
  <c r="AZ321" i="5"/>
  <c r="AZ326" i="5"/>
  <c r="AZ331" i="5"/>
  <c r="AZ188" i="5"/>
  <c r="AZ192" i="5"/>
  <c r="AZ227" i="5"/>
  <c r="AZ232" i="5"/>
  <c r="AZ241" i="5"/>
  <c r="AZ248" i="5"/>
  <c r="AZ249" i="5"/>
  <c r="AZ251" i="5"/>
  <c r="AZ255" i="5"/>
  <c r="AZ257" i="5"/>
  <c r="AZ263" i="5"/>
  <c r="AZ265" i="5"/>
  <c r="AZ268" i="5"/>
  <c r="AZ275" i="5"/>
  <c r="AZ283" i="5"/>
  <c r="AZ287" i="5"/>
  <c r="AZ295" i="5"/>
  <c r="AZ301" i="5"/>
  <c r="AZ302" i="5"/>
  <c r="AZ306" i="5"/>
  <c r="AZ309" i="5"/>
  <c r="AZ310" i="5"/>
  <c r="AZ312" i="5"/>
  <c r="AZ314" i="5"/>
  <c r="AZ315" i="5"/>
  <c r="AZ320" i="5"/>
  <c r="AZ322" i="5"/>
  <c r="AZ324" i="5"/>
  <c r="AZ329" i="5"/>
  <c r="AZ330" i="5"/>
  <c r="AZ332" i="5"/>
  <c r="AZ337" i="5"/>
  <c r="AZ339" i="5"/>
  <c r="AZ343" i="5"/>
  <c r="AZ344" i="5"/>
  <c r="AZ346" i="5"/>
  <c r="AZ351" i="5"/>
  <c r="AZ357" i="5"/>
  <c r="AZ358" i="5"/>
  <c r="AZ206" i="5"/>
  <c r="AZ218" i="5"/>
  <c r="AZ224" i="5"/>
  <c r="AZ258" i="5"/>
  <c r="AZ299" i="5"/>
  <c r="AZ316" i="5"/>
  <c r="AZ319" i="5"/>
  <c r="AZ335" i="5"/>
  <c r="AZ338" i="5"/>
  <c r="AZ352" i="5"/>
  <c r="AZ360" i="5"/>
  <c r="AZ367" i="5"/>
  <c r="AZ369" i="5"/>
  <c r="AZ373" i="5"/>
  <c r="AZ376" i="5"/>
  <c r="AZ383" i="5"/>
  <c r="AZ385" i="5"/>
  <c r="AZ393" i="5"/>
  <c r="AZ404" i="5"/>
  <c r="AZ409" i="5"/>
  <c r="AZ410" i="5"/>
  <c r="AZ411" i="5"/>
  <c r="AZ414" i="5"/>
  <c r="AZ420" i="5"/>
  <c r="AZ423" i="5"/>
  <c r="AZ428" i="5"/>
  <c r="AZ431" i="5"/>
  <c r="AZ435" i="5"/>
  <c r="AZ436" i="5"/>
  <c r="AZ440" i="5"/>
  <c r="AZ250" i="5"/>
  <c r="AZ252" i="5"/>
  <c r="AZ260" i="5"/>
  <c r="AZ277" i="5"/>
  <c r="AZ293" i="5"/>
  <c r="AZ304" i="5"/>
  <c r="AZ334" i="5"/>
  <c r="AZ345" i="5"/>
  <c r="AZ350" i="5"/>
  <c r="AZ356" i="5"/>
  <c r="AZ359" i="5"/>
  <c r="AZ361" i="5"/>
  <c r="AZ363" i="5"/>
  <c r="AZ365" i="5"/>
  <c r="AZ370" i="5"/>
  <c r="AZ375" i="5"/>
  <c r="AZ377" i="5"/>
  <c r="AZ380" i="5"/>
  <c r="AZ384" i="5"/>
  <c r="AZ386" i="5"/>
  <c r="AZ389" i="5"/>
  <c r="AZ390" i="5"/>
  <c r="AZ392" i="5"/>
  <c r="AZ399" i="5"/>
  <c r="AZ402" i="5"/>
  <c r="AZ408" i="5"/>
  <c r="AZ413" i="5"/>
  <c r="AZ417" i="5"/>
  <c r="AZ418" i="5"/>
  <c r="AZ419" i="5"/>
  <c r="AZ209" i="5"/>
  <c r="AZ245" i="5"/>
  <c r="AZ254" i="5"/>
  <c r="AZ267" i="5"/>
  <c r="AZ273" i="5"/>
  <c r="AZ280" i="5"/>
  <c r="AZ286" i="5"/>
  <c r="AZ289" i="5"/>
  <c r="AZ292" i="5"/>
  <c r="AZ333" i="5"/>
  <c r="AZ336" i="5"/>
  <c r="AZ340" i="5"/>
  <c r="AZ341" i="5"/>
  <c r="AZ342" i="5"/>
  <c r="AZ348" i="5"/>
  <c r="AZ349" i="5"/>
  <c r="AZ355" i="5"/>
  <c r="AZ364" i="5"/>
  <c r="AZ366" i="5"/>
  <c r="AZ371" i="5"/>
  <c r="AZ374" i="5"/>
  <c r="AZ378" i="5"/>
  <c r="AZ379" i="5"/>
  <c r="AZ388" i="5"/>
  <c r="AZ395" i="5"/>
  <c r="AZ398" i="5"/>
  <c r="AZ400" i="5"/>
  <c r="AZ406" i="5"/>
  <c r="AZ415" i="5"/>
  <c r="AZ416" i="5"/>
  <c r="AZ311" i="5"/>
  <c r="AZ354" i="5"/>
  <c r="AZ362" i="5"/>
  <c r="AZ368" i="5"/>
  <c r="AZ401" i="5"/>
  <c r="AZ422" i="5"/>
  <c r="AZ442" i="5"/>
  <c r="AZ452" i="5"/>
  <c r="AZ457" i="5"/>
  <c r="AZ458" i="5"/>
  <c r="AZ459" i="5"/>
  <c r="AZ460" i="5"/>
  <c r="AZ471" i="5"/>
  <c r="AZ472" i="5"/>
  <c r="AZ475" i="5"/>
  <c r="AZ478" i="5"/>
  <c r="AZ490" i="5"/>
  <c r="AZ496" i="5"/>
  <c r="AZ497" i="5"/>
  <c r="AZ504" i="5"/>
  <c r="AZ515" i="5"/>
  <c r="AZ525" i="5"/>
  <c r="AZ526" i="5"/>
  <c r="AZ531" i="5"/>
  <c r="AZ532" i="5"/>
  <c r="AZ270" i="5"/>
  <c r="AZ325" i="5"/>
  <c r="AZ382" i="5"/>
  <c r="AZ391" i="5"/>
  <c r="AZ394" i="5"/>
  <c r="AZ397" i="5"/>
  <c r="AZ403" i="5"/>
  <c r="AZ412" i="5"/>
  <c r="AZ426" i="5"/>
  <c r="AZ427" i="5"/>
  <c r="AZ429" i="5"/>
  <c r="AZ439" i="5"/>
  <c r="AZ446" i="5"/>
  <c r="AZ447" i="5"/>
  <c r="AZ461" i="5"/>
  <c r="AZ462" i="5"/>
  <c r="AZ465" i="5"/>
  <c r="AZ467" i="5"/>
  <c r="AZ468" i="5"/>
  <c r="AZ470" i="5"/>
  <c r="AZ474" i="5"/>
  <c r="AZ477" i="5"/>
  <c r="AZ480" i="5"/>
  <c r="AZ484" i="5"/>
  <c r="AZ498" i="5"/>
  <c r="AZ506" i="5"/>
  <c r="AZ507" i="5"/>
  <c r="AZ511" i="5"/>
  <c r="AZ512" i="5"/>
  <c r="AZ514" i="5"/>
  <c r="AZ516" i="5"/>
  <c r="AZ519" i="5"/>
  <c r="AZ308" i="5"/>
  <c r="AZ347" i="5"/>
  <c r="AZ353" i="5"/>
  <c r="AZ381" i="5"/>
  <c r="AZ387" i="5"/>
  <c r="AZ396" i="5"/>
  <c r="AZ405" i="5"/>
  <c r="AZ430" i="5"/>
  <c r="AZ432" i="5"/>
  <c r="AZ434" i="5"/>
  <c r="AZ441" i="5"/>
  <c r="AZ443" i="5"/>
  <c r="AZ444" i="5"/>
  <c r="AZ451" i="5"/>
  <c r="AZ453" i="5"/>
  <c r="AZ454" i="5"/>
  <c r="AZ455" i="5"/>
  <c r="AZ463" i="5"/>
  <c r="AZ466" i="5"/>
  <c r="AZ469" i="5"/>
  <c r="AZ473" i="5"/>
  <c r="AZ476" i="5"/>
  <c r="AZ479" i="5"/>
  <c r="AZ482" i="5"/>
  <c r="AZ486" i="5"/>
  <c r="AZ487" i="5"/>
  <c r="AZ488" i="5"/>
  <c r="AZ489" i="5"/>
  <c r="AZ492" i="5"/>
  <c r="AZ493" i="5"/>
  <c r="AZ494" i="5"/>
  <c r="AZ495" i="5"/>
  <c r="AZ499" i="5"/>
  <c r="AZ500" i="5"/>
  <c r="AZ502" i="5"/>
  <c r="AZ503" i="5"/>
  <c r="AZ505" i="5"/>
  <c r="AZ508" i="5"/>
  <c r="AZ509" i="5"/>
  <c r="AZ510" i="5"/>
  <c r="AZ518" i="5"/>
  <c r="AZ520" i="5"/>
  <c r="AZ522" i="5"/>
  <c r="AZ523" i="5"/>
  <c r="AZ530" i="5"/>
  <c r="AZ539" i="5"/>
  <c r="AZ545" i="5"/>
  <c r="AZ554" i="5"/>
  <c r="AZ555" i="5"/>
  <c r="AZ556" i="5"/>
  <c r="AZ229" i="5"/>
  <c r="AZ297" i="5"/>
  <c r="AZ328" i="5"/>
  <c r="AZ421" i="5"/>
  <c r="AZ425" i="5"/>
  <c r="AZ449" i="5"/>
  <c r="AZ456" i="5"/>
  <c r="AZ485" i="5"/>
  <c r="AZ513" i="5"/>
  <c r="AZ517" i="5"/>
  <c r="AZ521" i="5"/>
  <c r="AZ527" i="5"/>
  <c r="AZ529" i="5"/>
  <c r="AZ534" i="5"/>
  <c r="AZ536" i="5"/>
  <c r="AZ540" i="5"/>
  <c r="AZ548" i="5"/>
  <c r="AZ553" i="5"/>
  <c r="AZ557" i="5"/>
  <c r="AZ560" i="5"/>
  <c r="AZ558" i="5"/>
  <c r="AZ433" i="5"/>
  <c r="AZ437" i="5"/>
  <c r="AZ445" i="5"/>
  <c r="AZ448" i="5"/>
  <c r="AZ524" i="5"/>
  <c r="AZ538" i="5"/>
  <c r="AZ543" i="5"/>
  <c r="AZ544" i="5"/>
  <c r="AZ549" i="5"/>
  <c r="AZ550" i="5"/>
  <c r="AZ551" i="5"/>
  <c r="AZ407" i="5"/>
  <c r="AZ424" i="5"/>
  <c r="AZ481" i="5"/>
  <c r="AZ491" i="5"/>
  <c r="AZ501" i="5"/>
  <c r="AZ528" i="5"/>
  <c r="AZ533" i="5"/>
  <c r="AZ535" i="5"/>
  <c r="AZ541" i="5"/>
  <c r="AZ542" i="5"/>
  <c r="AZ547" i="5"/>
  <c r="AZ552" i="5"/>
  <c r="AZ559" i="5"/>
  <c r="AZ372" i="5"/>
  <c r="AZ438" i="5"/>
  <c r="AZ450" i="5"/>
  <c r="AZ464" i="5"/>
  <c r="AZ483" i="5"/>
  <c r="AZ537" i="5"/>
  <c r="AZ546" i="5"/>
  <c r="AZ19" i="5"/>
  <c r="B26" i="5"/>
  <c r="AT29" i="5"/>
  <c r="AT30" i="5"/>
  <c r="AT33" i="5"/>
  <c r="AT35" i="5"/>
  <c r="AT38" i="5"/>
  <c r="AT44" i="5"/>
  <c r="AT46" i="5"/>
  <c r="AT21" i="5"/>
  <c r="AT24" i="5"/>
  <c r="AT28" i="5"/>
  <c r="AT32" i="5"/>
  <c r="AT39" i="5"/>
  <c r="AT42" i="5"/>
  <c r="AT45" i="5"/>
  <c r="AT27" i="5"/>
  <c r="AT31" i="5"/>
  <c r="AT34" i="5"/>
  <c r="AT36" i="5"/>
  <c r="AT40" i="5"/>
  <c r="AT43" i="5"/>
  <c r="AT47" i="5"/>
  <c r="AT48" i="5"/>
  <c r="AT49" i="5"/>
  <c r="AT51" i="5"/>
  <c r="AT25" i="5"/>
  <c r="AT37" i="5"/>
  <c r="AT50" i="5"/>
  <c r="AT53" i="5"/>
  <c r="AT54" i="5"/>
  <c r="AT57" i="5"/>
  <c r="AT61" i="5"/>
  <c r="AT64" i="5"/>
  <c r="AT41" i="5"/>
  <c r="AT56" i="5"/>
  <c r="AT60" i="5"/>
  <c r="AT62" i="5"/>
  <c r="AT65" i="5"/>
  <c r="AT67" i="5"/>
  <c r="AT68" i="5"/>
  <c r="AT20" i="5"/>
  <c r="AT23" i="5"/>
  <c r="AT58" i="5"/>
  <c r="AT59" i="5"/>
  <c r="AT63" i="5"/>
  <c r="AT66" i="5"/>
  <c r="AT26" i="5"/>
  <c r="AT80" i="5"/>
  <c r="AT22" i="5"/>
  <c r="AT69" i="5"/>
  <c r="AT70" i="5"/>
  <c r="AT73" i="5"/>
  <c r="AT52" i="5"/>
  <c r="AT55" i="5"/>
  <c r="AT72" i="5"/>
  <c r="AT76" i="5"/>
  <c r="AT77" i="5"/>
  <c r="AT78" i="5"/>
  <c r="AT81" i="5"/>
  <c r="AT86" i="5"/>
  <c r="AT90" i="5"/>
  <c r="AT93" i="5"/>
  <c r="AT94" i="5"/>
  <c r="AT74" i="5"/>
  <c r="AT87" i="5"/>
  <c r="AT96" i="5"/>
  <c r="AT97" i="5"/>
  <c r="AT98" i="5"/>
  <c r="AT102" i="5"/>
  <c r="AT103" i="5"/>
  <c r="AT105" i="5"/>
  <c r="AT107" i="5"/>
  <c r="AT75" i="5"/>
  <c r="AT79" i="5"/>
  <c r="AT82" i="5"/>
  <c r="AT85" i="5"/>
  <c r="AT88" i="5"/>
  <c r="AT91" i="5"/>
  <c r="AT101" i="5"/>
  <c r="AT108" i="5"/>
  <c r="AT83" i="5"/>
  <c r="AT100" i="5"/>
  <c r="AT113" i="5"/>
  <c r="AT114" i="5"/>
  <c r="AT115" i="5"/>
  <c r="AT121" i="5"/>
  <c r="AT127" i="5"/>
  <c r="AT132" i="5"/>
  <c r="AT136" i="5"/>
  <c r="AT141" i="5"/>
  <c r="AT143" i="5"/>
  <c r="AT145" i="5"/>
  <c r="AT71" i="5"/>
  <c r="AT89" i="5"/>
  <c r="AT104" i="5"/>
  <c r="AT124" i="5"/>
  <c r="AT126" i="5"/>
  <c r="AT142" i="5"/>
  <c r="AT148" i="5"/>
  <c r="AT151" i="5"/>
  <c r="AT156" i="5"/>
  <c r="AT92" i="5"/>
  <c r="AT99" i="5"/>
  <c r="AT106" i="5"/>
  <c r="AT109" i="5"/>
  <c r="AT118" i="5"/>
  <c r="AT119" i="5"/>
  <c r="AT120" i="5"/>
  <c r="AT122" i="5"/>
  <c r="AT130" i="5"/>
  <c r="AT134" i="5"/>
  <c r="AT137" i="5"/>
  <c r="AT138" i="5"/>
  <c r="AT139" i="5"/>
  <c r="AT146" i="5"/>
  <c r="AT152" i="5"/>
  <c r="AT84" i="5"/>
  <c r="AT110" i="5"/>
  <c r="AT116" i="5"/>
  <c r="AT123" i="5"/>
  <c r="AT129" i="5"/>
  <c r="AT135" i="5"/>
  <c r="AT144" i="5"/>
  <c r="AT147" i="5"/>
  <c r="AT150" i="5"/>
  <c r="AT153" i="5"/>
  <c r="AT158" i="5"/>
  <c r="AT171" i="5"/>
  <c r="AT173" i="5"/>
  <c r="AT177" i="5"/>
  <c r="AT178" i="5"/>
  <c r="AT179" i="5"/>
  <c r="AT183" i="5"/>
  <c r="AT187" i="5"/>
  <c r="AT112" i="5"/>
  <c r="AT125" i="5"/>
  <c r="AT128" i="5"/>
  <c r="AT131" i="5"/>
  <c r="AT149" i="5"/>
  <c r="AT161" i="5"/>
  <c r="AT163" i="5"/>
  <c r="AT165" i="5"/>
  <c r="AT169" i="5"/>
  <c r="AT170" i="5"/>
  <c r="AT181" i="5"/>
  <c r="AT182" i="5"/>
  <c r="AT184" i="5"/>
  <c r="AT95" i="5"/>
  <c r="AT111" i="5"/>
  <c r="AT133" i="5"/>
  <c r="AT140" i="5"/>
  <c r="AT155" i="5"/>
  <c r="AT157" i="5"/>
  <c r="AT160" i="5"/>
  <c r="AT162" i="5"/>
  <c r="AT167" i="5"/>
  <c r="AT172" i="5"/>
  <c r="AT175" i="5"/>
  <c r="AT185" i="5"/>
  <c r="AT186" i="5"/>
  <c r="AT189" i="5"/>
  <c r="AT190" i="5"/>
  <c r="AT194" i="5"/>
  <c r="AT197" i="5"/>
  <c r="AT198" i="5"/>
  <c r="AT199" i="5"/>
  <c r="AT201" i="5"/>
  <c r="AT206" i="5"/>
  <c r="AT154" i="5"/>
  <c r="AT176" i="5"/>
  <c r="AT193" i="5"/>
  <c r="AT208" i="5"/>
  <c r="AT215" i="5"/>
  <c r="AT218" i="5"/>
  <c r="AT223" i="5"/>
  <c r="AT227" i="5"/>
  <c r="AT234" i="5"/>
  <c r="AT239" i="5"/>
  <c r="AT245" i="5"/>
  <c r="AT247" i="5"/>
  <c r="AT248" i="5"/>
  <c r="AT164" i="5"/>
  <c r="AT192" i="5"/>
  <c r="AT207" i="5"/>
  <c r="AT209" i="5"/>
  <c r="AT211" i="5"/>
  <c r="AT216" i="5"/>
  <c r="AT220" i="5"/>
  <c r="AT224" i="5"/>
  <c r="AT229" i="5"/>
  <c r="AT232" i="5"/>
  <c r="AT242" i="5"/>
  <c r="AT243" i="5"/>
  <c r="AT159" i="5"/>
  <c r="AT166" i="5"/>
  <c r="AT188" i="5"/>
  <c r="AT191" i="5"/>
  <c r="AT195" i="5"/>
  <c r="AT212" i="5"/>
  <c r="AT213" i="5"/>
  <c r="AT217" i="5"/>
  <c r="AT221" i="5"/>
  <c r="AT222" i="5"/>
  <c r="AT225" i="5"/>
  <c r="AT230" i="5"/>
  <c r="AT233" i="5"/>
  <c r="AT235" i="5"/>
  <c r="AT236" i="5"/>
  <c r="AT238" i="5"/>
  <c r="AT240" i="5"/>
  <c r="AT214" i="5"/>
  <c r="AT228" i="5"/>
  <c r="AT249" i="5"/>
  <c r="AT251" i="5"/>
  <c r="AT252" i="5"/>
  <c r="AT254" i="5"/>
  <c r="AT255" i="5"/>
  <c r="AT257" i="5"/>
  <c r="AT260" i="5"/>
  <c r="AT263" i="5"/>
  <c r="AT265" i="5"/>
  <c r="AT273" i="5"/>
  <c r="AT274" i="5"/>
  <c r="AT277" i="5"/>
  <c r="AT280" i="5"/>
  <c r="AT283" i="5"/>
  <c r="AT287" i="5"/>
  <c r="AT293" i="5"/>
  <c r="AT295" i="5"/>
  <c r="AT301" i="5"/>
  <c r="AT306" i="5"/>
  <c r="AT309" i="5"/>
  <c r="AT312" i="5"/>
  <c r="AT314" i="5"/>
  <c r="AT315" i="5"/>
  <c r="AT320" i="5"/>
  <c r="AT322" i="5"/>
  <c r="AT324" i="5"/>
  <c r="AT332" i="5"/>
  <c r="AT203" i="5"/>
  <c r="AT205" i="5"/>
  <c r="AT210" i="5"/>
  <c r="AT219" i="5"/>
  <c r="AT241" i="5"/>
  <c r="AT246" i="5"/>
  <c r="AT250" i="5"/>
  <c r="AT258" i="5"/>
  <c r="AT266" i="5"/>
  <c r="AT270" i="5"/>
  <c r="AT276" i="5"/>
  <c r="AT278" i="5"/>
  <c r="AT279" i="5"/>
  <c r="AT282" i="5"/>
  <c r="AT286" i="5"/>
  <c r="AT289" i="5"/>
  <c r="AT292" i="5"/>
  <c r="AT297" i="5"/>
  <c r="AT299" i="5"/>
  <c r="AT304" i="5"/>
  <c r="AT308" i="5"/>
  <c r="AT311" i="5"/>
  <c r="AT316" i="5"/>
  <c r="AT319" i="5"/>
  <c r="AT325" i="5"/>
  <c r="AT327" i="5"/>
  <c r="AT328" i="5"/>
  <c r="AT117" i="5"/>
  <c r="AT196" i="5"/>
  <c r="AT200" i="5"/>
  <c r="AT237" i="5"/>
  <c r="AT244" i="5"/>
  <c r="AT253" i="5"/>
  <c r="AT259" i="5"/>
  <c r="AT261" i="5"/>
  <c r="AT264" i="5"/>
  <c r="AT269" i="5"/>
  <c r="AT271" i="5"/>
  <c r="AT281" i="5"/>
  <c r="AT285" i="5"/>
  <c r="AT288" i="5"/>
  <c r="AT291" i="5"/>
  <c r="AT296" i="5"/>
  <c r="AT300" i="5"/>
  <c r="AT303" i="5"/>
  <c r="AT307" i="5"/>
  <c r="AT313" i="5"/>
  <c r="AT318" i="5"/>
  <c r="AT323" i="5"/>
  <c r="AT335" i="5"/>
  <c r="AT336" i="5"/>
  <c r="AT338" i="5"/>
  <c r="AT342" i="5"/>
  <c r="AT343" i="5"/>
  <c r="AT345" i="5"/>
  <c r="AT348" i="5"/>
  <c r="AT349" i="5"/>
  <c r="AT354" i="5"/>
  <c r="AT356" i="5"/>
  <c r="AT359" i="5"/>
  <c r="AT174" i="5"/>
  <c r="AT231" i="5"/>
  <c r="AT284" i="5"/>
  <c r="AT290" i="5"/>
  <c r="AT310" i="5"/>
  <c r="AT330" i="5"/>
  <c r="AT341" i="5"/>
  <c r="AT364" i="5"/>
  <c r="AT366" i="5"/>
  <c r="AT374" i="5"/>
  <c r="AT378" i="5"/>
  <c r="AT382" i="5"/>
  <c r="AT388" i="5"/>
  <c r="AT394" i="5"/>
  <c r="AT397" i="5"/>
  <c r="AT398" i="5"/>
  <c r="AT400" i="5"/>
  <c r="AT401" i="5"/>
  <c r="AT403" i="5"/>
  <c r="AT406" i="5"/>
  <c r="AT415" i="5"/>
  <c r="AT420" i="5"/>
  <c r="AT421" i="5"/>
  <c r="AT424" i="5"/>
  <c r="AT429" i="5"/>
  <c r="AT433" i="5"/>
  <c r="AT436" i="5"/>
  <c r="AT437" i="5"/>
  <c r="AT180" i="5"/>
  <c r="AT226" i="5"/>
  <c r="AT262" i="5"/>
  <c r="AT267" i="5"/>
  <c r="AT268" i="5"/>
  <c r="AT298" i="5"/>
  <c r="AT321" i="5"/>
  <c r="AT326" i="5"/>
  <c r="AT329" i="5"/>
  <c r="AT333" i="5"/>
  <c r="AT340" i="5"/>
  <c r="AT355" i="5"/>
  <c r="AT362" i="5"/>
  <c r="AT367" i="5"/>
  <c r="AT368" i="5"/>
  <c r="AT372" i="5"/>
  <c r="AT376" i="5"/>
  <c r="AT381" i="5"/>
  <c r="AT386" i="5"/>
  <c r="AT387" i="5"/>
  <c r="AT391" i="5"/>
  <c r="AT393" i="5"/>
  <c r="AT396" i="5"/>
  <c r="AT405" i="5"/>
  <c r="AT407" i="5"/>
  <c r="AT409" i="5"/>
  <c r="AT410" i="5"/>
  <c r="AT202" i="5"/>
  <c r="AT317" i="5"/>
  <c r="AT339" i="5"/>
  <c r="AT347" i="5"/>
  <c r="AT351" i="5"/>
  <c r="AT352" i="5"/>
  <c r="AT353" i="5"/>
  <c r="AT360" i="5"/>
  <c r="AT361" i="5"/>
  <c r="AT369" i="5"/>
  <c r="AT373" i="5"/>
  <c r="AT375" i="5"/>
  <c r="AT383" i="5"/>
  <c r="AT385" i="5"/>
  <c r="AT390" i="5"/>
  <c r="AT402" i="5"/>
  <c r="AT404" i="5"/>
  <c r="AT411" i="5"/>
  <c r="AT414" i="5"/>
  <c r="AT417" i="5"/>
  <c r="AT418" i="5"/>
  <c r="AT168" i="5"/>
  <c r="AT256" i="5"/>
  <c r="AT275" i="5"/>
  <c r="AT305" i="5"/>
  <c r="AT334" i="5"/>
  <c r="AT344" i="5"/>
  <c r="AT346" i="5"/>
  <c r="AT350" i="5"/>
  <c r="AT371" i="5"/>
  <c r="AT379" i="5"/>
  <c r="AT412" i="5"/>
  <c r="AT419" i="5"/>
  <c r="AT427" i="5"/>
  <c r="AT431" i="5"/>
  <c r="AT438" i="5"/>
  <c r="AT443" i="5"/>
  <c r="AT445" i="5"/>
  <c r="AT450" i="5"/>
  <c r="AT451" i="5"/>
  <c r="AT466" i="5"/>
  <c r="AT469" i="5"/>
  <c r="AT481" i="5"/>
  <c r="AT487" i="5"/>
  <c r="AT488" i="5"/>
  <c r="AT489" i="5"/>
  <c r="AT493" i="5"/>
  <c r="AT494" i="5"/>
  <c r="AT499" i="5"/>
  <c r="AT502" i="5"/>
  <c r="AT508" i="5"/>
  <c r="AT510" i="5"/>
  <c r="AT513" i="5"/>
  <c r="AT518" i="5"/>
  <c r="AT522" i="5"/>
  <c r="AT530" i="5"/>
  <c r="AT294" i="5"/>
  <c r="AT331" i="5"/>
  <c r="AT357" i="5"/>
  <c r="AT370" i="5"/>
  <c r="AT384" i="5"/>
  <c r="AT408" i="5"/>
  <c r="AT422" i="5"/>
  <c r="AT425" i="5"/>
  <c r="AT434" i="5"/>
  <c r="AT435" i="5"/>
  <c r="AT442" i="5"/>
  <c r="AT447" i="5"/>
  <c r="AT448" i="5"/>
  <c r="AT456" i="5"/>
  <c r="AT458" i="5"/>
  <c r="AT460" i="5"/>
  <c r="AT464" i="5"/>
  <c r="AT472" i="5"/>
  <c r="AT475" i="5"/>
  <c r="AT483" i="5"/>
  <c r="AT485" i="5"/>
  <c r="AT490" i="5"/>
  <c r="AT491" i="5"/>
  <c r="AT496" i="5"/>
  <c r="AT497" i="5"/>
  <c r="AT501" i="5"/>
  <c r="AT515" i="5"/>
  <c r="AT516" i="5"/>
  <c r="AT517" i="5"/>
  <c r="AT272" i="5"/>
  <c r="AT302" i="5"/>
  <c r="AT337" i="5"/>
  <c r="AT363" i="5"/>
  <c r="AT399" i="5"/>
  <c r="AT423" i="5"/>
  <c r="AT439" i="5"/>
  <c r="AT452" i="5"/>
  <c r="AT453" i="5"/>
  <c r="AT457" i="5"/>
  <c r="AT459" i="5"/>
  <c r="AT462" i="5"/>
  <c r="AT468" i="5"/>
  <c r="AT471" i="5"/>
  <c r="AT474" i="5"/>
  <c r="AT477" i="5"/>
  <c r="AT478" i="5"/>
  <c r="AT480" i="5"/>
  <c r="AT486" i="5"/>
  <c r="AT498" i="5"/>
  <c r="AT504" i="5"/>
  <c r="AT505" i="5"/>
  <c r="AT507" i="5"/>
  <c r="AT512" i="5"/>
  <c r="AT514" i="5"/>
  <c r="AT524" i="5"/>
  <c r="AT525" i="5"/>
  <c r="AT531" i="5"/>
  <c r="AT543" i="5"/>
  <c r="AT546" i="5"/>
  <c r="AT548" i="5"/>
  <c r="AT549" i="5"/>
  <c r="AT550" i="5"/>
  <c r="AT551" i="5"/>
  <c r="AT553" i="5"/>
  <c r="AT557" i="5"/>
  <c r="AT559" i="5"/>
  <c r="AT204" i="5"/>
  <c r="AT380" i="5"/>
  <c r="AT392" i="5"/>
  <c r="AT416" i="5"/>
  <c r="AT463" i="5"/>
  <c r="AT473" i="5"/>
  <c r="AT476" i="5"/>
  <c r="AT479" i="5"/>
  <c r="AT482" i="5"/>
  <c r="AT492" i="5"/>
  <c r="AT506" i="5"/>
  <c r="AT509" i="5"/>
  <c r="AT520" i="5"/>
  <c r="AT528" i="5"/>
  <c r="AT535" i="5"/>
  <c r="AT539" i="5"/>
  <c r="AT541" i="5"/>
  <c r="AT542" i="5"/>
  <c r="AT547" i="5"/>
  <c r="AT554" i="5"/>
  <c r="AT441" i="5"/>
  <c r="AT444" i="5"/>
  <c r="AT455" i="5"/>
  <c r="AT465" i="5"/>
  <c r="AT484" i="5"/>
  <c r="AT495" i="5"/>
  <c r="AT519" i="5"/>
  <c r="AT526" i="5"/>
  <c r="AT533" i="5"/>
  <c r="AT545" i="5"/>
  <c r="AT552" i="5"/>
  <c r="AT555" i="5"/>
  <c r="AT532" i="5"/>
  <c r="AT536" i="5"/>
  <c r="AT540" i="5"/>
  <c r="AT358" i="5"/>
  <c r="AT365" i="5"/>
  <c r="AT377" i="5"/>
  <c r="AT389" i="5"/>
  <c r="AT395" i="5"/>
  <c r="AT413" i="5"/>
  <c r="AT426" i="5"/>
  <c r="AT428" i="5"/>
  <c r="AT430" i="5"/>
  <c r="AT432" i="5"/>
  <c r="AT454" i="5"/>
  <c r="AT461" i="5"/>
  <c r="AT467" i="5"/>
  <c r="AT511" i="5"/>
  <c r="AT523" i="5"/>
  <c r="AT529" i="5"/>
  <c r="AT537" i="5"/>
  <c r="AT556" i="5"/>
  <c r="AT558" i="5"/>
  <c r="AT560" i="5"/>
  <c r="AT440" i="5"/>
  <c r="AT446" i="5"/>
  <c r="AT449" i="5"/>
  <c r="AT470" i="5"/>
  <c r="AT500" i="5"/>
  <c r="AT503" i="5"/>
  <c r="AT521" i="5"/>
  <c r="AT527" i="5"/>
  <c r="AT534" i="5"/>
  <c r="AT538" i="5"/>
  <c r="AT544" i="5"/>
  <c r="AT19" i="5"/>
  <c r="B25" i="5"/>
  <c r="B41" i="5"/>
  <c r="AW22" i="5"/>
  <c r="AW23" i="5"/>
  <c r="AW25" i="5"/>
  <c r="AW26" i="5"/>
  <c r="AW31" i="5"/>
  <c r="AW37" i="5"/>
  <c r="AW43" i="5"/>
  <c r="AW48" i="5"/>
  <c r="AW20" i="5"/>
  <c r="AW29" i="5"/>
  <c r="AW30" i="5"/>
  <c r="AW33" i="5"/>
  <c r="AW38" i="5"/>
  <c r="AW41" i="5"/>
  <c r="AW44" i="5"/>
  <c r="AW46" i="5"/>
  <c r="AW21" i="5"/>
  <c r="AW24" i="5"/>
  <c r="AW28" i="5"/>
  <c r="AW32" i="5"/>
  <c r="AW35" i="5"/>
  <c r="AW39" i="5"/>
  <c r="AW42" i="5"/>
  <c r="AW45" i="5"/>
  <c r="AW52" i="5"/>
  <c r="AW63" i="5"/>
  <c r="AW69" i="5"/>
  <c r="AW34" i="5"/>
  <c r="AW51" i="5"/>
  <c r="AW53" i="5"/>
  <c r="AW55" i="5"/>
  <c r="AW59" i="5"/>
  <c r="AW61" i="5"/>
  <c r="AW66" i="5"/>
  <c r="AW27" i="5"/>
  <c r="AW36" i="5"/>
  <c r="AW47" i="5"/>
  <c r="AW49" i="5"/>
  <c r="AW50" i="5"/>
  <c r="AW54" i="5"/>
  <c r="AW56" i="5"/>
  <c r="AW57" i="5"/>
  <c r="AW62" i="5"/>
  <c r="AW65" i="5"/>
  <c r="AW71" i="5"/>
  <c r="AW75" i="5"/>
  <c r="AW79" i="5"/>
  <c r="AW40" i="5"/>
  <c r="AW60" i="5"/>
  <c r="AW76" i="5"/>
  <c r="AW77" i="5"/>
  <c r="AW58" i="5"/>
  <c r="AW68" i="5"/>
  <c r="AW73" i="5"/>
  <c r="AW74" i="5"/>
  <c r="AW83" i="5"/>
  <c r="AW88" i="5"/>
  <c r="AW91" i="5"/>
  <c r="AW67" i="5"/>
  <c r="AW70" i="5"/>
  <c r="AW72" i="5"/>
  <c r="AW82" i="5"/>
  <c r="AW78" i="5"/>
  <c r="AW81" i="5"/>
  <c r="AW85" i="5"/>
  <c r="AW93" i="5"/>
  <c r="AW94" i="5"/>
  <c r="AW99" i="5"/>
  <c r="AW101" i="5"/>
  <c r="AW104" i="5"/>
  <c r="AW109" i="5"/>
  <c r="AW84" i="5"/>
  <c r="AW89" i="5"/>
  <c r="AW90" i="5"/>
  <c r="AW92" i="5"/>
  <c r="AW95" i="5"/>
  <c r="AW96" i="5"/>
  <c r="AW98" i="5"/>
  <c r="AW100" i="5"/>
  <c r="AW107" i="5"/>
  <c r="AW97" i="5"/>
  <c r="AW103" i="5"/>
  <c r="AW106" i="5"/>
  <c r="AW111" i="5"/>
  <c r="AW112" i="5"/>
  <c r="AW117" i="5"/>
  <c r="AW118" i="5"/>
  <c r="AW120" i="5"/>
  <c r="AW125" i="5"/>
  <c r="AW126" i="5"/>
  <c r="AW128" i="5"/>
  <c r="AW135" i="5"/>
  <c r="AW138" i="5"/>
  <c r="AW146" i="5"/>
  <c r="AW149" i="5"/>
  <c r="AW152" i="5"/>
  <c r="AW158" i="5"/>
  <c r="AW161" i="5"/>
  <c r="AW87" i="5"/>
  <c r="AW115" i="5"/>
  <c r="AW116" i="5"/>
  <c r="AW122" i="5"/>
  <c r="AW127" i="5"/>
  <c r="AW130" i="5"/>
  <c r="AW132" i="5"/>
  <c r="AW134" i="5"/>
  <c r="AW136" i="5"/>
  <c r="AW141" i="5"/>
  <c r="AW143" i="5"/>
  <c r="AW145" i="5"/>
  <c r="AW153" i="5"/>
  <c r="AW157" i="5"/>
  <c r="AW64" i="5"/>
  <c r="AW80" i="5"/>
  <c r="AW86" i="5"/>
  <c r="AW102" i="5"/>
  <c r="AW105" i="5"/>
  <c r="AW108" i="5"/>
  <c r="AW110" i="5"/>
  <c r="AW114" i="5"/>
  <c r="AW121" i="5"/>
  <c r="AW123" i="5"/>
  <c r="AW129" i="5"/>
  <c r="AW131" i="5"/>
  <c r="AW133" i="5"/>
  <c r="AW140" i="5"/>
  <c r="AW144" i="5"/>
  <c r="AW147" i="5"/>
  <c r="AW150" i="5"/>
  <c r="AW151" i="5"/>
  <c r="AW154" i="5"/>
  <c r="AW155" i="5"/>
  <c r="AW113" i="5"/>
  <c r="AW139" i="5"/>
  <c r="AW159" i="5"/>
  <c r="AW164" i="5"/>
  <c r="AW166" i="5"/>
  <c r="AW168" i="5"/>
  <c r="AW174" i="5"/>
  <c r="AW176" i="5"/>
  <c r="AW180" i="5"/>
  <c r="AW185" i="5"/>
  <c r="AW186" i="5"/>
  <c r="AW156" i="5"/>
  <c r="AW173" i="5"/>
  <c r="AW178" i="5"/>
  <c r="AW179" i="5"/>
  <c r="AW183" i="5"/>
  <c r="AW119" i="5"/>
  <c r="AW137" i="5"/>
  <c r="AW165" i="5"/>
  <c r="AW170" i="5"/>
  <c r="AW171" i="5"/>
  <c r="AW182" i="5"/>
  <c r="AW184" i="5"/>
  <c r="AW188" i="5"/>
  <c r="AW191" i="5"/>
  <c r="AW196" i="5"/>
  <c r="AW200" i="5"/>
  <c r="AW205" i="5"/>
  <c r="AW207" i="5"/>
  <c r="AW124" i="5"/>
  <c r="AW142" i="5"/>
  <c r="AW148" i="5"/>
  <c r="AW160" i="5"/>
  <c r="AW162" i="5"/>
  <c r="AW194" i="5"/>
  <c r="AW195" i="5"/>
  <c r="AW203" i="5"/>
  <c r="AW204" i="5"/>
  <c r="AW210" i="5"/>
  <c r="AW214" i="5"/>
  <c r="AW217" i="5"/>
  <c r="AW219" i="5"/>
  <c r="AW222" i="5"/>
  <c r="AW226" i="5"/>
  <c r="AW228" i="5"/>
  <c r="AW235" i="5"/>
  <c r="AW238" i="5"/>
  <c r="AW240" i="5"/>
  <c r="AW242" i="5"/>
  <c r="AW244" i="5"/>
  <c r="AW167" i="5"/>
  <c r="AW197" i="5"/>
  <c r="AW199" i="5"/>
  <c r="AW202" i="5"/>
  <c r="AW215" i="5"/>
  <c r="AW231" i="5"/>
  <c r="AW234" i="5"/>
  <c r="AW237" i="5"/>
  <c r="AW239" i="5"/>
  <c r="AW169" i="5"/>
  <c r="AW172" i="5"/>
  <c r="AW175" i="5"/>
  <c r="AW181" i="5"/>
  <c r="AW187" i="5"/>
  <c r="AW189" i="5"/>
  <c r="AW192" i="5"/>
  <c r="AW193" i="5"/>
  <c r="AW198" i="5"/>
  <c r="AW201" i="5"/>
  <c r="AW206" i="5"/>
  <c r="AW209" i="5"/>
  <c r="AW216" i="5"/>
  <c r="AW218" i="5"/>
  <c r="AW220" i="5"/>
  <c r="AW223" i="5"/>
  <c r="AW224" i="5"/>
  <c r="AW227" i="5"/>
  <c r="AW229" i="5"/>
  <c r="AW232" i="5"/>
  <c r="AW241" i="5"/>
  <c r="AW163" i="5"/>
  <c r="AW208" i="5"/>
  <c r="AW211" i="5"/>
  <c r="AW233" i="5"/>
  <c r="AW236" i="5"/>
  <c r="AW243" i="5"/>
  <c r="AW247" i="5"/>
  <c r="AW253" i="5"/>
  <c r="AW256" i="5"/>
  <c r="AW262" i="5"/>
  <c r="AW269" i="5"/>
  <c r="AW272" i="5"/>
  <c r="AW278" i="5"/>
  <c r="AW284" i="5"/>
  <c r="AW290" i="5"/>
  <c r="AW294" i="5"/>
  <c r="AW298" i="5"/>
  <c r="AW302" i="5"/>
  <c r="AW305" i="5"/>
  <c r="AW310" i="5"/>
  <c r="AW317" i="5"/>
  <c r="AW321" i="5"/>
  <c r="AW326" i="5"/>
  <c r="AW329" i="5"/>
  <c r="AW330" i="5"/>
  <c r="AW331" i="5"/>
  <c r="AW177" i="5"/>
  <c r="AW225" i="5"/>
  <c r="AW230" i="5"/>
  <c r="AW248" i="5"/>
  <c r="AW249" i="5"/>
  <c r="AW251" i="5"/>
  <c r="AW254" i="5"/>
  <c r="AW255" i="5"/>
  <c r="AW257" i="5"/>
  <c r="AW263" i="5"/>
  <c r="AW265" i="5"/>
  <c r="AW268" i="5"/>
  <c r="AW275" i="5"/>
  <c r="AW280" i="5"/>
  <c r="AW283" i="5"/>
  <c r="AW287" i="5"/>
  <c r="AW293" i="5"/>
  <c r="AW295" i="5"/>
  <c r="AW301" i="5"/>
  <c r="AW306" i="5"/>
  <c r="AW309" i="5"/>
  <c r="AW312" i="5"/>
  <c r="AW314" i="5"/>
  <c r="AW315" i="5"/>
  <c r="AW320" i="5"/>
  <c r="AW322" i="5"/>
  <c r="AW324" i="5"/>
  <c r="AW332" i="5"/>
  <c r="AW190" i="5"/>
  <c r="AW213" i="5"/>
  <c r="AW221" i="5"/>
  <c r="AW245" i="5"/>
  <c r="AW250" i="5"/>
  <c r="AW252" i="5"/>
  <c r="AW258" i="5"/>
  <c r="AW260" i="5"/>
  <c r="AW267" i="5"/>
  <c r="AW270" i="5"/>
  <c r="AW273" i="5"/>
  <c r="AW276" i="5"/>
  <c r="AW277" i="5"/>
  <c r="AW282" i="5"/>
  <c r="AW286" i="5"/>
  <c r="AW289" i="5"/>
  <c r="AW292" i="5"/>
  <c r="AW297" i="5"/>
  <c r="AW299" i="5"/>
  <c r="AW304" i="5"/>
  <c r="AW308" i="5"/>
  <c r="AW311" i="5"/>
  <c r="AW316" i="5"/>
  <c r="AW319" i="5"/>
  <c r="AW325" i="5"/>
  <c r="AW328" i="5"/>
  <c r="AW333" i="5"/>
  <c r="AW334" i="5"/>
  <c r="AW340" i="5"/>
  <c r="AW347" i="5"/>
  <c r="AW353" i="5"/>
  <c r="AW355" i="5"/>
  <c r="AW212" i="5"/>
  <c r="AW246" i="5"/>
  <c r="AW281" i="5"/>
  <c r="AW296" i="5"/>
  <c r="AW307" i="5"/>
  <c r="AW313" i="5"/>
  <c r="AW327" i="5"/>
  <c r="AW337" i="5"/>
  <c r="AW344" i="5"/>
  <c r="AW345" i="5"/>
  <c r="AW346" i="5"/>
  <c r="AW350" i="5"/>
  <c r="AW356" i="5"/>
  <c r="AW357" i="5"/>
  <c r="AW359" i="5"/>
  <c r="AW363" i="5"/>
  <c r="AW365" i="5"/>
  <c r="AW370" i="5"/>
  <c r="AW371" i="5"/>
  <c r="AW377" i="5"/>
  <c r="AW379" i="5"/>
  <c r="AW380" i="5"/>
  <c r="AW384" i="5"/>
  <c r="AW389" i="5"/>
  <c r="AW390" i="5"/>
  <c r="AW392" i="5"/>
  <c r="AW399" i="5"/>
  <c r="AW408" i="5"/>
  <c r="AW412" i="5"/>
  <c r="AW413" i="5"/>
  <c r="AW416" i="5"/>
  <c r="AW419" i="5"/>
  <c r="AW426" i="5"/>
  <c r="AW427" i="5"/>
  <c r="AW432" i="5"/>
  <c r="AW434" i="5"/>
  <c r="AW439" i="5"/>
  <c r="AW271" i="5"/>
  <c r="AW274" i="5"/>
  <c r="AW318" i="5"/>
  <c r="AW336" i="5"/>
  <c r="AW341" i="5"/>
  <c r="AW342" i="5"/>
  <c r="AW348" i="5"/>
  <c r="AW349" i="5"/>
  <c r="AW354" i="5"/>
  <c r="AW358" i="5"/>
  <c r="AW364" i="5"/>
  <c r="AW366" i="5"/>
  <c r="AW374" i="5"/>
  <c r="AW378" i="5"/>
  <c r="AW388" i="5"/>
  <c r="AW394" i="5"/>
  <c r="AW395" i="5"/>
  <c r="AW398" i="5"/>
  <c r="AW400" i="5"/>
  <c r="AW406" i="5"/>
  <c r="AW415" i="5"/>
  <c r="AW420" i="5"/>
  <c r="AW259" i="5"/>
  <c r="AW264" i="5"/>
  <c r="AW300" i="5"/>
  <c r="AW303" i="5"/>
  <c r="AW323" i="5"/>
  <c r="AW343" i="5"/>
  <c r="AW362" i="5"/>
  <c r="AW368" i="5"/>
  <c r="AW372" i="5"/>
  <c r="AW376" i="5"/>
  <c r="AW381" i="5"/>
  <c r="AW382" i="5"/>
  <c r="AW386" i="5"/>
  <c r="AW387" i="5"/>
  <c r="AW391" i="5"/>
  <c r="AW396" i="5"/>
  <c r="AW397" i="5"/>
  <c r="AW401" i="5"/>
  <c r="AW403" i="5"/>
  <c r="AW405" i="5"/>
  <c r="AW407" i="5"/>
  <c r="AW409" i="5"/>
  <c r="AW410" i="5"/>
  <c r="AW338" i="5"/>
  <c r="AW352" i="5"/>
  <c r="AW385" i="5"/>
  <c r="AW428" i="5"/>
  <c r="AW429" i="5"/>
  <c r="AW430" i="5"/>
  <c r="AW440" i="5"/>
  <c r="AW444" i="5"/>
  <c r="AW446" i="5"/>
  <c r="AW453" i="5"/>
  <c r="AW461" i="5"/>
  <c r="AW465" i="5"/>
  <c r="AW467" i="5"/>
  <c r="AW470" i="5"/>
  <c r="AW476" i="5"/>
  <c r="AW477" i="5"/>
  <c r="AW479" i="5"/>
  <c r="AW480" i="5"/>
  <c r="AW482" i="5"/>
  <c r="AW484" i="5"/>
  <c r="AW492" i="5"/>
  <c r="AW495" i="5"/>
  <c r="AW500" i="5"/>
  <c r="AW505" i="5"/>
  <c r="AW506" i="5"/>
  <c r="AW511" i="5"/>
  <c r="AW512" i="5"/>
  <c r="AW519" i="5"/>
  <c r="AW523" i="5"/>
  <c r="AW537" i="5"/>
  <c r="AW288" i="5"/>
  <c r="AW361" i="5"/>
  <c r="AW367" i="5"/>
  <c r="AW373" i="5"/>
  <c r="AW418" i="5"/>
  <c r="AW431" i="5"/>
  <c r="AW436" i="5"/>
  <c r="AW438" i="5"/>
  <c r="AW441" i="5"/>
  <c r="AW443" i="5"/>
  <c r="AW449" i="5"/>
  <c r="AW450" i="5"/>
  <c r="AW451" i="5"/>
  <c r="AW454" i="5"/>
  <c r="AW455" i="5"/>
  <c r="AW463" i="5"/>
  <c r="AW466" i="5"/>
  <c r="AW469" i="5"/>
  <c r="AW473" i="5"/>
  <c r="AW481" i="5"/>
  <c r="AW487" i="5"/>
  <c r="AW488" i="5"/>
  <c r="AW489" i="5"/>
  <c r="AW493" i="5"/>
  <c r="AW494" i="5"/>
  <c r="AW499" i="5"/>
  <c r="AW502" i="5"/>
  <c r="AW503" i="5"/>
  <c r="AW508" i="5"/>
  <c r="AW509" i="5"/>
  <c r="AW510" i="5"/>
  <c r="AW513" i="5"/>
  <c r="AW518" i="5"/>
  <c r="AW520" i="5"/>
  <c r="AW521" i="5"/>
  <c r="AW266" i="5"/>
  <c r="AW335" i="5"/>
  <c r="AW339" i="5"/>
  <c r="AW351" i="5"/>
  <c r="AW375" i="5"/>
  <c r="AW393" i="5"/>
  <c r="AW402" i="5"/>
  <c r="AW411" i="5"/>
  <c r="AW414" i="5"/>
  <c r="AW417" i="5"/>
  <c r="AW421" i="5"/>
  <c r="AW422" i="5"/>
  <c r="AW424" i="5"/>
  <c r="AW425" i="5"/>
  <c r="AW433" i="5"/>
  <c r="AW435" i="5"/>
  <c r="AW437" i="5"/>
  <c r="AW442" i="5"/>
  <c r="AW445" i="5"/>
  <c r="AW448" i="5"/>
  <c r="AW456" i="5"/>
  <c r="AW458" i="5"/>
  <c r="AW460" i="5"/>
  <c r="AW464" i="5"/>
  <c r="AW472" i="5"/>
  <c r="AW483" i="5"/>
  <c r="AW485" i="5"/>
  <c r="AW490" i="5"/>
  <c r="AW491" i="5"/>
  <c r="AW496" i="5"/>
  <c r="AW501" i="5"/>
  <c r="AW517" i="5"/>
  <c r="AW526" i="5"/>
  <c r="AW527" i="5"/>
  <c r="AW533" i="5"/>
  <c r="AW534" i="5"/>
  <c r="AW536" i="5"/>
  <c r="AW538" i="5"/>
  <c r="AW540" i="5"/>
  <c r="AW542" i="5"/>
  <c r="AW544" i="5"/>
  <c r="AW547" i="5"/>
  <c r="AW552" i="5"/>
  <c r="AW558" i="5"/>
  <c r="AW261" i="5"/>
  <c r="AW279" i="5"/>
  <c r="AW285" i="5"/>
  <c r="AW291" i="5"/>
  <c r="AW404" i="5"/>
  <c r="AW423" i="5"/>
  <c r="AW452" i="5"/>
  <c r="AW459" i="5"/>
  <c r="AW524" i="5"/>
  <c r="AW532" i="5"/>
  <c r="AW549" i="5"/>
  <c r="AW550" i="5"/>
  <c r="AW559" i="5"/>
  <c r="AW556" i="5"/>
  <c r="AW369" i="5"/>
  <c r="AW462" i="5"/>
  <c r="AW468" i="5"/>
  <c r="AW516" i="5"/>
  <c r="AW522" i="5"/>
  <c r="AW528" i="5"/>
  <c r="AW530" i="5"/>
  <c r="AW535" i="5"/>
  <c r="AW539" i="5"/>
  <c r="AW541" i="5"/>
  <c r="AW546" i="5"/>
  <c r="AW551" i="5"/>
  <c r="AW554" i="5"/>
  <c r="AW548" i="5"/>
  <c r="AW560" i="5"/>
  <c r="AW383" i="5"/>
  <c r="AW447" i="5"/>
  <c r="AW457" i="5"/>
  <c r="AW471" i="5"/>
  <c r="AW475" i="5"/>
  <c r="AW478" i="5"/>
  <c r="AW486" i="5"/>
  <c r="AW498" i="5"/>
  <c r="AW504" i="5"/>
  <c r="AW515" i="5"/>
  <c r="AW525" i="5"/>
  <c r="AW531" i="5"/>
  <c r="AW555" i="5"/>
  <c r="AW557" i="5"/>
  <c r="AW360" i="5"/>
  <c r="AW474" i="5"/>
  <c r="AW497" i="5"/>
  <c r="AW507" i="5"/>
  <c r="AW514" i="5"/>
  <c r="AW529" i="5"/>
  <c r="AW543" i="5"/>
  <c r="AW545" i="5"/>
  <c r="AW553" i="5"/>
  <c r="AW19" i="5"/>
  <c r="B40" i="2"/>
  <c r="B22" i="3"/>
  <c r="B28" i="2"/>
  <c r="B10" i="2"/>
  <c r="B14" i="3"/>
  <c r="B12" i="3"/>
  <c r="B10" i="3"/>
  <c r="B14" i="2"/>
  <c r="B13" i="2"/>
  <c r="B9" i="2"/>
  <c r="B8" i="2"/>
  <c r="B7" i="2"/>
  <c r="B18" i="5" l="1"/>
  <c r="B35" i="5" s="1"/>
  <c r="B261" i="2"/>
  <c r="B262" i="2" s="1"/>
  <c r="AP17" i="4"/>
  <c r="AP28" i="4"/>
  <c r="AP44" i="4"/>
  <c r="AP62" i="4"/>
  <c r="AP80" i="4"/>
  <c r="AP95" i="4"/>
  <c r="AP120" i="4"/>
  <c r="AP141" i="4"/>
  <c r="AP153" i="4"/>
  <c r="AP32" i="4"/>
  <c r="AP40" i="4"/>
  <c r="AP53" i="4"/>
  <c r="AP68" i="4"/>
  <c r="AP86" i="4"/>
  <c r="AP103" i="4"/>
  <c r="AP116" i="4"/>
  <c r="AP133" i="4"/>
  <c r="AP146" i="4"/>
  <c r="AP10" i="4"/>
  <c r="AP24" i="4"/>
  <c r="AP39" i="4"/>
  <c r="AP56" i="4"/>
  <c r="AP71" i="4"/>
  <c r="AP89" i="4"/>
  <c r="AP102" i="4"/>
  <c r="AP117" i="4"/>
  <c r="AP136" i="4"/>
  <c r="AP154" i="4"/>
  <c r="AP19" i="4"/>
  <c r="AP36" i="4"/>
  <c r="AP55" i="4"/>
  <c r="AP72" i="4"/>
  <c r="AP82" i="4"/>
  <c r="AP100" i="4"/>
  <c r="AP115" i="4"/>
  <c r="AP130" i="4"/>
  <c r="AP148" i="4"/>
  <c r="AP22" i="4"/>
  <c r="AP149" i="4"/>
  <c r="AP50" i="4"/>
  <c r="AP101" i="4"/>
  <c r="AP126" i="4"/>
  <c r="AP18" i="4"/>
  <c r="AP54" i="4"/>
  <c r="AP99" i="4"/>
  <c r="AP127" i="4"/>
  <c r="AP30" i="4"/>
  <c r="AP98" i="4"/>
  <c r="AP140" i="4"/>
  <c r="AP9" i="4"/>
  <c r="AP20" i="4"/>
  <c r="AP31" i="4"/>
  <c r="AP47" i="4"/>
  <c r="AP67" i="4"/>
  <c r="AP85" i="4"/>
  <c r="AP96" i="4"/>
  <c r="AP123" i="4"/>
  <c r="AP142" i="4"/>
  <c r="AP155" i="4"/>
  <c r="AP33" i="4"/>
  <c r="AP43" i="4"/>
  <c r="AP57" i="4"/>
  <c r="AP73" i="4"/>
  <c r="AP91" i="4"/>
  <c r="AP106" i="4"/>
  <c r="AP118" i="4"/>
  <c r="AP134" i="4"/>
  <c r="AP147" i="4"/>
  <c r="AP13" i="4"/>
  <c r="AP25" i="4"/>
  <c r="AP41" i="4"/>
  <c r="AP60" i="4"/>
  <c r="AP74" i="4"/>
  <c r="AP92" i="4"/>
  <c r="AP104" i="4"/>
  <c r="AP119" i="4"/>
  <c r="AP138" i="4"/>
  <c r="AP156" i="4"/>
  <c r="AP27" i="4"/>
  <c r="AP46" i="4"/>
  <c r="AP61" i="4"/>
  <c r="AP77" i="4"/>
  <c r="AP87" i="4"/>
  <c r="AP105" i="4"/>
  <c r="AP122" i="4"/>
  <c r="AP131" i="4"/>
  <c r="AP150" i="4"/>
  <c r="AP137" i="4"/>
  <c r="AP42" i="4"/>
  <c r="AP132" i="4"/>
  <c r="AP38" i="4"/>
  <c r="AP83" i="4"/>
  <c r="AP144" i="4"/>
  <c r="AP35" i="4"/>
  <c r="AP66" i="4"/>
  <c r="AP111" i="4"/>
  <c r="AP11" i="4"/>
  <c r="AP49" i="4"/>
  <c r="AP79" i="4"/>
  <c r="AP114" i="4"/>
  <c r="AP12" i="4"/>
  <c r="AP21" i="4"/>
  <c r="AP37" i="4"/>
  <c r="AP52" i="4"/>
  <c r="AP70" i="4"/>
  <c r="AP88" i="4"/>
  <c r="AP109" i="4"/>
  <c r="AP129" i="4"/>
  <c r="AP143" i="4"/>
  <c r="AP15" i="4"/>
  <c r="AP34" i="4"/>
  <c r="AP45" i="4"/>
  <c r="AP59" i="4"/>
  <c r="AP76" i="4"/>
  <c r="AP94" i="4"/>
  <c r="AP107" i="4"/>
  <c r="AP121" i="4"/>
  <c r="AP135" i="4"/>
  <c r="AP151" i="4"/>
  <c r="AP16" i="4"/>
  <c r="AP26" i="4"/>
  <c r="AP51" i="4"/>
  <c r="AP63" i="4"/>
  <c r="AP81" i="4"/>
  <c r="AP97" i="4"/>
  <c r="AP110" i="4"/>
  <c r="AP124" i="4"/>
  <c r="AP139" i="4"/>
  <c r="AP157" i="4"/>
  <c r="AP29" i="4"/>
  <c r="AP48" i="4"/>
  <c r="AP64" i="4"/>
  <c r="AP78" i="4"/>
  <c r="AP90" i="4"/>
  <c r="AP108" i="4"/>
  <c r="AP125" i="4"/>
  <c r="AP152" i="4"/>
  <c r="AP14" i="4"/>
  <c r="AP58" i="4"/>
  <c r="AP75" i="4"/>
  <c r="AP93" i="4"/>
  <c r="AP112" i="4"/>
  <c r="AP23" i="4"/>
  <c r="AP65" i="4"/>
  <c r="AP113" i="4"/>
  <c r="AP8" i="4"/>
  <c r="AP84" i="4"/>
  <c r="AP145" i="4"/>
  <c r="AP69" i="4"/>
  <c r="AP128" i="4"/>
  <c r="B143" i="2"/>
  <c r="B134" i="2"/>
  <c r="H37" i="1" s="1"/>
  <c r="B95" i="2"/>
  <c r="B107" i="2"/>
  <c r="AJ49" i="5"/>
  <c r="AK49" i="5" s="1"/>
  <c r="AJ8" i="5"/>
  <c r="AK8" i="5" s="1"/>
  <c r="AJ163" i="5"/>
  <c r="AK163" i="5" s="1"/>
  <c r="AJ130" i="5"/>
  <c r="AK130" i="5" s="1"/>
  <c r="AJ114" i="5"/>
  <c r="AK114" i="5" s="1"/>
  <c r="AJ94" i="5"/>
  <c r="AK94" i="5" s="1"/>
  <c r="AJ33" i="5"/>
  <c r="AK33" i="5" s="1"/>
  <c r="AJ183" i="5"/>
  <c r="AK183" i="5" s="1"/>
  <c r="AJ140" i="5"/>
  <c r="AL140" i="5" s="1"/>
  <c r="AJ122" i="5"/>
  <c r="AK122" i="5" s="1"/>
  <c r="AJ106" i="5"/>
  <c r="AK106" i="5" s="1"/>
  <c r="AJ63" i="5"/>
  <c r="AL63" i="5" s="1"/>
  <c r="H59" i="1"/>
  <c r="B167" i="2" s="1"/>
  <c r="B86" i="2"/>
  <c r="B87" i="2" s="1"/>
  <c r="B88" i="2" s="1"/>
  <c r="B69" i="2"/>
  <c r="B17" i="5"/>
  <c r="B78" i="2"/>
  <c r="B61" i="2"/>
  <c r="B43" i="2"/>
  <c r="B42" i="2"/>
  <c r="B41" i="2"/>
  <c r="B44" i="2"/>
  <c r="AJ136" i="5"/>
  <c r="AL136" i="5" s="1"/>
  <c r="AJ81" i="5"/>
  <c r="AL81" i="5" s="1"/>
  <c r="AJ65" i="5"/>
  <c r="AL65" i="5" s="1"/>
  <c r="AJ47" i="5"/>
  <c r="AK47" i="5" s="1"/>
  <c r="AJ31" i="5"/>
  <c r="AK31" i="5" s="1"/>
  <c r="AJ195" i="5"/>
  <c r="AL195" i="5" s="1"/>
  <c r="AJ175" i="5"/>
  <c r="AK175" i="5" s="1"/>
  <c r="AJ159" i="5"/>
  <c r="AK159" i="5" s="1"/>
  <c r="AJ138" i="5"/>
  <c r="AK138" i="5" s="1"/>
  <c r="AJ128" i="5"/>
  <c r="AL128" i="5" s="1"/>
  <c r="AJ120" i="5"/>
  <c r="AL120" i="5" s="1"/>
  <c r="AJ112" i="5"/>
  <c r="AL112" i="5" s="1"/>
  <c r="AJ102" i="5"/>
  <c r="AK102" i="5" s="1"/>
  <c r="AJ92" i="5"/>
  <c r="AL92" i="5" s="1"/>
  <c r="AJ53" i="5"/>
  <c r="AK53" i="5" s="1"/>
  <c r="AJ34" i="5"/>
  <c r="AK34" i="5" s="1"/>
  <c r="AJ7" i="5"/>
  <c r="AL7" i="5" s="1"/>
  <c r="AJ161" i="5"/>
  <c r="AK161" i="5" s="1"/>
  <c r="AJ147" i="5"/>
  <c r="AL147" i="5" s="1"/>
  <c r="AJ91" i="5"/>
  <c r="AK91" i="5" s="1"/>
  <c r="AJ75" i="5"/>
  <c r="AK75" i="5" s="1"/>
  <c r="AJ59" i="5"/>
  <c r="AK59" i="5" s="1"/>
  <c r="AJ44" i="5"/>
  <c r="AK44" i="5" s="1"/>
  <c r="AJ28" i="5"/>
  <c r="AK28" i="5" s="1"/>
  <c r="AJ191" i="5"/>
  <c r="AL191" i="5" s="1"/>
  <c r="AJ171" i="5"/>
  <c r="AK171" i="5" s="1"/>
  <c r="AJ155" i="5"/>
  <c r="AK155" i="5" s="1"/>
  <c r="AJ134" i="5"/>
  <c r="AK134" i="5" s="1"/>
  <c r="AJ126" i="5"/>
  <c r="AK126" i="5" s="1"/>
  <c r="AJ118" i="5"/>
  <c r="AL118" i="5" s="1"/>
  <c r="AJ110" i="5"/>
  <c r="AK110" i="5" s="1"/>
  <c r="AJ100" i="5"/>
  <c r="AK100" i="5" s="1"/>
  <c r="AJ88" i="5"/>
  <c r="AK88" i="5" s="1"/>
  <c r="AJ37" i="5"/>
  <c r="AK37" i="5" s="1"/>
  <c r="B56" i="2"/>
  <c r="AJ104" i="5"/>
  <c r="AK104" i="5" s="1"/>
  <c r="AJ96" i="5"/>
  <c r="AL96" i="5" s="1"/>
  <c r="AJ79" i="5"/>
  <c r="AK79" i="5" s="1"/>
  <c r="AJ48" i="5"/>
  <c r="AL48" i="5" s="1"/>
  <c r="B19" i="2"/>
  <c r="H16" i="1" s="1"/>
  <c r="B29" i="2"/>
  <c r="AJ85" i="5"/>
  <c r="AK85" i="5" s="1"/>
  <c r="AJ69" i="5"/>
  <c r="AL69" i="5" s="1"/>
  <c r="AJ51" i="5"/>
  <c r="AL51" i="5" s="1"/>
  <c r="AJ35" i="5"/>
  <c r="AL35" i="5" s="1"/>
  <c r="AJ32" i="5"/>
  <c r="AK32" i="5" s="1"/>
  <c r="AJ90" i="5"/>
  <c r="AK90" i="5" s="1"/>
  <c r="AJ74" i="5"/>
  <c r="AL74" i="5" s="1"/>
  <c r="AJ58" i="5"/>
  <c r="AL58" i="5" s="1"/>
  <c r="AJ42" i="5"/>
  <c r="AK42" i="5" s="1"/>
  <c r="AJ26" i="5"/>
  <c r="AK26" i="5" s="1"/>
  <c r="AJ21" i="5"/>
  <c r="AK21" i="5" s="1"/>
  <c r="B140" i="2"/>
  <c r="AK430" i="5"/>
  <c r="AL430" i="5"/>
  <c r="AK497" i="5"/>
  <c r="AL497" i="5"/>
  <c r="AK372" i="5"/>
  <c r="AL372" i="5"/>
  <c r="AK446" i="5"/>
  <c r="AL446" i="5"/>
  <c r="AK217" i="5"/>
  <c r="AL217" i="5"/>
  <c r="AK495" i="5"/>
  <c r="AL495" i="5"/>
  <c r="AL400" i="5"/>
  <c r="AK400" i="5"/>
  <c r="AK552" i="5"/>
  <c r="AL552" i="5"/>
  <c r="AL488" i="5"/>
  <c r="AK488" i="5"/>
  <c r="AK443" i="5"/>
  <c r="AL443" i="5"/>
  <c r="AK293" i="5"/>
  <c r="AL293" i="5"/>
  <c r="AK409" i="5"/>
  <c r="AL409" i="5"/>
  <c r="AL341" i="5"/>
  <c r="AK341" i="5"/>
  <c r="AK245" i="5"/>
  <c r="AL245" i="5"/>
  <c r="AK525" i="5"/>
  <c r="AL525" i="5"/>
  <c r="AK469" i="5"/>
  <c r="AL469" i="5"/>
  <c r="AK363" i="5"/>
  <c r="AL363" i="5"/>
  <c r="AL282" i="5"/>
  <c r="AK282" i="5"/>
  <c r="AK299" i="5"/>
  <c r="AL299" i="5"/>
  <c r="AL177" i="5"/>
  <c r="AK177" i="5"/>
  <c r="AK342" i="5"/>
  <c r="AL342" i="5"/>
  <c r="AK534" i="5"/>
  <c r="AL534" i="5"/>
  <c r="AK455" i="5"/>
  <c r="AL455" i="5"/>
  <c r="AK285" i="5"/>
  <c r="AL285" i="5"/>
  <c r="AK545" i="5"/>
  <c r="AL545" i="5"/>
  <c r="AK410" i="5"/>
  <c r="AL410" i="5"/>
  <c r="AK329" i="5"/>
  <c r="AL329" i="5"/>
  <c r="AK549" i="5"/>
  <c r="AL549" i="5"/>
  <c r="AL503" i="5"/>
  <c r="AK503" i="5"/>
  <c r="AK441" i="5"/>
  <c r="AL441" i="5"/>
  <c r="AK344" i="5"/>
  <c r="AL344" i="5"/>
  <c r="AK548" i="5"/>
  <c r="AL548" i="5"/>
  <c r="AL514" i="5"/>
  <c r="AK514" i="5"/>
  <c r="AL467" i="5"/>
  <c r="AK467" i="5"/>
  <c r="AK435" i="5"/>
  <c r="AL435" i="5"/>
  <c r="AL389" i="5"/>
  <c r="AK389" i="5"/>
  <c r="AK271" i="5"/>
  <c r="AL271" i="5"/>
  <c r="AK253" i="5"/>
  <c r="AL253" i="5"/>
  <c r="AK433" i="5"/>
  <c r="AL433" i="5"/>
  <c r="AK401" i="5"/>
  <c r="AL401" i="5"/>
  <c r="AL385" i="5"/>
  <c r="AK385" i="5"/>
  <c r="AL365" i="5"/>
  <c r="AK365" i="5"/>
  <c r="AL349" i="5"/>
  <c r="AK349" i="5"/>
  <c r="AL333" i="5"/>
  <c r="AK333" i="5"/>
  <c r="AK318" i="5"/>
  <c r="AL318" i="5"/>
  <c r="AL301" i="5"/>
  <c r="AK301" i="5"/>
  <c r="AK269" i="5"/>
  <c r="AL269" i="5"/>
  <c r="AK221" i="5"/>
  <c r="AL221" i="5"/>
  <c r="AL127" i="5"/>
  <c r="AK127" i="5"/>
  <c r="AL559" i="5"/>
  <c r="AK559" i="5"/>
  <c r="AL543" i="5"/>
  <c r="AK543" i="5"/>
  <c r="AK529" i="5"/>
  <c r="AL529" i="5"/>
  <c r="AL519" i="5"/>
  <c r="AK519" i="5"/>
  <c r="AK509" i="5"/>
  <c r="AL509" i="5"/>
  <c r="AL494" i="5"/>
  <c r="AK494" i="5"/>
  <c r="AL478" i="5"/>
  <c r="AK478" i="5"/>
  <c r="AL462" i="5"/>
  <c r="AK462" i="5"/>
  <c r="AK396" i="5"/>
  <c r="AL396" i="5"/>
  <c r="AK383" i="5"/>
  <c r="AL383" i="5"/>
  <c r="AK371" i="5"/>
  <c r="AL371" i="5"/>
  <c r="AK355" i="5"/>
  <c r="AL355" i="5"/>
  <c r="AK339" i="5"/>
  <c r="AL339" i="5"/>
  <c r="AL321" i="5"/>
  <c r="AK321" i="5"/>
  <c r="AK296" i="5"/>
  <c r="AL296" i="5"/>
  <c r="AK264" i="5"/>
  <c r="AL264" i="5"/>
  <c r="AK194" i="5"/>
  <c r="AL194" i="5"/>
  <c r="AL324" i="5"/>
  <c r="AK324" i="5"/>
  <c r="AL308" i="5"/>
  <c r="AK308" i="5"/>
  <c r="AL292" i="5"/>
  <c r="AK292" i="5"/>
  <c r="AL276" i="5"/>
  <c r="AK276" i="5"/>
  <c r="AL260" i="5"/>
  <c r="AK260" i="5"/>
  <c r="AL252" i="5"/>
  <c r="AK252" i="5"/>
  <c r="AK244" i="5"/>
  <c r="AL244" i="5"/>
  <c r="AL231" i="5"/>
  <c r="AK231" i="5"/>
  <c r="AK212" i="5"/>
  <c r="AL212" i="5"/>
  <c r="AK193" i="5"/>
  <c r="AL193" i="5"/>
  <c r="AK67" i="5"/>
  <c r="AL67" i="5"/>
  <c r="AK20" i="5"/>
  <c r="AL20" i="5"/>
  <c r="AL235" i="5"/>
  <c r="AK235" i="5"/>
  <c r="AK218" i="5"/>
  <c r="AL218" i="5"/>
  <c r="AK202" i="5"/>
  <c r="AL202" i="5"/>
  <c r="AK186" i="5"/>
  <c r="AL186" i="5"/>
  <c r="AK139" i="5"/>
  <c r="AL139" i="5"/>
  <c r="AK107" i="5"/>
  <c r="AL107" i="5"/>
  <c r="AK55" i="5"/>
  <c r="AL55" i="5"/>
  <c r="AL326" i="5"/>
  <c r="AK326" i="5"/>
  <c r="AK307" i="5"/>
  <c r="AL307" i="5"/>
  <c r="AK291" i="5"/>
  <c r="AL291" i="5"/>
  <c r="AK275" i="5"/>
  <c r="AL275" i="5"/>
  <c r="AK259" i="5"/>
  <c r="AL259" i="5"/>
  <c r="AL239" i="5"/>
  <c r="AK239" i="5"/>
  <c r="AL223" i="5"/>
  <c r="AK223" i="5"/>
  <c r="AL207" i="5"/>
  <c r="AK207" i="5"/>
  <c r="AK189" i="5"/>
  <c r="AL189" i="5"/>
  <c r="AL89" i="5"/>
  <c r="AK89" i="5"/>
  <c r="AK188" i="5"/>
  <c r="AL188" i="5"/>
  <c r="AL174" i="5"/>
  <c r="AK174" i="5"/>
  <c r="AL166" i="5"/>
  <c r="AK166" i="5"/>
  <c r="AL158" i="5"/>
  <c r="AK158" i="5"/>
  <c r="AL146" i="5"/>
  <c r="AK146" i="5"/>
  <c r="AK125" i="5"/>
  <c r="AL125" i="5"/>
  <c r="AK109" i="5"/>
  <c r="AL109" i="5"/>
  <c r="AK93" i="5"/>
  <c r="AL93" i="5"/>
  <c r="AL77" i="5"/>
  <c r="AK77" i="5"/>
  <c r="AL61" i="5"/>
  <c r="AK61" i="5"/>
  <c r="AL43" i="5"/>
  <c r="AK43" i="5"/>
  <c r="AL27" i="5"/>
  <c r="AK27" i="5"/>
  <c r="AK173" i="5"/>
  <c r="AL173" i="5"/>
  <c r="AL157" i="5"/>
  <c r="AK157" i="5"/>
  <c r="AK145" i="5"/>
  <c r="AL145" i="5"/>
  <c r="AK86" i="5"/>
  <c r="AL86" i="5"/>
  <c r="AK70" i="5"/>
  <c r="AL70" i="5"/>
  <c r="AK54" i="5"/>
  <c r="AL54" i="5"/>
  <c r="AK38" i="5"/>
  <c r="AL38" i="5"/>
  <c r="AK22" i="5"/>
  <c r="AL22" i="5"/>
  <c r="AL187" i="5"/>
  <c r="AK187" i="5"/>
  <c r="AK167" i="5"/>
  <c r="AL167" i="5"/>
  <c r="AK149" i="5"/>
  <c r="AL149" i="5"/>
  <c r="AL132" i="5"/>
  <c r="AK132" i="5"/>
  <c r="AL124" i="5"/>
  <c r="AK124" i="5"/>
  <c r="AL116" i="5"/>
  <c r="AK116" i="5"/>
  <c r="AL108" i="5"/>
  <c r="AK108" i="5"/>
  <c r="AK358" i="5"/>
  <c r="AL358" i="5"/>
  <c r="AK19" i="5"/>
  <c r="AL19" i="5"/>
  <c r="AL420" i="5"/>
  <c r="AK420" i="5"/>
  <c r="AK557" i="5"/>
  <c r="AL557" i="5"/>
  <c r="AK505" i="5"/>
  <c r="AL505" i="5"/>
  <c r="AK386" i="5"/>
  <c r="AL386" i="5"/>
  <c r="AL448" i="5"/>
  <c r="AK448" i="5"/>
  <c r="AK537" i="5"/>
  <c r="AL537" i="5"/>
  <c r="AK481" i="5"/>
  <c r="AL481" i="5"/>
  <c r="AL432" i="5"/>
  <c r="AK432" i="5"/>
  <c r="AK360" i="5"/>
  <c r="AL360" i="5"/>
  <c r="AK544" i="5"/>
  <c r="AL544" i="5"/>
  <c r="AL520" i="5"/>
  <c r="AK520" i="5"/>
  <c r="AL472" i="5"/>
  <c r="AK472" i="5"/>
  <c r="AK427" i="5"/>
  <c r="AL427" i="5"/>
  <c r="AL332" i="5"/>
  <c r="AK332" i="5"/>
  <c r="AK135" i="5"/>
  <c r="AL135" i="5"/>
  <c r="AK392" i="5"/>
  <c r="AL392" i="5"/>
  <c r="AL357" i="5"/>
  <c r="AK357" i="5"/>
  <c r="AK310" i="5"/>
  <c r="AL310" i="5"/>
  <c r="AK205" i="5"/>
  <c r="AL205" i="5"/>
  <c r="AL551" i="5"/>
  <c r="AK551" i="5"/>
  <c r="AK513" i="5"/>
  <c r="AL513" i="5"/>
  <c r="AK485" i="5"/>
  <c r="AL485" i="5"/>
  <c r="AK390" i="5"/>
  <c r="AL390" i="5"/>
  <c r="AK347" i="5"/>
  <c r="AL347" i="5"/>
  <c r="AL313" i="5"/>
  <c r="AK313" i="5"/>
  <c r="AL152" i="5"/>
  <c r="AK152" i="5"/>
  <c r="AK283" i="5"/>
  <c r="AL283" i="5"/>
  <c r="AL256" i="5"/>
  <c r="AK256" i="5"/>
  <c r="AK236" i="5"/>
  <c r="AL236" i="5"/>
  <c r="AK204" i="5"/>
  <c r="AL204" i="5"/>
  <c r="AK39" i="5"/>
  <c r="AL39" i="5"/>
  <c r="AK224" i="5"/>
  <c r="AL224" i="5"/>
  <c r="AK315" i="5"/>
  <c r="AL315" i="5"/>
  <c r="AK457" i="5"/>
  <c r="AL457" i="5"/>
  <c r="AL397" i="5"/>
  <c r="AK397" i="5"/>
  <c r="AK201" i="5"/>
  <c r="AL201" i="5"/>
  <c r="AK510" i="5"/>
  <c r="AL510" i="5"/>
  <c r="AK487" i="5"/>
  <c r="AL487" i="5"/>
  <c r="AL404" i="5"/>
  <c r="AK404" i="5"/>
  <c r="AK356" i="5"/>
  <c r="AL356" i="5"/>
  <c r="AL452" i="5"/>
  <c r="AK452" i="5"/>
  <c r="AL468" i="5"/>
  <c r="AK468" i="5"/>
  <c r="AK438" i="5"/>
  <c r="AL438" i="5"/>
  <c r="AL362" i="5"/>
  <c r="AK362" i="5"/>
  <c r="AK479" i="5"/>
  <c r="AL479" i="5"/>
  <c r="AK422" i="5"/>
  <c r="AL422" i="5"/>
  <c r="AL512" i="5"/>
  <c r="AK512" i="5"/>
  <c r="AK463" i="5"/>
  <c r="AL463" i="5"/>
  <c r="AK471" i="5"/>
  <c r="AL471" i="5"/>
  <c r="AL416" i="5"/>
  <c r="AK416" i="5"/>
  <c r="AK376" i="5"/>
  <c r="AL376" i="5"/>
  <c r="AK209" i="5"/>
  <c r="AL209" i="5"/>
  <c r="AK540" i="5"/>
  <c r="AL540" i="5"/>
  <c r="AL530" i="5"/>
  <c r="AK530" i="5"/>
  <c r="AL499" i="5"/>
  <c r="AK499" i="5"/>
  <c r="AL483" i="5"/>
  <c r="AK483" i="5"/>
  <c r="AK451" i="5"/>
  <c r="AL451" i="5"/>
  <c r="AK419" i="5"/>
  <c r="AL419" i="5"/>
  <c r="AK403" i="5"/>
  <c r="AL403" i="5"/>
  <c r="AK303" i="5"/>
  <c r="AL303" i="5"/>
  <c r="AK417" i="5"/>
  <c r="AL417" i="5"/>
  <c r="AK554" i="5"/>
  <c r="AL554" i="5"/>
  <c r="AL444" i="5"/>
  <c r="AK444" i="5"/>
  <c r="AK366" i="5"/>
  <c r="AL366" i="5"/>
  <c r="AK334" i="5"/>
  <c r="AL334" i="5"/>
  <c r="AK111" i="5"/>
  <c r="AL111" i="5"/>
  <c r="AK526" i="5"/>
  <c r="AL526" i="5"/>
  <c r="AK506" i="5"/>
  <c r="AL506" i="5"/>
  <c r="AK474" i="5"/>
  <c r="AL474" i="5"/>
  <c r="AL428" i="5"/>
  <c r="AK428" i="5"/>
  <c r="AK380" i="5"/>
  <c r="AL380" i="5"/>
  <c r="AK348" i="5"/>
  <c r="AL348" i="5"/>
  <c r="AK78" i="5"/>
  <c r="AL78" i="5"/>
  <c r="AL436" i="5"/>
  <c r="AK436" i="5"/>
  <c r="AL528" i="5"/>
  <c r="AK528" i="5"/>
  <c r="AK450" i="5"/>
  <c r="AL450" i="5"/>
  <c r="AK434" i="5"/>
  <c r="AL434" i="5"/>
  <c r="AK402" i="5"/>
  <c r="AL402" i="5"/>
  <c r="AK354" i="5"/>
  <c r="AL354" i="5"/>
  <c r="AK263" i="5"/>
  <c r="AL263" i="5"/>
  <c r="AK466" i="5"/>
  <c r="AL466" i="5"/>
  <c r="AK406" i="5"/>
  <c r="AL406" i="5"/>
  <c r="AK541" i="5"/>
  <c r="AL541" i="5"/>
  <c r="AL500" i="5"/>
  <c r="AK500" i="5"/>
  <c r="AK560" i="5"/>
  <c r="AL560" i="5"/>
  <c r="AK490" i="5"/>
  <c r="AL490" i="5"/>
  <c r="AK458" i="5"/>
  <c r="AL458" i="5"/>
  <c r="AK437" i="5"/>
  <c r="AL437" i="5"/>
  <c r="AL408" i="5"/>
  <c r="AK408" i="5"/>
  <c r="AK368" i="5"/>
  <c r="AL368" i="5"/>
  <c r="AK336" i="5"/>
  <c r="AL336" i="5"/>
  <c r="AL144" i="5"/>
  <c r="AK144" i="5"/>
  <c r="AK546" i="5"/>
  <c r="AL546" i="5"/>
  <c r="AK538" i="5"/>
  <c r="AL538" i="5"/>
  <c r="AL524" i="5"/>
  <c r="AK524" i="5"/>
  <c r="AL508" i="5"/>
  <c r="AK508" i="5"/>
  <c r="AK493" i="5"/>
  <c r="AL493" i="5"/>
  <c r="AK477" i="5"/>
  <c r="AL477" i="5"/>
  <c r="AK461" i="5"/>
  <c r="AL461" i="5"/>
  <c r="AK447" i="5"/>
  <c r="AL447" i="5"/>
  <c r="AK431" i="5"/>
  <c r="AL431" i="5"/>
  <c r="AK415" i="5"/>
  <c r="AL415" i="5"/>
  <c r="AK399" i="5"/>
  <c r="AL399" i="5"/>
  <c r="AK378" i="5"/>
  <c r="AL378" i="5"/>
  <c r="AL298" i="5"/>
  <c r="AK298" i="5"/>
  <c r="AL266" i="5"/>
  <c r="AK266" i="5"/>
  <c r="AL232" i="5"/>
  <c r="AK232" i="5"/>
  <c r="AK429" i="5"/>
  <c r="AL429" i="5"/>
  <c r="AK413" i="5"/>
  <c r="AL413" i="5"/>
  <c r="AK395" i="5"/>
  <c r="AL395" i="5"/>
  <c r="AL381" i="5"/>
  <c r="AK381" i="5"/>
  <c r="AL361" i="5"/>
  <c r="AK361" i="5"/>
  <c r="AL345" i="5"/>
  <c r="AK345" i="5"/>
  <c r="AK331" i="5"/>
  <c r="AL331" i="5"/>
  <c r="AK314" i="5"/>
  <c r="AL314" i="5"/>
  <c r="AK288" i="5"/>
  <c r="AL288" i="5"/>
  <c r="AK249" i="5"/>
  <c r="AL249" i="5"/>
  <c r="AK213" i="5"/>
  <c r="AL213" i="5"/>
  <c r="AK95" i="5"/>
  <c r="AL95" i="5"/>
  <c r="AL555" i="5"/>
  <c r="AK555" i="5"/>
  <c r="AL539" i="5"/>
  <c r="AK539" i="5"/>
  <c r="AL527" i="5"/>
  <c r="AK527" i="5"/>
  <c r="AK517" i="5"/>
  <c r="AL517" i="5"/>
  <c r="AK507" i="5"/>
  <c r="AL507" i="5"/>
  <c r="AL491" i="5"/>
  <c r="AK491" i="5"/>
  <c r="AL475" i="5"/>
  <c r="AK475" i="5"/>
  <c r="AK459" i="5"/>
  <c r="AL459" i="5"/>
  <c r="AK394" i="5"/>
  <c r="AL394" i="5"/>
  <c r="AK379" i="5"/>
  <c r="AL379" i="5"/>
  <c r="AK367" i="5"/>
  <c r="AL367" i="5"/>
  <c r="AK351" i="5"/>
  <c r="AL351" i="5"/>
  <c r="AK335" i="5"/>
  <c r="AL335" i="5"/>
  <c r="AL317" i="5"/>
  <c r="AK317" i="5"/>
  <c r="AK287" i="5"/>
  <c r="AL287" i="5"/>
  <c r="AL247" i="5"/>
  <c r="AK247" i="5"/>
  <c r="AK179" i="5"/>
  <c r="AL179" i="5"/>
  <c r="AL320" i="5"/>
  <c r="AK320" i="5"/>
  <c r="AL305" i="5"/>
  <c r="AK305" i="5"/>
  <c r="AK289" i="5"/>
  <c r="AL289" i="5"/>
  <c r="AK273" i="5"/>
  <c r="AL273" i="5"/>
  <c r="AL258" i="5"/>
  <c r="AK258" i="5"/>
  <c r="AL250" i="5"/>
  <c r="AK250" i="5"/>
  <c r="AL241" i="5"/>
  <c r="AK241" i="5"/>
  <c r="AK225" i="5"/>
  <c r="AL225" i="5"/>
  <c r="AK208" i="5"/>
  <c r="AL208" i="5"/>
  <c r="AL178" i="5"/>
  <c r="AK178" i="5"/>
  <c r="AL57" i="5"/>
  <c r="AK57" i="5"/>
  <c r="AK242" i="5"/>
  <c r="AL242" i="5"/>
  <c r="AK229" i="5"/>
  <c r="AL229" i="5"/>
  <c r="AK214" i="5"/>
  <c r="AL214" i="5"/>
  <c r="AK198" i="5"/>
  <c r="AL198" i="5"/>
  <c r="AK182" i="5"/>
  <c r="AL182" i="5"/>
  <c r="AK131" i="5"/>
  <c r="AL131" i="5"/>
  <c r="AK99" i="5"/>
  <c r="AL99" i="5"/>
  <c r="AK46" i="5"/>
  <c r="AL46" i="5"/>
  <c r="AK319" i="5"/>
  <c r="AL319" i="5"/>
  <c r="AL302" i="5"/>
  <c r="AK302" i="5"/>
  <c r="AL286" i="5"/>
  <c r="AK286" i="5"/>
  <c r="AL270" i="5"/>
  <c r="AK270" i="5"/>
  <c r="AK255" i="5"/>
  <c r="AL255" i="5"/>
  <c r="AK233" i="5"/>
  <c r="AL233" i="5"/>
  <c r="AL219" i="5"/>
  <c r="AK219" i="5"/>
  <c r="AL203" i="5"/>
  <c r="AK203" i="5"/>
  <c r="AK185" i="5"/>
  <c r="AL185" i="5"/>
  <c r="AK62" i="5"/>
  <c r="AL62" i="5"/>
  <c r="AK184" i="5"/>
  <c r="AL184" i="5"/>
  <c r="AL172" i="5"/>
  <c r="AK172" i="5"/>
  <c r="AL164" i="5"/>
  <c r="AK164" i="5"/>
  <c r="AL156" i="5"/>
  <c r="AK156" i="5"/>
  <c r="AL143" i="5"/>
  <c r="AK143" i="5"/>
  <c r="AK121" i="5"/>
  <c r="AL121" i="5"/>
  <c r="AK105" i="5"/>
  <c r="AL105" i="5"/>
  <c r="AK87" i="5"/>
  <c r="AL87" i="5"/>
  <c r="AK71" i="5"/>
  <c r="AL71" i="5"/>
  <c r="AL56" i="5"/>
  <c r="AK56" i="5"/>
  <c r="AK40" i="5"/>
  <c r="AL40" i="5"/>
  <c r="AK24" i="5"/>
  <c r="AL24" i="5"/>
  <c r="AK169" i="5"/>
  <c r="AL169" i="5"/>
  <c r="AL153" i="5"/>
  <c r="AK153" i="5"/>
  <c r="AK141" i="5"/>
  <c r="AL141" i="5"/>
  <c r="AK84" i="5"/>
  <c r="AL84" i="5"/>
  <c r="AK68" i="5"/>
  <c r="AL68" i="5"/>
  <c r="AK98" i="5"/>
  <c r="AL98" i="5"/>
  <c r="AK72" i="5"/>
  <c r="AL72" i="5"/>
  <c r="AK498" i="5"/>
  <c r="AL498" i="5"/>
  <c r="AL290" i="5"/>
  <c r="AK290" i="5"/>
  <c r="AK522" i="5"/>
  <c r="AL522" i="5"/>
  <c r="AK465" i="5"/>
  <c r="AL465" i="5"/>
  <c r="AK340" i="5"/>
  <c r="AL340" i="5"/>
  <c r="AK382" i="5"/>
  <c r="AL382" i="5"/>
  <c r="AK426" i="5"/>
  <c r="AL426" i="5"/>
  <c r="AK346" i="5"/>
  <c r="AL346" i="5"/>
  <c r="AL374" i="5"/>
  <c r="AK374" i="5"/>
  <c r="AK531" i="5"/>
  <c r="AL531" i="5"/>
  <c r="AK449" i="5"/>
  <c r="AL449" i="5"/>
  <c r="AK327" i="5"/>
  <c r="AL327" i="5"/>
  <c r="AK536" i="5"/>
  <c r="AL536" i="5"/>
  <c r="AL504" i="5"/>
  <c r="AK504" i="5"/>
  <c r="AL456" i="5"/>
  <c r="AK456" i="5"/>
  <c r="AK411" i="5"/>
  <c r="AL411" i="5"/>
  <c r="AL393" i="5"/>
  <c r="AK393" i="5"/>
  <c r="AK261" i="5"/>
  <c r="AL261" i="5"/>
  <c r="AK425" i="5"/>
  <c r="AL425" i="5"/>
  <c r="AL373" i="5"/>
  <c r="AK373" i="5"/>
  <c r="AK328" i="5"/>
  <c r="AL328" i="5"/>
  <c r="AK279" i="5"/>
  <c r="AL279" i="5"/>
  <c r="AK60" i="5"/>
  <c r="AL60" i="5"/>
  <c r="AL535" i="5"/>
  <c r="AK535" i="5"/>
  <c r="AK501" i="5"/>
  <c r="AL501" i="5"/>
  <c r="AK453" i="5"/>
  <c r="AL453" i="5"/>
  <c r="AL377" i="5"/>
  <c r="AK377" i="5"/>
  <c r="AL330" i="5"/>
  <c r="AK330" i="5"/>
  <c r="AK237" i="5"/>
  <c r="AL237" i="5"/>
  <c r="AL316" i="5"/>
  <c r="AK316" i="5"/>
  <c r="AK267" i="5"/>
  <c r="AL267" i="5"/>
  <c r="AK248" i="5"/>
  <c r="AL248" i="5"/>
  <c r="AK220" i="5"/>
  <c r="AL220" i="5"/>
  <c r="AK142" i="5"/>
  <c r="AL142" i="5"/>
  <c r="AK240" i="5"/>
  <c r="AL240" i="5"/>
  <c r="AK210" i="5"/>
  <c r="AL210" i="5"/>
  <c r="AK192" i="5"/>
  <c r="AL192" i="5"/>
  <c r="AL123" i="5"/>
  <c r="AK123" i="5"/>
  <c r="AK83" i="5"/>
  <c r="AL83" i="5"/>
  <c r="AK36" i="5"/>
  <c r="AL36" i="5"/>
  <c r="AL300" i="5"/>
  <c r="AK300" i="5"/>
  <c r="AL284" i="5"/>
  <c r="AK284" i="5"/>
  <c r="AL268" i="5"/>
  <c r="AK268" i="5"/>
  <c r="AK251" i="5"/>
  <c r="AL251" i="5"/>
  <c r="AK228" i="5"/>
  <c r="AL228" i="5"/>
  <c r="AL215" i="5"/>
  <c r="AK215" i="5"/>
  <c r="AL199" i="5"/>
  <c r="AK199" i="5"/>
  <c r="AK181" i="5"/>
  <c r="AL181" i="5"/>
  <c r="AL52" i="5"/>
  <c r="AK52" i="5"/>
  <c r="AK180" i="5"/>
  <c r="AL180" i="5"/>
  <c r="AL170" i="5"/>
  <c r="AK170" i="5"/>
  <c r="AL162" i="5"/>
  <c r="AK162" i="5"/>
  <c r="AL154" i="5"/>
  <c r="AK154" i="5"/>
  <c r="AK133" i="5"/>
  <c r="AL133" i="5"/>
  <c r="AK117" i="5"/>
  <c r="AL117" i="5"/>
  <c r="AK101" i="5"/>
  <c r="AL101" i="5"/>
  <c r="AK82" i="5"/>
  <c r="AL82" i="5"/>
  <c r="AK66" i="5"/>
  <c r="AL66" i="5"/>
  <c r="AK50" i="5"/>
  <c r="AL50" i="5"/>
  <c r="AK165" i="5"/>
  <c r="AL165" i="5"/>
  <c r="AK151" i="5"/>
  <c r="AL151" i="5"/>
  <c r="AL484" i="5"/>
  <c r="AK484" i="5"/>
  <c r="AK414" i="5"/>
  <c r="AL414" i="5"/>
  <c r="AK350" i="5"/>
  <c r="AL350" i="5"/>
  <c r="AK272" i="5"/>
  <c r="AL272" i="5"/>
  <c r="AK556" i="5"/>
  <c r="AL556" i="5"/>
  <c r="AK518" i="5"/>
  <c r="AL518" i="5"/>
  <c r="AL492" i="5"/>
  <c r="AK492" i="5"/>
  <c r="AL460" i="5"/>
  <c r="AK460" i="5"/>
  <c r="AL412" i="5"/>
  <c r="AK412" i="5"/>
  <c r="AK364" i="5"/>
  <c r="AL364" i="5"/>
  <c r="AK304" i="5"/>
  <c r="AL304" i="5"/>
  <c r="AK489" i="5"/>
  <c r="AL489" i="5"/>
  <c r="AK558" i="5"/>
  <c r="AL558" i="5"/>
  <c r="AK482" i="5"/>
  <c r="AL482" i="5"/>
  <c r="AK442" i="5"/>
  <c r="AL442" i="5"/>
  <c r="AK418" i="5"/>
  <c r="AL418" i="5"/>
  <c r="AK370" i="5"/>
  <c r="AL370" i="5"/>
  <c r="AK338" i="5"/>
  <c r="AL338" i="5"/>
  <c r="AK41" i="5"/>
  <c r="AL41" i="5"/>
  <c r="AL440" i="5"/>
  <c r="AK440" i="5"/>
  <c r="AK553" i="5"/>
  <c r="AL553" i="5"/>
  <c r="AK521" i="5"/>
  <c r="AL521" i="5"/>
  <c r="AK473" i="5"/>
  <c r="AL473" i="5"/>
  <c r="AK515" i="5"/>
  <c r="AL515" i="5"/>
  <c r="AL476" i="5"/>
  <c r="AK476" i="5"/>
  <c r="AK445" i="5"/>
  <c r="AL445" i="5"/>
  <c r="AL424" i="5"/>
  <c r="AK424" i="5"/>
  <c r="AK384" i="5"/>
  <c r="AL384" i="5"/>
  <c r="AK352" i="5"/>
  <c r="AL352" i="5"/>
  <c r="AK295" i="5"/>
  <c r="AL295" i="5"/>
  <c r="AK550" i="5"/>
  <c r="AL550" i="5"/>
  <c r="AK542" i="5"/>
  <c r="AL542" i="5"/>
  <c r="AL532" i="5"/>
  <c r="AK532" i="5"/>
  <c r="AL516" i="5"/>
  <c r="AK516" i="5"/>
  <c r="AL502" i="5"/>
  <c r="AK502" i="5"/>
  <c r="AL486" i="5"/>
  <c r="AK486" i="5"/>
  <c r="AL470" i="5"/>
  <c r="AK470" i="5"/>
  <c r="AL454" i="5"/>
  <c r="AK454" i="5"/>
  <c r="AK439" i="5"/>
  <c r="AL439" i="5"/>
  <c r="AK423" i="5"/>
  <c r="AL423" i="5"/>
  <c r="AK407" i="5"/>
  <c r="AL407" i="5"/>
  <c r="AL391" i="5"/>
  <c r="AK391" i="5"/>
  <c r="AK323" i="5"/>
  <c r="AL323" i="5"/>
  <c r="AK280" i="5"/>
  <c r="AL280" i="5"/>
  <c r="AK257" i="5"/>
  <c r="AL257" i="5"/>
  <c r="AK103" i="5"/>
  <c r="AL103" i="5"/>
  <c r="AK421" i="5"/>
  <c r="AL421" i="5"/>
  <c r="AK405" i="5"/>
  <c r="AL405" i="5"/>
  <c r="AK387" i="5"/>
  <c r="AL387" i="5"/>
  <c r="AL369" i="5"/>
  <c r="AK369" i="5"/>
  <c r="AL353" i="5"/>
  <c r="AK353" i="5"/>
  <c r="AL337" i="5"/>
  <c r="AK337" i="5"/>
  <c r="AL322" i="5"/>
  <c r="AK322" i="5"/>
  <c r="AL306" i="5"/>
  <c r="AK306" i="5"/>
  <c r="AL274" i="5"/>
  <c r="AK274" i="5"/>
  <c r="AK230" i="5"/>
  <c r="AL230" i="5"/>
  <c r="AK196" i="5"/>
  <c r="AL196" i="5"/>
  <c r="AK23" i="5"/>
  <c r="AL23" i="5"/>
  <c r="AL547" i="5"/>
  <c r="AK547" i="5"/>
  <c r="AK533" i="5"/>
  <c r="AL533" i="5"/>
  <c r="AK523" i="5"/>
  <c r="AL523" i="5"/>
  <c r="AL511" i="5"/>
  <c r="AK511" i="5"/>
  <c r="AL496" i="5"/>
  <c r="AK496" i="5"/>
  <c r="AL480" i="5"/>
  <c r="AK480" i="5"/>
  <c r="AL464" i="5"/>
  <c r="AK464" i="5"/>
  <c r="AK398" i="5"/>
  <c r="AL398" i="5"/>
  <c r="AL388" i="5"/>
  <c r="AK388" i="5"/>
  <c r="AK375" i="5"/>
  <c r="AL375" i="5"/>
  <c r="AK359" i="5"/>
  <c r="AL359" i="5"/>
  <c r="AK343" i="5"/>
  <c r="AL343" i="5"/>
  <c r="AK325" i="5"/>
  <c r="AL325" i="5"/>
  <c r="AL309" i="5"/>
  <c r="AK309" i="5"/>
  <c r="AK277" i="5"/>
  <c r="AL277" i="5"/>
  <c r="AL227" i="5"/>
  <c r="AK227" i="5"/>
  <c r="AK119" i="5"/>
  <c r="AL119" i="5"/>
  <c r="AL312" i="5"/>
  <c r="AK312" i="5"/>
  <c r="AL294" i="5"/>
  <c r="AK294" i="5"/>
  <c r="AL278" i="5"/>
  <c r="AK278" i="5"/>
  <c r="AL262" i="5"/>
  <c r="AK262" i="5"/>
  <c r="AL254" i="5"/>
  <c r="AK254" i="5"/>
  <c r="AL246" i="5"/>
  <c r="AK246" i="5"/>
  <c r="AL234" i="5"/>
  <c r="AK234" i="5"/>
  <c r="AK216" i="5"/>
  <c r="AL216" i="5"/>
  <c r="AK200" i="5"/>
  <c r="AL200" i="5"/>
  <c r="AK76" i="5"/>
  <c r="AL76" i="5"/>
  <c r="AK30" i="5"/>
  <c r="AL30" i="5"/>
  <c r="AK238" i="5"/>
  <c r="AL238" i="5"/>
  <c r="AK222" i="5"/>
  <c r="AL222" i="5"/>
  <c r="AK206" i="5"/>
  <c r="AL206" i="5"/>
  <c r="AK190" i="5"/>
  <c r="AL190" i="5"/>
  <c r="AL148" i="5"/>
  <c r="AK148" i="5"/>
  <c r="AK115" i="5"/>
  <c r="AL115" i="5"/>
  <c r="AL73" i="5"/>
  <c r="AK73" i="5"/>
  <c r="AL13" i="5"/>
  <c r="AK13" i="5"/>
  <c r="AK311" i="5"/>
  <c r="AL311" i="5"/>
  <c r="AL297" i="5"/>
  <c r="AK297" i="5"/>
  <c r="AK281" i="5"/>
  <c r="AL281" i="5"/>
  <c r="AK265" i="5"/>
  <c r="AL265" i="5"/>
  <c r="AL243" i="5"/>
  <c r="AK243" i="5"/>
  <c r="AK226" i="5"/>
  <c r="AL226" i="5"/>
  <c r="AL211" i="5"/>
  <c r="AK211" i="5"/>
  <c r="AK197" i="5"/>
  <c r="AL197" i="5"/>
  <c r="AK137" i="5"/>
  <c r="AL137" i="5"/>
  <c r="AK25" i="5"/>
  <c r="AL25" i="5"/>
  <c r="AL176" i="5"/>
  <c r="AK176" i="5"/>
  <c r="AL168" i="5"/>
  <c r="AK168" i="5"/>
  <c r="AL160" i="5"/>
  <c r="AK160" i="5"/>
  <c r="AL150" i="5"/>
  <c r="AK150" i="5"/>
  <c r="AK129" i="5"/>
  <c r="AL129" i="5"/>
  <c r="AK113" i="5"/>
  <c r="AL113" i="5"/>
  <c r="AK97" i="5"/>
  <c r="AL97" i="5"/>
  <c r="AL80" i="5"/>
  <c r="AK80" i="5"/>
  <c r="AL64" i="5"/>
  <c r="AK64" i="5"/>
  <c r="AK45" i="5"/>
  <c r="AL45" i="5"/>
  <c r="AK29" i="5"/>
  <c r="AL29" i="5"/>
  <c r="AK12" i="5"/>
  <c r="AL12" i="5"/>
  <c r="B66" i="5"/>
  <c r="B73" i="5" s="1"/>
  <c r="B67" i="5"/>
  <c r="B141" i="2"/>
  <c r="B215" i="2"/>
  <c r="B19" i="3"/>
  <c r="B20" i="3" s="1"/>
  <c r="B20" i="2" s="1"/>
  <c r="B213" i="2"/>
  <c r="H87" i="1"/>
  <c r="B35" i="2"/>
  <c r="B33" i="2"/>
  <c r="B194" i="2"/>
  <c r="K8" i="2"/>
  <c r="Q53" i="1"/>
  <c r="AU8" i="5"/>
  <c r="B192" i="2"/>
  <c r="B191" i="2"/>
  <c r="B184" i="2"/>
  <c r="T7" i="5"/>
  <c r="V7" i="5" s="1"/>
  <c r="AV7" i="5"/>
  <c r="BC7" i="5"/>
  <c r="AU7" i="5"/>
  <c r="B3" i="8"/>
  <c r="B12" i="5"/>
  <c r="B5" i="8"/>
  <c r="B11" i="5"/>
  <c r="B4" i="8"/>
  <c r="M8" i="4"/>
  <c r="AP7" i="4"/>
  <c r="R15" i="4"/>
  <c r="R17" i="4"/>
  <c r="R19" i="4"/>
  <c r="R21" i="4"/>
  <c r="R23" i="4"/>
  <c r="R25" i="4"/>
  <c r="R27" i="4"/>
  <c r="R29" i="4"/>
  <c r="R31" i="4"/>
  <c r="R33" i="4"/>
  <c r="R35" i="4"/>
  <c r="R37" i="4"/>
  <c r="R39" i="4"/>
  <c r="R41" i="4"/>
  <c r="R20" i="4"/>
  <c r="R28" i="4"/>
  <c r="R36" i="4"/>
  <c r="R16" i="4"/>
  <c r="R30" i="4"/>
  <c r="R34" i="4"/>
  <c r="R44" i="4"/>
  <c r="R49" i="4"/>
  <c r="R52" i="4"/>
  <c r="R57" i="4"/>
  <c r="R60" i="4"/>
  <c r="R65" i="4"/>
  <c r="R68" i="4"/>
  <c r="R73" i="4"/>
  <c r="R76" i="4"/>
  <c r="R81" i="4"/>
  <c r="R84" i="4"/>
  <c r="R89" i="4"/>
  <c r="R92" i="4"/>
  <c r="R97" i="4"/>
  <c r="R100" i="4"/>
  <c r="R105" i="4"/>
  <c r="R108" i="4"/>
  <c r="R113" i="4"/>
  <c r="R116" i="4"/>
  <c r="R121" i="4"/>
  <c r="R124" i="4"/>
  <c r="R129" i="4"/>
  <c r="R132" i="4"/>
  <c r="R137" i="4"/>
  <c r="R140" i="4"/>
  <c r="R145" i="4"/>
  <c r="R148" i="4"/>
  <c r="R153" i="4"/>
  <c r="R156" i="4"/>
  <c r="R11" i="4"/>
  <c r="R14" i="4"/>
  <c r="R24" i="4"/>
  <c r="R38" i="4"/>
  <c r="R42" i="4"/>
  <c r="R47" i="4"/>
  <c r="R50" i="4"/>
  <c r="R55" i="4"/>
  <c r="R58" i="4"/>
  <c r="R63" i="4"/>
  <c r="R66" i="4"/>
  <c r="R71" i="4"/>
  <c r="R74" i="4"/>
  <c r="R79" i="4"/>
  <c r="R82" i="4"/>
  <c r="R87" i="4"/>
  <c r="R90" i="4"/>
  <c r="R95" i="4"/>
  <c r="R98" i="4"/>
  <c r="R103" i="4"/>
  <c r="R106" i="4"/>
  <c r="R111" i="4"/>
  <c r="R114" i="4"/>
  <c r="R119" i="4"/>
  <c r="R122" i="4"/>
  <c r="R127" i="4"/>
  <c r="R130" i="4"/>
  <c r="R135" i="4"/>
  <c r="R138" i="4"/>
  <c r="R143" i="4"/>
  <c r="R146" i="4"/>
  <c r="R151" i="4"/>
  <c r="R154" i="4"/>
  <c r="R9" i="4"/>
  <c r="R12" i="4"/>
  <c r="R18" i="4"/>
  <c r="R32" i="4"/>
  <c r="R45" i="4"/>
  <c r="R48" i="4"/>
  <c r="R53" i="4"/>
  <c r="R56" i="4"/>
  <c r="R61" i="4"/>
  <c r="R64" i="4"/>
  <c r="R69" i="4"/>
  <c r="R72" i="4"/>
  <c r="R77" i="4"/>
  <c r="R80" i="4"/>
  <c r="R85" i="4"/>
  <c r="R88" i="4"/>
  <c r="R93" i="4"/>
  <c r="R96" i="4"/>
  <c r="R101" i="4"/>
  <c r="R104" i="4"/>
  <c r="R109" i="4"/>
  <c r="R112" i="4"/>
  <c r="R117" i="4"/>
  <c r="R120" i="4"/>
  <c r="R125" i="4"/>
  <c r="R128" i="4"/>
  <c r="R133" i="4"/>
  <c r="R136" i="4"/>
  <c r="R141" i="4"/>
  <c r="R144" i="4"/>
  <c r="R149" i="4"/>
  <c r="R152" i="4"/>
  <c r="R157" i="4"/>
  <c r="R10" i="4"/>
  <c r="R22" i="4"/>
  <c r="R26" i="4"/>
  <c r="R40" i="4"/>
  <c r="R43" i="4"/>
  <c r="R46" i="4"/>
  <c r="R51" i="4"/>
  <c r="R54" i="4"/>
  <c r="R59" i="4"/>
  <c r="R62" i="4"/>
  <c r="R67" i="4"/>
  <c r="R70" i="4"/>
  <c r="R75" i="4"/>
  <c r="R78" i="4"/>
  <c r="R83" i="4"/>
  <c r="R86" i="4"/>
  <c r="R91" i="4"/>
  <c r="R94" i="4"/>
  <c r="R99" i="4"/>
  <c r="R102" i="4"/>
  <c r="R107" i="4"/>
  <c r="R110" i="4"/>
  <c r="R115" i="4"/>
  <c r="R118" i="4"/>
  <c r="R123" i="4"/>
  <c r="R126" i="4"/>
  <c r="R131" i="4"/>
  <c r="R134" i="4"/>
  <c r="R139" i="4"/>
  <c r="R142" i="4"/>
  <c r="R147" i="4"/>
  <c r="R150" i="4"/>
  <c r="R155" i="4"/>
  <c r="R8" i="4"/>
  <c r="R13" i="4"/>
  <c r="B23" i="5"/>
  <c r="O15" i="4"/>
  <c r="B149" i="2"/>
  <c r="H47" i="1" s="1"/>
  <c r="R7" i="4"/>
  <c r="B151" i="2"/>
  <c r="H49" i="1" s="1"/>
  <c r="O12" i="4"/>
  <c r="BA8" i="5"/>
  <c r="AX8" i="5"/>
  <c r="AZ13" i="5"/>
  <c r="T13" i="5"/>
  <c r="AW13" i="5"/>
  <c r="AT13" i="5"/>
  <c r="T8" i="5"/>
  <c r="U8" i="5" s="1"/>
  <c r="BC8" i="5"/>
  <c r="BE8" i="5" s="1"/>
  <c r="AZ12" i="5"/>
  <c r="T12" i="5"/>
  <c r="AW12" i="5"/>
  <c r="AT12" i="5"/>
  <c r="B47" i="5"/>
  <c r="B188" i="2"/>
  <c r="B171" i="2"/>
  <c r="H63" i="1" s="1"/>
  <c r="B173" i="2"/>
  <c r="B10" i="5"/>
  <c r="AY19" i="5"/>
  <c r="AX19" i="5"/>
  <c r="AX474" i="5"/>
  <c r="AY474" i="5"/>
  <c r="AX471" i="5"/>
  <c r="AY471" i="5"/>
  <c r="AY546" i="5"/>
  <c r="AX546" i="5"/>
  <c r="AX468" i="5"/>
  <c r="AY468" i="5"/>
  <c r="AY524" i="5"/>
  <c r="AX524" i="5"/>
  <c r="AY544" i="5"/>
  <c r="AX544" i="5"/>
  <c r="AY526" i="5"/>
  <c r="AX526" i="5"/>
  <c r="AX472" i="5"/>
  <c r="AY472" i="5"/>
  <c r="AX437" i="5"/>
  <c r="AY437" i="5"/>
  <c r="AX375" i="5"/>
  <c r="AY375" i="5"/>
  <c r="AX513" i="5"/>
  <c r="AY513" i="5"/>
  <c r="AY493" i="5"/>
  <c r="AX493" i="5"/>
  <c r="AX450" i="5"/>
  <c r="AY450" i="5"/>
  <c r="AY438" i="5"/>
  <c r="AX438" i="5"/>
  <c r="AX511" i="5"/>
  <c r="AY511" i="5"/>
  <c r="AY470" i="5"/>
  <c r="AX470" i="5"/>
  <c r="AX453" i="5"/>
  <c r="AY453" i="5"/>
  <c r="AX407" i="5"/>
  <c r="AY407" i="5"/>
  <c r="AY372" i="5"/>
  <c r="AX372" i="5"/>
  <c r="AX323" i="5"/>
  <c r="AY323" i="5"/>
  <c r="AX388" i="5"/>
  <c r="AY388" i="5"/>
  <c r="AX348" i="5"/>
  <c r="AY348" i="5"/>
  <c r="AX434" i="5"/>
  <c r="AY434" i="5"/>
  <c r="AX389" i="5"/>
  <c r="AY389" i="5"/>
  <c r="AX363" i="5"/>
  <c r="AY363" i="5"/>
  <c r="AY337" i="5"/>
  <c r="AX337" i="5"/>
  <c r="AX334" i="5"/>
  <c r="AY334" i="5"/>
  <c r="AY304" i="5"/>
  <c r="AX304" i="5"/>
  <c r="AX276" i="5"/>
  <c r="AY276" i="5"/>
  <c r="AX245" i="5"/>
  <c r="AY245" i="5"/>
  <c r="AY315" i="5"/>
  <c r="AX315" i="5"/>
  <c r="AX268" i="5"/>
  <c r="AY268" i="5"/>
  <c r="AX248" i="5"/>
  <c r="AY248" i="5"/>
  <c r="AX321" i="5"/>
  <c r="AY321" i="5"/>
  <c r="AY262" i="5"/>
  <c r="AX262" i="5"/>
  <c r="AX208" i="5"/>
  <c r="AY208" i="5"/>
  <c r="AX220" i="5"/>
  <c r="AY220" i="5"/>
  <c r="AX192" i="5"/>
  <c r="AY192" i="5"/>
  <c r="AX202" i="5"/>
  <c r="AY202" i="5"/>
  <c r="AX235" i="5"/>
  <c r="AY235" i="5"/>
  <c r="AX204" i="5"/>
  <c r="AY204" i="5"/>
  <c r="AX196" i="5"/>
  <c r="AY196" i="5"/>
  <c r="AY182" i="5"/>
  <c r="AX182" i="5"/>
  <c r="AX185" i="5"/>
  <c r="AY185" i="5"/>
  <c r="AX151" i="5"/>
  <c r="AY151" i="5"/>
  <c r="AX140" i="5"/>
  <c r="AY140" i="5"/>
  <c r="AX80" i="5"/>
  <c r="AY80" i="5"/>
  <c r="AX134" i="5"/>
  <c r="AY134" i="5"/>
  <c r="AX161" i="5"/>
  <c r="AY161" i="5"/>
  <c r="BC117" i="5"/>
  <c r="AX117" i="5"/>
  <c r="AY117" i="5"/>
  <c r="AX103" i="5"/>
  <c r="AY103" i="5"/>
  <c r="AX104" i="5"/>
  <c r="AY104" i="5"/>
  <c r="AY91" i="5"/>
  <c r="AX91" i="5"/>
  <c r="AX73" i="5"/>
  <c r="AY73" i="5"/>
  <c r="AX57" i="5"/>
  <c r="AY57" i="5"/>
  <c r="AX53" i="5"/>
  <c r="AY53" i="5"/>
  <c r="AX63" i="5"/>
  <c r="AY63" i="5"/>
  <c r="AX41" i="5"/>
  <c r="AY41" i="5"/>
  <c r="AX23" i="5"/>
  <c r="AY23" i="5"/>
  <c r="AV521" i="5"/>
  <c r="AU521" i="5"/>
  <c r="BC521" i="5"/>
  <c r="AU558" i="5"/>
  <c r="AV558" i="5"/>
  <c r="BC558" i="5"/>
  <c r="BC426" i="5"/>
  <c r="AV426" i="5"/>
  <c r="AU426" i="5"/>
  <c r="BC377" i="5"/>
  <c r="AV377" i="5"/>
  <c r="AU377" i="5"/>
  <c r="AV495" i="5"/>
  <c r="AU495" i="5"/>
  <c r="BC495" i="5"/>
  <c r="AV528" i="5"/>
  <c r="AU528" i="5"/>
  <c r="AV380" i="5"/>
  <c r="BC380" i="5"/>
  <c r="AU380" i="5"/>
  <c r="AU553" i="5"/>
  <c r="AV553" i="5"/>
  <c r="BC553" i="5"/>
  <c r="AV507" i="5"/>
  <c r="BC507" i="5"/>
  <c r="AU507" i="5"/>
  <c r="AV486" i="5"/>
  <c r="AU486" i="5"/>
  <c r="AV474" i="5"/>
  <c r="AU474" i="5"/>
  <c r="BC474" i="5"/>
  <c r="AV459" i="5"/>
  <c r="AU459" i="5"/>
  <c r="BC459" i="5"/>
  <c r="AV439" i="5"/>
  <c r="AU439" i="5"/>
  <c r="BC439" i="5"/>
  <c r="BC337" i="5"/>
  <c r="AV337" i="5"/>
  <c r="AU337" i="5"/>
  <c r="AV516" i="5"/>
  <c r="AU516" i="5"/>
  <c r="BC516" i="5"/>
  <c r="AU496" i="5"/>
  <c r="BC496" i="5"/>
  <c r="AV496" i="5"/>
  <c r="AV460" i="5"/>
  <c r="BC460" i="5"/>
  <c r="AU460" i="5"/>
  <c r="AV447" i="5"/>
  <c r="AU447" i="5"/>
  <c r="BC447" i="5"/>
  <c r="AV370" i="5"/>
  <c r="BC370" i="5"/>
  <c r="AU370" i="5"/>
  <c r="AV530" i="5"/>
  <c r="AU530" i="5"/>
  <c r="BC530" i="5"/>
  <c r="AV510" i="5"/>
  <c r="BC510" i="5"/>
  <c r="AU510" i="5"/>
  <c r="AV494" i="5"/>
  <c r="BC494" i="5"/>
  <c r="AU494" i="5"/>
  <c r="AV487" i="5"/>
  <c r="AU487" i="5"/>
  <c r="BC487" i="5"/>
  <c r="AV451" i="5"/>
  <c r="BC451" i="5"/>
  <c r="AU451" i="5"/>
  <c r="AV438" i="5"/>
  <c r="AU438" i="5"/>
  <c r="BC438" i="5"/>
  <c r="AV412" i="5"/>
  <c r="AU412" i="5"/>
  <c r="BC412" i="5"/>
  <c r="AV346" i="5"/>
  <c r="BC346" i="5"/>
  <c r="AU346" i="5"/>
  <c r="AU275" i="5"/>
  <c r="AV275" i="5"/>
  <c r="BC275" i="5"/>
  <c r="AV417" i="5"/>
  <c r="BC417" i="5"/>
  <c r="AU417" i="5"/>
  <c r="AV402" i="5"/>
  <c r="AU402" i="5"/>
  <c r="BC402" i="5"/>
  <c r="AU375" i="5"/>
  <c r="BC375" i="5"/>
  <c r="AV375" i="5"/>
  <c r="AV360" i="5"/>
  <c r="AU360" i="5"/>
  <c r="BC360" i="5"/>
  <c r="AV347" i="5"/>
  <c r="BC347" i="5"/>
  <c r="AU347" i="5"/>
  <c r="BC410" i="5"/>
  <c r="AV410" i="5"/>
  <c r="AU410" i="5"/>
  <c r="AV396" i="5"/>
  <c r="BC396" i="5"/>
  <c r="AU396" i="5"/>
  <c r="BC386" i="5"/>
  <c r="AV386" i="5"/>
  <c r="AU386" i="5"/>
  <c r="AU368" i="5"/>
  <c r="BC368" i="5"/>
  <c r="AV368" i="5"/>
  <c r="AV340" i="5"/>
  <c r="AU340" i="5"/>
  <c r="BC340" i="5"/>
  <c r="AU321" i="5"/>
  <c r="BC321" i="5"/>
  <c r="AV321" i="5"/>
  <c r="AU262" i="5"/>
  <c r="AV262" i="5"/>
  <c r="BC262" i="5"/>
  <c r="BC436" i="5"/>
  <c r="AV436" i="5"/>
  <c r="AU436" i="5"/>
  <c r="AV421" i="5"/>
  <c r="AU421" i="5"/>
  <c r="BC421" i="5"/>
  <c r="AV403" i="5"/>
  <c r="AU403" i="5"/>
  <c r="BC403" i="5"/>
  <c r="AV397" i="5"/>
  <c r="AU397" i="5"/>
  <c r="BC397" i="5"/>
  <c r="AV378" i="5"/>
  <c r="AU378" i="5"/>
  <c r="BC378" i="5"/>
  <c r="AV341" i="5"/>
  <c r="BC341" i="5"/>
  <c r="AU341" i="5"/>
  <c r="AU284" i="5"/>
  <c r="BC284" i="5"/>
  <c r="AV284" i="5"/>
  <c r="AV356" i="5"/>
  <c r="AU356" i="5"/>
  <c r="BC356" i="5"/>
  <c r="AV345" i="5"/>
  <c r="AU345" i="5"/>
  <c r="BC345" i="5"/>
  <c r="AV336" i="5"/>
  <c r="AU336" i="5"/>
  <c r="BC336" i="5"/>
  <c r="AV313" i="5"/>
  <c r="AU313" i="5"/>
  <c r="BC313" i="5"/>
  <c r="BC296" i="5"/>
  <c r="AV296" i="5"/>
  <c r="AU296" i="5"/>
  <c r="AV281" i="5"/>
  <c r="AU281" i="5"/>
  <c r="BC281" i="5"/>
  <c r="AU261" i="5"/>
  <c r="AV261" i="5"/>
  <c r="BC261" i="5"/>
  <c r="AU237" i="5"/>
  <c r="AV237" i="5"/>
  <c r="BC237" i="5"/>
  <c r="AV328" i="5"/>
  <c r="BC328" i="5"/>
  <c r="AU328" i="5"/>
  <c r="AU316" i="5"/>
  <c r="AV316" i="5"/>
  <c r="BC316" i="5"/>
  <c r="AV299" i="5"/>
  <c r="BC299" i="5"/>
  <c r="AU299" i="5"/>
  <c r="AU286" i="5"/>
  <c r="BC286" i="5"/>
  <c r="AV286" i="5"/>
  <c r="AU276" i="5"/>
  <c r="AV276" i="5"/>
  <c r="BC276" i="5"/>
  <c r="AU250" i="5"/>
  <c r="AV250" i="5"/>
  <c r="BC250" i="5"/>
  <c r="AU210" i="5"/>
  <c r="AV210" i="5"/>
  <c r="BC210" i="5"/>
  <c r="AV324" i="5"/>
  <c r="BC324" i="5"/>
  <c r="AU324" i="5"/>
  <c r="AV314" i="5"/>
  <c r="AU314" i="5"/>
  <c r="BC314" i="5"/>
  <c r="BC301" i="5"/>
  <c r="AV301" i="5"/>
  <c r="AU301" i="5"/>
  <c r="BC283" i="5"/>
  <c r="AU283" i="5"/>
  <c r="AV283" i="5"/>
  <c r="AV273" i="5"/>
  <c r="AU273" i="5"/>
  <c r="BC273" i="5"/>
  <c r="BC257" i="5"/>
  <c r="AU257" i="5"/>
  <c r="AV257" i="5"/>
  <c r="BC251" i="5"/>
  <c r="AU251" i="5"/>
  <c r="AV251" i="5"/>
  <c r="AV240" i="5"/>
  <c r="AU240" i="5"/>
  <c r="BC240" i="5"/>
  <c r="BC233" i="5"/>
  <c r="AU233" i="5"/>
  <c r="AV233" i="5"/>
  <c r="AV221" i="5"/>
  <c r="AU221" i="5"/>
  <c r="BC221" i="5"/>
  <c r="AV195" i="5"/>
  <c r="AU195" i="5"/>
  <c r="BC195" i="5"/>
  <c r="AV159" i="5"/>
  <c r="AU159" i="5"/>
  <c r="BC159" i="5"/>
  <c r="AU229" i="5"/>
  <c r="AV229" i="5"/>
  <c r="BC229" i="5"/>
  <c r="AV211" i="5"/>
  <c r="AU211" i="5"/>
  <c r="BC211" i="5"/>
  <c r="AU164" i="5"/>
  <c r="AV164" i="5"/>
  <c r="BC164" i="5"/>
  <c r="AU239" i="5"/>
  <c r="AV239" i="5"/>
  <c r="BC239" i="5"/>
  <c r="AU218" i="5"/>
  <c r="AV218" i="5"/>
  <c r="BC218" i="5"/>
  <c r="AU176" i="5"/>
  <c r="AV176" i="5"/>
  <c r="BC176" i="5"/>
  <c r="AU199" i="5"/>
  <c r="AV199" i="5"/>
  <c r="BC199" i="5"/>
  <c r="AU190" i="5"/>
  <c r="AV190" i="5"/>
  <c r="BC190" i="5"/>
  <c r="AV175" i="5"/>
  <c r="AU175" i="5"/>
  <c r="BC175" i="5"/>
  <c r="AU160" i="5"/>
  <c r="AV160" i="5"/>
  <c r="BC160" i="5"/>
  <c r="AU133" i="5"/>
  <c r="BC133" i="5"/>
  <c r="AV133" i="5"/>
  <c r="AV182" i="5"/>
  <c r="AU182" i="5"/>
  <c r="BC182" i="5"/>
  <c r="AV165" i="5"/>
  <c r="AU165" i="5"/>
  <c r="BC165" i="5"/>
  <c r="AU131" i="5"/>
  <c r="AV131" i="5"/>
  <c r="BC131" i="5"/>
  <c r="AV187" i="5"/>
  <c r="AU187" i="5"/>
  <c r="BC187" i="5"/>
  <c r="AU177" i="5"/>
  <c r="AV177" i="5"/>
  <c r="BC177" i="5"/>
  <c r="AV153" i="5"/>
  <c r="AU153" i="5"/>
  <c r="BC153" i="5"/>
  <c r="AU135" i="5"/>
  <c r="AV135" i="5"/>
  <c r="BC135" i="5"/>
  <c r="AU110" i="5"/>
  <c r="AV110" i="5"/>
  <c r="BC110" i="5"/>
  <c r="AU139" i="5"/>
  <c r="AV139" i="5"/>
  <c r="BC139" i="5"/>
  <c r="AU130" i="5"/>
  <c r="AV130" i="5"/>
  <c r="AU118" i="5"/>
  <c r="AV118" i="5"/>
  <c r="BC118" i="5"/>
  <c r="AU92" i="5"/>
  <c r="AV92" i="5"/>
  <c r="BC92" i="5"/>
  <c r="AU142" i="5"/>
  <c r="BC142" i="5"/>
  <c r="AV142" i="5"/>
  <c r="AV89" i="5"/>
  <c r="AU89" i="5"/>
  <c r="BC89" i="5"/>
  <c r="AV141" i="5"/>
  <c r="AU141" i="5"/>
  <c r="BC141" i="5"/>
  <c r="AU121" i="5"/>
  <c r="AV121" i="5"/>
  <c r="BC121" i="5"/>
  <c r="AU100" i="5"/>
  <c r="AV100" i="5"/>
  <c r="BC100" i="5"/>
  <c r="AV91" i="5"/>
  <c r="AU91" i="5"/>
  <c r="BC91" i="5"/>
  <c r="AV79" i="5"/>
  <c r="AU79" i="5"/>
  <c r="BC79" i="5"/>
  <c r="BC103" i="5"/>
  <c r="AU103" i="5"/>
  <c r="AV103" i="5"/>
  <c r="AV96" i="5"/>
  <c r="AU96" i="5"/>
  <c r="BC96" i="5"/>
  <c r="AV93" i="5"/>
  <c r="AU93" i="5"/>
  <c r="BC93" i="5"/>
  <c r="AU78" i="5"/>
  <c r="AV78" i="5"/>
  <c r="BC78" i="5"/>
  <c r="AV55" i="5"/>
  <c r="AU55" i="5"/>
  <c r="BC55" i="5"/>
  <c r="AU69" i="5"/>
  <c r="AV69" i="5"/>
  <c r="BC69" i="5"/>
  <c r="AV66" i="5"/>
  <c r="AU66" i="5"/>
  <c r="BC66" i="5"/>
  <c r="BC23" i="5"/>
  <c r="AU23" i="5"/>
  <c r="AV23" i="5"/>
  <c r="AU65" i="5"/>
  <c r="AV65" i="5"/>
  <c r="BC65" i="5"/>
  <c r="AV41" i="5"/>
  <c r="AU41" i="5"/>
  <c r="BC41" i="5"/>
  <c r="AU54" i="5"/>
  <c r="AV54" i="5"/>
  <c r="BC54" i="5"/>
  <c r="AV25" i="5"/>
  <c r="AU25" i="5"/>
  <c r="BC25" i="5"/>
  <c r="AV47" i="5"/>
  <c r="AU47" i="5"/>
  <c r="BC47" i="5"/>
  <c r="AU34" i="5"/>
  <c r="AV34" i="5"/>
  <c r="BC34" i="5"/>
  <c r="AU42" i="5"/>
  <c r="AV42" i="5"/>
  <c r="BC42" i="5"/>
  <c r="AV24" i="5"/>
  <c r="AU24" i="5"/>
  <c r="BC24" i="5"/>
  <c r="AU38" i="5"/>
  <c r="BC38" i="5"/>
  <c r="AV38" i="5"/>
  <c r="BC29" i="5"/>
  <c r="AV29" i="5"/>
  <c r="AU29" i="5"/>
  <c r="BB546" i="5"/>
  <c r="BA546" i="5"/>
  <c r="BA450" i="5"/>
  <c r="BB450" i="5"/>
  <c r="BB552" i="5"/>
  <c r="BA552" i="5"/>
  <c r="BB535" i="5"/>
  <c r="BA535" i="5"/>
  <c r="BA491" i="5"/>
  <c r="BB491" i="5"/>
  <c r="BA551" i="5"/>
  <c r="BB551" i="5"/>
  <c r="BA543" i="5"/>
  <c r="BB543" i="5"/>
  <c r="BB445" i="5"/>
  <c r="BA445" i="5"/>
  <c r="BB560" i="5"/>
  <c r="BA560" i="5"/>
  <c r="BA540" i="5"/>
  <c r="BB540" i="5"/>
  <c r="BA527" i="5"/>
  <c r="BB527" i="5"/>
  <c r="BB485" i="5"/>
  <c r="BA485" i="5"/>
  <c r="BB421" i="5"/>
  <c r="BA421" i="5"/>
  <c r="BB556" i="5"/>
  <c r="BA556" i="5"/>
  <c r="BA539" i="5"/>
  <c r="BB539" i="5"/>
  <c r="BA520" i="5"/>
  <c r="BB520" i="5"/>
  <c r="BB508" i="5"/>
  <c r="BA508" i="5"/>
  <c r="BB500" i="5"/>
  <c r="BA500" i="5"/>
  <c r="BB493" i="5"/>
  <c r="BA493" i="5"/>
  <c r="BB487" i="5"/>
  <c r="BA487" i="5"/>
  <c r="BA476" i="5"/>
  <c r="BB476" i="5"/>
  <c r="BB463" i="5"/>
  <c r="BA463" i="5"/>
  <c r="BB451" i="5"/>
  <c r="BA451" i="5"/>
  <c r="BB434" i="5"/>
  <c r="BA434" i="5"/>
  <c r="BB396" i="5"/>
  <c r="BA396" i="5"/>
  <c r="BB347" i="5"/>
  <c r="BA347" i="5"/>
  <c r="BB514" i="5"/>
  <c r="BA514" i="5"/>
  <c r="BA506" i="5"/>
  <c r="BB506" i="5"/>
  <c r="BA477" i="5"/>
  <c r="BB477" i="5"/>
  <c r="BB467" i="5"/>
  <c r="BA467" i="5"/>
  <c r="BA447" i="5"/>
  <c r="BB447" i="5"/>
  <c r="BA427" i="5"/>
  <c r="BB427" i="5"/>
  <c r="BB397" i="5"/>
  <c r="BA397" i="5"/>
  <c r="BA325" i="5"/>
  <c r="BB325" i="5"/>
  <c r="BB526" i="5"/>
  <c r="BA526" i="5"/>
  <c r="BB497" i="5"/>
  <c r="BA497" i="5"/>
  <c r="BB475" i="5"/>
  <c r="BA475" i="5"/>
  <c r="BB459" i="5"/>
  <c r="BA459" i="5"/>
  <c r="BB442" i="5"/>
  <c r="BA442" i="5"/>
  <c r="BA362" i="5"/>
  <c r="BB362" i="5"/>
  <c r="BB415" i="5"/>
  <c r="BA415" i="5"/>
  <c r="BB395" i="5"/>
  <c r="BA395" i="5"/>
  <c r="BB374" i="5"/>
  <c r="BA374" i="5"/>
  <c r="BB355" i="5"/>
  <c r="BA355" i="5"/>
  <c r="BB341" i="5"/>
  <c r="BA341" i="5"/>
  <c r="BA292" i="5"/>
  <c r="BB292" i="5"/>
  <c r="BB273" i="5"/>
  <c r="BA273" i="5"/>
  <c r="BA209" i="5"/>
  <c r="BB209" i="5"/>
  <c r="BA413" i="5"/>
  <c r="BB413" i="5"/>
  <c r="BA392" i="5"/>
  <c r="BB392" i="5"/>
  <c r="BB384" i="5"/>
  <c r="BA384" i="5"/>
  <c r="BB370" i="5"/>
  <c r="BA370" i="5"/>
  <c r="BB359" i="5"/>
  <c r="BA359" i="5"/>
  <c r="BA334" i="5"/>
  <c r="BB334" i="5"/>
  <c r="BB260" i="5"/>
  <c r="BA260" i="5"/>
  <c r="BA436" i="5"/>
  <c r="BB436" i="5"/>
  <c r="BA423" i="5"/>
  <c r="BB423" i="5"/>
  <c r="BA410" i="5"/>
  <c r="BB410" i="5"/>
  <c r="BA385" i="5"/>
  <c r="BB385" i="5"/>
  <c r="BB369" i="5"/>
  <c r="BA369" i="5"/>
  <c r="BB338" i="5"/>
  <c r="BA338" i="5"/>
  <c r="BA299" i="5"/>
  <c r="BB299" i="5"/>
  <c r="BA206" i="5"/>
  <c r="BB206" i="5"/>
  <c r="BA346" i="5"/>
  <c r="BB346" i="5"/>
  <c r="BA337" i="5"/>
  <c r="BB337" i="5"/>
  <c r="BB324" i="5"/>
  <c r="BA324" i="5"/>
  <c r="BB314" i="5"/>
  <c r="BA314" i="5"/>
  <c r="BB306" i="5"/>
  <c r="BA306" i="5"/>
  <c r="BB287" i="5"/>
  <c r="BA287" i="5"/>
  <c r="BB265" i="5"/>
  <c r="BA265" i="5"/>
  <c r="BB251" i="5"/>
  <c r="BA251" i="5"/>
  <c r="BB232" i="5"/>
  <c r="BA232" i="5"/>
  <c r="BB331" i="5"/>
  <c r="BA331" i="5"/>
  <c r="BA305" i="5"/>
  <c r="BB305" i="5"/>
  <c r="BA284" i="5"/>
  <c r="BB284" i="5"/>
  <c r="BA262" i="5"/>
  <c r="BB262" i="5"/>
  <c r="BB207" i="5"/>
  <c r="BA207" i="5"/>
  <c r="BB318" i="5"/>
  <c r="BA318" i="5"/>
  <c r="BB300" i="5"/>
  <c r="BA300" i="5"/>
  <c r="BB285" i="5"/>
  <c r="BA285" i="5"/>
  <c r="BB276" i="5"/>
  <c r="BA276" i="5"/>
  <c r="BB264" i="5"/>
  <c r="BA264" i="5"/>
  <c r="BB223" i="5"/>
  <c r="BA223" i="5"/>
  <c r="BB189" i="5"/>
  <c r="BA189" i="5"/>
  <c r="BA234" i="5"/>
  <c r="BB234" i="5"/>
  <c r="BB200" i="5"/>
  <c r="BA200" i="5"/>
  <c r="BB178" i="5"/>
  <c r="BA178" i="5"/>
  <c r="BB238" i="5"/>
  <c r="BA238" i="5"/>
  <c r="BB222" i="5"/>
  <c r="BA222" i="5"/>
  <c r="BB212" i="5"/>
  <c r="BA212" i="5"/>
  <c r="BB195" i="5"/>
  <c r="BA195" i="5"/>
  <c r="BB243" i="5"/>
  <c r="BA243" i="5"/>
  <c r="BB225" i="5"/>
  <c r="BA225" i="5"/>
  <c r="BB211" i="5"/>
  <c r="BA211" i="5"/>
  <c r="BA174" i="5"/>
  <c r="BB174" i="5"/>
  <c r="BB130" i="5"/>
  <c r="BA130" i="5"/>
  <c r="BB198" i="5"/>
  <c r="BA198" i="5"/>
  <c r="BA173" i="5"/>
  <c r="BB173" i="5"/>
  <c r="BA156" i="5"/>
  <c r="BB156" i="5"/>
  <c r="BA122" i="5"/>
  <c r="BB122" i="5"/>
  <c r="BB176" i="5"/>
  <c r="BA176" i="5"/>
  <c r="BA164" i="5"/>
  <c r="BB164" i="5"/>
  <c r="BA141" i="5"/>
  <c r="BB141" i="5"/>
  <c r="BA175" i="5"/>
  <c r="BB175" i="5"/>
  <c r="BB160" i="5"/>
  <c r="BA160" i="5"/>
  <c r="BA148" i="5"/>
  <c r="BB148" i="5"/>
  <c r="BB137" i="5"/>
  <c r="BA137" i="5"/>
  <c r="BA113" i="5"/>
  <c r="BB113" i="5"/>
  <c r="BA149" i="5"/>
  <c r="BB149" i="5"/>
  <c r="BB135" i="5"/>
  <c r="BA135" i="5"/>
  <c r="BA125" i="5"/>
  <c r="BB125" i="5"/>
  <c r="BB112" i="5"/>
  <c r="BA112" i="5"/>
  <c r="BA85" i="5"/>
  <c r="BB85" i="5"/>
  <c r="BB140" i="5"/>
  <c r="BA140" i="5"/>
  <c r="BA114" i="5"/>
  <c r="BB114" i="5"/>
  <c r="BA109" i="5"/>
  <c r="BB109" i="5"/>
  <c r="BB108" i="5"/>
  <c r="BA108" i="5"/>
  <c r="BB98" i="5"/>
  <c r="BA98" i="5"/>
  <c r="BA92" i="5"/>
  <c r="BB92" i="5"/>
  <c r="BB88" i="5"/>
  <c r="BA88" i="5"/>
  <c r="BB82" i="5"/>
  <c r="BA82" i="5"/>
  <c r="BA69" i="5"/>
  <c r="BB69" i="5"/>
  <c r="BB47" i="5"/>
  <c r="BA47" i="5"/>
  <c r="BA71" i="5"/>
  <c r="BB71" i="5"/>
  <c r="BB72" i="5"/>
  <c r="BA72" i="5"/>
  <c r="BA66" i="5"/>
  <c r="BB66" i="5"/>
  <c r="BA51" i="5"/>
  <c r="BB51" i="5"/>
  <c r="BB48" i="5"/>
  <c r="BA48" i="5"/>
  <c r="BA73" i="5"/>
  <c r="BB73" i="5"/>
  <c r="BB60" i="5"/>
  <c r="BA60" i="5"/>
  <c r="BB32" i="5"/>
  <c r="BA32" i="5"/>
  <c r="BA41" i="5"/>
  <c r="BB41" i="5"/>
  <c r="BB20" i="5"/>
  <c r="BA20" i="5"/>
  <c r="BA27" i="5"/>
  <c r="BB27" i="5"/>
  <c r="BA45" i="5"/>
  <c r="BB45" i="5"/>
  <c r="BA29" i="5"/>
  <c r="BB29" i="5"/>
  <c r="AY553" i="5"/>
  <c r="AX553" i="5"/>
  <c r="AX514" i="5"/>
  <c r="AY514" i="5"/>
  <c r="AY360" i="5"/>
  <c r="AX360" i="5"/>
  <c r="AX525" i="5"/>
  <c r="AY525" i="5"/>
  <c r="AX486" i="5"/>
  <c r="AY486" i="5"/>
  <c r="AX457" i="5"/>
  <c r="AY457" i="5"/>
  <c r="AY548" i="5"/>
  <c r="AX548" i="5"/>
  <c r="AY541" i="5"/>
  <c r="AX541" i="5"/>
  <c r="AY528" i="5"/>
  <c r="AX528" i="5"/>
  <c r="AY462" i="5"/>
  <c r="AX462" i="5"/>
  <c r="AX550" i="5"/>
  <c r="AY550" i="5"/>
  <c r="AX459" i="5"/>
  <c r="AY459" i="5"/>
  <c r="AY291" i="5"/>
  <c r="AX291" i="5"/>
  <c r="AY558" i="5"/>
  <c r="AX558" i="5"/>
  <c r="AY542" i="5"/>
  <c r="AX542" i="5"/>
  <c r="AX534" i="5"/>
  <c r="AY534" i="5"/>
  <c r="AX517" i="5"/>
  <c r="AY517" i="5"/>
  <c r="AX490" i="5"/>
  <c r="AY490" i="5"/>
  <c r="AX464" i="5"/>
  <c r="AY464" i="5"/>
  <c r="AX448" i="5"/>
  <c r="AY448" i="5"/>
  <c r="AX435" i="5"/>
  <c r="AY435" i="5"/>
  <c r="AX422" i="5"/>
  <c r="AY422" i="5"/>
  <c r="AX411" i="5"/>
  <c r="AY411" i="5"/>
  <c r="AX351" i="5"/>
  <c r="AY351" i="5"/>
  <c r="AX521" i="5"/>
  <c r="AY521" i="5"/>
  <c r="AY510" i="5"/>
  <c r="AX510" i="5"/>
  <c r="AY502" i="5"/>
  <c r="AX502" i="5"/>
  <c r="AX489" i="5"/>
  <c r="AY489" i="5"/>
  <c r="AY473" i="5"/>
  <c r="AX473" i="5"/>
  <c r="AX455" i="5"/>
  <c r="AY455" i="5"/>
  <c r="AX449" i="5"/>
  <c r="AY449" i="5"/>
  <c r="AX436" i="5"/>
  <c r="AY436" i="5"/>
  <c r="AX367" i="5"/>
  <c r="AY367" i="5"/>
  <c r="AX523" i="5"/>
  <c r="AY523" i="5"/>
  <c r="AY506" i="5"/>
  <c r="AX506" i="5"/>
  <c r="AX492" i="5"/>
  <c r="AY492" i="5"/>
  <c r="AX479" i="5"/>
  <c r="AY479" i="5"/>
  <c r="AX467" i="5"/>
  <c r="AY467" i="5"/>
  <c r="AY446" i="5"/>
  <c r="AX446" i="5"/>
  <c r="AX429" i="5"/>
  <c r="AY429" i="5"/>
  <c r="AY338" i="5"/>
  <c r="AX338" i="5"/>
  <c r="AX405" i="5"/>
  <c r="AY405" i="5"/>
  <c r="AX396" i="5"/>
  <c r="AY396" i="5"/>
  <c r="AX382" i="5"/>
  <c r="AY382" i="5"/>
  <c r="AX368" i="5"/>
  <c r="AY368" i="5"/>
  <c r="AY303" i="5"/>
  <c r="AX303" i="5"/>
  <c r="AX420" i="5"/>
  <c r="AY420" i="5"/>
  <c r="AY398" i="5"/>
  <c r="AX398" i="5"/>
  <c r="AX378" i="5"/>
  <c r="AY378" i="5"/>
  <c r="AX358" i="5"/>
  <c r="AY358" i="5"/>
  <c r="AX342" i="5"/>
  <c r="AY342" i="5"/>
  <c r="AX274" i="5"/>
  <c r="AY274" i="5"/>
  <c r="AX432" i="5"/>
  <c r="AY432" i="5"/>
  <c r="AX416" i="5"/>
  <c r="AY416" i="5"/>
  <c r="AX399" i="5"/>
  <c r="AY399" i="5"/>
  <c r="AX384" i="5"/>
  <c r="AY384" i="5"/>
  <c r="AX371" i="5"/>
  <c r="AY371" i="5"/>
  <c r="AX359" i="5"/>
  <c r="AY359" i="5"/>
  <c r="AX346" i="5"/>
  <c r="AY346" i="5"/>
  <c r="AX327" i="5"/>
  <c r="AY327" i="5"/>
  <c r="AX281" i="5"/>
  <c r="AY281" i="5"/>
  <c r="AY353" i="5"/>
  <c r="AX353" i="5"/>
  <c r="AX333" i="5"/>
  <c r="AY333" i="5"/>
  <c r="AX316" i="5"/>
  <c r="AY316" i="5"/>
  <c r="AY299" i="5"/>
  <c r="AX299" i="5"/>
  <c r="AY286" i="5"/>
  <c r="AX286" i="5"/>
  <c r="AY273" i="5"/>
  <c r="AX273" i="5"/>
  <c r="AY258" i="5"/>
  <c r="AX258" i="5"/>
  <c r="AX221" i="5"/>
  <c r="AY221" i="5"/>
  <c r="AY324" i="5"/>
  <c r="AX324" i="5"/>
  <c r="AY314" i="5"/>
  <c r="AX314" i="5"/>
  <c r="AY301" i="5"/>
  <c r="AX301" i="5"/>
  <c r="AY283" i="5"/>
  <c r="AX283" i="5"/>
  <c r="AY265" i="5"/>
  <c r="AX265" i="5"/>
  <c r="AX254" i="5"/>
  <c r="AY254" i="5"/>
  <c r="AX230" i="5"/>
  <c r="AY230" i="5"/>
  <c r="AX330" i="5"/>
  <c r="AY330" i="5"/>
  <c r="AY317" i="5"/>
  <c r="AX317" i="5"/>
  <c r="AY298" i="5"/>
  <c r="AX298" i="5"/>
  <c r="AX278" i="5"/>
  <c r="AY278" i="5"/>
  <c r="AX256" i="5"/>
  <c r="AY256" i="5"/>
  <c r="AX236" i="5"/>
  <c r="AY236" i="5"/>
  <c r="AY163" i="5"/>
  <c r="AX163" i="5"/>
  <c r="AX227" i="5"/>
  <c r="AY227" i="5"/>
  <c r="AY218" i="5"/>
  <c r="AX218" i="5"/>
  <c r="AY201" i="5"/>
  <c r="AX201" i="5"/>
  <c r="AX189" i="5"/>
  <c r="AY189" i="5"/>
  <c r="AY172" i="5"/>
  <c r="AX172" i="5"/>
  <c r="AY234" i="5"/>
  <c r="AX234" i="5"/>
  <c r="AX199" i="5"/>
  <c r="AY199" i="5"/>
  <c r="AX242" i="5"/>
  <c r="AY242" i="5"/>
  <c r="AX228" i="5"/>
  <c r="AY228" i="5"/>
  <c r="BC217" i="5"/>
  <c r="AX217" i="5"/>
  <c r="AY217" i="5"/>
  <c r="AX203" i="5"/>
  <c r="AY203" i="5"/>
  <c r="AY160" i="5"/>
  <c r="AX160" i="5"/>
  <c r="AX207" i="5"/>
  <c r="AY207" i="5"/>
  <c r="AX191" i="5"/>
  <c r="AY191" i="5"/>
  <c r="AX171" i="5"/>
  <c r="AY171" i="5"/>
  <c r="BC119" i="5"/>
  <c r="AY119" i="5"/>
  <c r="AX119" i="5"/>
  <c r="AX173" i="5"/>
  <c r="AY173" i="5"/>
  <c r="AY180" i="5"/>
  <c r="AX180" i="5"/>
  <c r="AX166" i="5"/>
  <c r="AY166" i="5"/>
  <c r="AX113" i="5"/>
  <c r="AY113" i="5"/>
  <c r="AX150" i="5"/>
  <c r="AY150" i="5"/>
  <c r="AX133" i="5"/>
  <c r="AY133" i="5"/>
  <c r="AY121" i="5"/>
  <c r="AX121" i="5"/>
  <c r="AY105" i="5"/>
  <c r="AX105" i="5"/>
  <c r="BC64" i="5"/>
  <c r="AY64" i="5"/>
  <c r="AX64" i="5"/>
  <c r="AX143" i="5"/>
  <c r="AY143" i="5"/>
  <c r="AX132" i="5"/>
  <c r="AY132" i="5"/>
  <c r="AX116" i="5"/>
  <c r="AY116" i="5"/>
  <c r="AX158" i="5"/>
  <c r="AY158" i="5"/>
  <c r="AX138" i="5"/>
  <c r="AY138" i="5"/>
  <c r="AX125" i="5"/>
  <c r="AY125" i="5"/>
  <c r="AX112" i="5"/>
  <c r="AY112" i="5"/>
  <c r="AX97" i="5"/>
  <c r="AY97" i="5"/>
  <c r="AX96" i="5"/>
  <c r="AY96" i="5"/>
  <c r="AY89" i="5"/>
  <c r="AX89" i="5"/>
  <c r="AY101" i="5"/>
  <c r="AX101" i="5"/>
  <c r="AX85" i="5"/>
  <c r="AY85" i="5"/>
  <c r="AX72" i="5"/>
  <c r="AY72" i="5"/>
  <c r="AY88" i="5"/>
  <c r="AX88" i="5"/>
  <c r="AY68" i="5"/>
  <c r="AX68" i="5"/>
  <c r="AY60" i="5"/>
  <c r="AX60" i="5"/>
  <c r="AX71" i="5"/>
  <c r="AY71" i="5"/>
  <c r="AX56" i="5"/>
  <c r="AY56" i="5"/>
  <c r="AX47" i="5"/>
  <c r="AY47" i="5"/>
  <c r="AX61" i="5"/>
  <c r="AY61" i="5"/>
  <c r="AX51" i="5"/>
  <c r="AY51" i="5"/>
  <c r="AY52" i="5"/>
  <c r="AX52" i="5"/>
  <c r="AX35" i="5"/>
  <c r="AY35" i="5"/>
  <c r="AX21" i="5"/>
  <c r="AY21" i="5"/>
  <c r="AX38" i="5"/>
  <c r="AY38" i="5"/>
  <c r="AX20" i="5"/>
  <c r="AY20" i="5"/>
  <c r="AX31" i="5"/>
  <c r="AY31" i="5"/>
  <c r="AX22" i="5"/>
  <c r="AY22" i="5"/>
  <c r="AV538" i="5"/>
  <c r="BC538" i="5"/>
  <c r="AU538" i="5"/>
  <c r="AV503" i="5"/>
  <c r="AU503" i="5"/>
  <c r="BC503" i="5"/>
  <c r="AU446" i="5"/>
  <c r="BC446" i="5"/>
  <c r="AV446" i="5"/>
  <c r="AU556" i="5"/>
  <c r="AV556" i="5"/>
  <c r="BC556" i="5"/>
  <c r="AU511" i="5"/>
  <c r="BC511" i="5"/>
  <c r="AV511" i="5"/>
  <c r="BC432" i="5"/>
  <c r="AV432" i="5"/>
  <c r="AU432" i="5"/>
  <c r="AV413" i="5"/>
  <c r="AU413" i="5"/>
  <c r="BC413" i="5"/>
  <c r="AU365" i="5"/>
  <c r="AV365" i="5"/>
  <c r="BC365" i="5"/>
  <c r="AV532" i="5"/>
  <c r="AU532" i="5"/>
  <c r="BC532" i="5"/>
  <c r="AV533" i="5"/>
  <c r="BC533" i="5"/>
  <c r="AU533" i="5"/>
  <c r="AV484" i="5"/>
  <c r="BC484" i="5"/>
  <c r="AU484" i="5"/>
  <c r="AV441" i="5"/>
  <c r="AU441" i="5"/>
  <c r="BC441" i="5"/>
  <c r="AV541" i="5"/>
  <c r="AU541" i="5"/>
  <c r="BC541" i="5"/>
  <c r="AV520" i="5"/>
  <c r="AU520" i="5"/>
  <c r="BC520" i="5"/>
  <c r="AV482" i="5"/>
  <c r="BC482" i="5"/>
  <c r="AU482" i="5"/>
  <c r="AV463" i="5"/>
  <c r="AU463" i="5"/>
  <c r="BC463" i="5"/>
  <c r="AU204" i="5"/>
  <c r="AV204" i="5"/>
  <c r="BC204" i="5"/>
  <c r="AU551" i="5"/>
  <c r="BC551" i="5"/>
  <c r="AV551" i="5"/>
  <c r="AV546" i="5"/>
  <c r="AU546" i="5"/>
  <c r="BC546" i="5"/>
  <c r="AU524" i="5"/>
  <c r="BC524" i="5"/>
  <c r="AV524" i="5"/>
  <c r="AV505" i="5"/>
  <c r="AU505" i="5"/>
  <c r="BC505" i="5"/>
  <c r="AV480" i="5"/>
  <c r="AU480" i="5"/>
  <c r="BC480" i="5"/>
  <c r="AV471" i="5"/>
  <c r="AU471" i="5"/>
  <c r="BC471" i="5"/>
  <c r="AV457" i="5"/>
  <c r="BC457" i="5"/>
  <c r="AU457" i="5"/>
  <c r="AV423" i="5"/>
  <c r="BC423" i="5"/>
  <c r="AU423" i="5"/>
  <c r="AU302" i="5"/>
  <c r="BC302" i="5"/>
  <c r="AV302" i="5"/>
  <c r="AV515" i="5"/>
  <c r="AU515" i="5"/>
  <c r="BC515" i="5"/>
  <c r="AV491" i="5"/>
  <c r="AU491" i="5"/>
  <c r="BC491" i="5"/>
  <c r="AV475" i="5"/>
  <c r="AU475" i="5"/>
  <c r="BC475" i="5"/>
  <c r="AV458" i="5"/>
  <c r="AU458" i="5"/>
  <c r="BC458" i="5"/>
  <c r="BC442" i="5"/>
  <c r="AV442" i="5"/>
  <c r="AU442" i="5"/>
  <c r="BC422" i="5"/>
  <c r="AV422" i="5"/>
  <c r="AU422" i="5"/>
  <c r="AU357" i="5"/>
  <c r="BC357" i="5"/>
  <c r="AV357" i="5"/>
  <c r="AV522" i="5"/>
  <c r="AU522" i="5"/>
  <c r="BC522" i="5"/>
  <c r="BC508" i="5"/>
  <c r="AV508" i="5"/>
  <c r="AU508" i="5"/>
  <c r="AV493" i="5"/>
  <c r="AU493" i="5"/>
  <c r="BC493" i="5"/>
  <c r="AV481" i="5"/>
  <c r="BC481" i="5"/>
  <c r="AU481" i="5"/>
  <c r="BC450" i="5"/>
  <c r="AV450" i="5"/>
  <c r="AU450" i="5"/>
  <c r="AV431" i="5"/>
  <c r="AU431" i="5"/>
  <c r="BC431" i="5"/>
  <c r="AV379" i="5"/>
  <c r="AU379" i="5"/>
  <c r="BC379" i="5"/>
  <c r="AV344" i="5"/>
  <c r="AU344" i="5"/>
  <c r="BC344" i="5"/>
  <c r="AU256" i="5"/>
  <c r="AV256" i="5"/>
  <c r="BC256" i="5"/>
  <c r="AV414" i="5"/>
  <c r="AU414" i="5"/>
  <c r="BC414" i="5"/>
  <c r="AV390" i="5"/>
  <c r="AU390" i="5"/>
  <c r="BC390" i="5"/>
  <c r="AV373" i="5"/>
  <c r="BC373" i="5"/>
  <c r="AU373" i="5"/>
  <c r="BC353" i="5"/>
  <c r="AV353" i="5"/>
  <c r="AU353" i="5"/>
  <c r="BC339" i="5"/>
  <c r="AV339" i="5"/>
  <c r="AU339" i="5"/>
  <c r="AV409" i="5"/>
  <c r="AU409" i="5"/>
  <c r="BC409" i="5"/>
  <c r="AV393" i="5"/>
  <c r="AU393" i="5"/>
  <c r="BC393" i="5"/>
  <c r="AV381" i="5"/>
  <c r="BC381" i="5"/>
  <c r="AU381" i="5"/>
  <c r="AV367" i="5"/>
  <c r="AU367" i="5"/>
  <c r="BC367" i="5"/>
  <c r="AV333" i="5"/>
  <c r="AU333" i="5"/>
  <c r="BC333" i="5"/>
  <c r="AV298" i="5"/>
  <c r="AU298" i="5"/>
  <c r="BC298" i="5"/>
  <c r="AU226" i="5"/>
  <c r="AV226" i="5"/>
  <c r="BC226" i="5"/>
  <c r="AV433" i="5"/>
  <c r="AU433" i="5"/>
  <c r="BC433" i="5"/>
  <c r="AV420" i="5"/>
  <c r="BC420" i="5"/>
  <c r="AU420" i="5"/>
  <c r="AV401" i="5"/>
  <c r="AU401" i="5"/>
  <c r="BC401" i="5"/>
  <c r="AV394" i="5"/>
  <c r="BC394" i="5"/>
  <c r="AU394" i="5"/>
  <c r="AV374" i="5"/>
  <c r="AU374" i="5"/>
  <c r="BC374" i="5"/>
  <c r="AV330" i="5"/>
  <c r="BC330" i="5"/>
  <c r="AU330" i="5"/>
  <c r="AU231" i="5"/>
  <c r="AV231" i="5"/>
  <c r="BC231" i="5"/>
  <c r="AU354" i="5"/>
  <c r="AV354" i="5"/>
  <c r="BC354" i="5"/>
  <c r="AV343" i="5"/>
  <c r="AU343" i="5"/>
  <c r="AV335" i="5"/>
  <c r="AU335" i="5"/>
  <c r="BC335" i="5"/>
  <c r="AU307" i="5"/>
  <c r="BC307" i="5"/>
  <c r="AV307" i="5"/>
  <c r="AV291" i="5"/>
  <c r="AU291" i="5"/>
  <c r="BC291" i="5"/>
  <c r="AU271" i="5"/>
  <c r="AV271" i="5"/>
  <c r="BC271" i="5"/>
  <c r="AV259" i="5"/>
  <c r="AU259" i="5"/>
  <c r="BC259" i="5"/>
  <c r="AU200" i="5"/>
  <c r="AV200" i="5"/>
  <c r="BC200" i="5"/>
  <c r="AV327" i="5"/>
  <c r="AU327" i="5"/>
  <c r="BC327" i="5"/>
  <c r="AU311" i="5"/>
  <c r="BC311" i="5"/>
  <c r="AV311" i="5"/>
  <c r="AV297" i="5"/>
  <c r="AU297" i="5"/>
  <c r="BC297" i="5"/>
  <c r="AV282" i="5"/>
  <c r="AU282" i="5"/>
  <c r="BC282" i="5"/>
  <c r="AU270" i="5"/>
  <c r="AV270" i="5"/>
  <c r="BC270" i="5"/>
  <c r="AU246" i="5"/>
  <c r="AV246" i="5"/>
  <c r="BC246" i="5"/>
  <c r="AV205" i="5"/>
  <c r="BC205" i="5"/>
  <c r="AU205" i="5"/>
  <c r="AV322" i="5"/>
  <c r="BC322" i="5"/>
  <c r="AU322" i="5"/>
  <c r="AU312" i="5"/>
  <c r="BC312" i="5"/>
  <c r="AV312" i="5"/>
  <c r="AV295" i="5"/>
  <c r="AU295" i="5"/>
  <c r="BC295" i="5"/>
  <c r="AU280" i="5"/>
  <c r="AV280" i="5"/>
  <c r="BC280" i="5"/>
  <c r="AU265" i="5"/>
  <c r="BC265" i="5"/>
  <c r="AV265" i="5"/>
  <c r="AU255" i="5"/>
  <c r="BC255" i="5"/>
  <c r="AV255" i="5"/>
  <c r="AU249" i="5"/>
  <c r="AV249" i="5"/>
  <c r="BC249" i="5"/>
  <c r="AU238" i="5"/>
  <c r="AV238" i="5"/>
  <c r="BC238" i="5"/>
  <c r="AU230" i="5"/>
  <c r="AV230" i="5"/>
  <c r="BC230" i="5"/>
  <c r="AV217" i="5"/>
  <c r="AU217" i="5"/>
  <c r="BC191" i="5"/>
  <c r="AV191" i="5"/>
  <c r="AU191" i="5"/>
  <c r="AU243" i="5"/>
  <c r="AV243" i="5"/>
  <c r="BC243" i="5"/>
  <c r="AV224" i="5"/>
  <c r="AU224" i="5"/>
  <c r="BC224" i="5"/>
  <c r="AU209" i="5"/>
  <c r="AV209" i="5"/>
  <c r="BC209" i="5"/>
  <c r="AU248" i="5"/>
  <c r="AV248" i="5"/>
  <c r="BC248" i="5"/>
  <c r="AV234" i="5"/>
  <c r="BC234" i="5"/>
  <c r="AU234" i="5"/>
  <c r="AV215" i="5"/>
  <c r="BC215" i="5"/>
  <c r="AU215" i="5"/>
  <c r="AU154" i="5"/>
  <c r="AV154" i="5"/>
  <c r="BC154" i="5"/>
  <c r="AU198" i="5"/>
  <c r="AV198" i="5"/>
  <c r="BC198" i="5"/>
  <c r="AU189" i="5"/>
  <c r="AV189" i="5"/>
  <c r="BC189" i="5"/>
  <c r="AU172" i="5"/>
  <c r="AV172" i="5"/>
  <c r="BC172" i="5"/>
  <c r="AV157" i="5"/>
  <c r="AU157" i="5"/>
  <c r="BC157" i="5"/>
  <c r="AV111" i="5"/>
  <c r="AU111" i="5"/>
  <c r="BC111" i="5"/>
  <c r="AV181" i="5"/>
  <c r="AU181" i="5"/>
  <c r="BC181" i="5"/>
  <c r="AV163" i="5"/>
  <c r="AU163" i="5"/>
  <c r="BC163" i="5"/>
  <c r="AU128" i="5"/>
  <c r="AV128" i="5"/>
  <c r="AV183" i="5"/>
  <c r="AU183" i="5"/>
  <c r="BC183" i="5"/>
  <c r="AU173" i="5"/>
  <c r="AV173" i="5"/>
  <c r="BC173" i="5"/>
  <c r="AU150" i="5"/>
  <c r="BC150" i="5"/>
  <c r="AV150" i="5"/>
  <c r="AV129" i="5"/>
  <c r="AU129" i="5"/>
  <c r="BC129" i="5"/>
  <c r="AV84" i="5"/>
  <c r="AU84" i="5"/>
  <c r="BC84" i="5"/>
  <c r="AU138" i="5"/>
  <c r="BC138" i="5"/>
  <c r="AV138" i="5"/>
  <c r="AV122" i="5"/>
  <c r="AU122" i="5"/>
  <c r="BC122" i="5"/>
  <c r="BC109" i="5"/>
  <c r="AU109" i="5"/>
  <c r="AV109" i="5"/>
  <c r="AU156" i="5"/>
  <c r="AV156" i="5"/>
  <c r="BC156" i="5"/>
  <c r="AV126" i="5"/>
  <c r="AU126" i="5"/>
  <c r="BC126" i="5"/>
  <c r="AU71" i="5"/>
  <c r="AV71" i="5"/>
  <c r="BC71" i="5"/>
  <c r="AU136" i="5"/>
  <c r="AV136" i="5"/>
  <c r="BC136" i="5"/>
  <c r="AV115" i="5"/>
  <c r="BC115" i="5"/>
  <c r="AU115" i="5"/>
  <c r="AV83" i="5"/>
  <c r="AU83" i="5"/>
  <c r="BC83" i="5"/>
  <c r="AU88" i="5"/>
  <c r="AV88" i="5"/>
  <c r="BC88" i="5"/>
  <c r="AU75" i="5"/>
  <c r="AV75" i="5"/>
  <c r="BC75" i="5"/>
  <c r="AV102" i="5"/>
  <c r="AU102" i="5"/>
  <c r="BC102" i="5"/>
  <c r="AU87" i="5"/>
  <c r="AV87" i="5"/>
  <c r="BC87" i="5"/>
  <c r="AU90" i="5"/>
  <c r="AV90" i="5"/>
  <c r="BC90" i="5"/>
  <c r="AV77" i="5"/>
  <c r="AU77" i="5"/>
  <c r="BC77" i="5"/>
  <c r="BC52" i="5"/>
  <c r="AU52" i="5"/>
  <c r="AV52" i="5"/>
  <c r="BC22" i="5"/>
  <c r="AV22" i="5"/>
  <c r="AU22" i="5"/>
  <c r="AV63" i="5"/>
  <c r="AU63" i="5"/>
  <c r="BC63" i="5"/>
  <c r="AV20" i="5"/>
  <c r="AU20" i="5"/>
  <c r="BC20" i="5"/>
  <c r="AU62" i="5"/>
  <c r="AV62" i="5"/>
  <c r="BC62" i="5"/>
  <c r="AU64" i="5"/>
  <c r="AV64" i="5"/>
  <c r="AV53" i="5"/>
  <c r="AU53" i="5"/>
  <c r="BC53" i="5"/>
  <c r="AU51" i="5"/>
  <c r="AV51" i="5"/>
  <c r="BC51" i="5"/>
  <c r="AU43" i="5"/>
  <c r="AV43" i="5"/>
  <c r="BC43" i="5"/>
  <c r="AV31" i="5"/>
  <c r="AU31" i="5"/>
  <c r="BC31" i="5"/>
  <c r="AV39" i="5"/>
  <c r="AU39" i="5"/>
  <c r="BC39" i="5"/>
  <c r="BC21" i="5"/>
  <c r="AV21" i="5"/>
  <c r="AU21" i="5"/>
  <c r="AU35" i="5"/>
  <c r="AV35" i="5"/>
  <c r="BC35" i="5"/>
  <c r="B44" i="5"/>
  <c r="BB537" i="5"/>
  <c r="BA537" i="5"/>
  <c r="BA438" i="5"/>
  <c r="BB438" i="5"/>
  <c r="BA547" i="5"/>
  <c r="BB547" i="5"/>
  <c r="BB533" i="5"/>
  <c r="BA533" i="5"/>
  <c r="BA481" i="5"/>
  <c r="BB481" i="5"/>
  <c r="BB550" i="5"/>
  <c r="BA550" i="5"/>
  <c r="BB538" i="5"/>
  <c r="BA538" i="5"/>
  <c r="BB437" i="5"/>
  <c r="BA437" i="5"/>
  <c r="BA557" i="5"/>
  <c r="BB557" i="5"/>
  <c r="BB536" i="5"/>
  <c r="BA536" i="5"/>
  <c r="BA521" i="5"/>
  <c r="BB521" i="5"/>
  <c r="BA456" i="5"/>
  <c r="BB456" i="5"/>
  <c r="BA328" i="5"/>
  <c r="BB328" i="5"/>
  <c r="BB555" i="5"/>
  <c r="BA555" i="5"/>
  <c r="BB530" i="5"/>
  <c r="BA530" i="5"/>
  <c r="BA518" i="5"/>
  <c r="BB518" i="5"/>
  <c r="BB505" i="5"/>
  <c r="BA505" i="5"/>
  <c r="BA499" i="5"/>
  <c r="BB499" i="5"/>
  <c r="BA492" i="5"/>
  <c r="BB492" i="5"/>
  <c r="BA486" i="5"/>
  <c r="BB486" i="5"/>
  <c r="BB473" i="5"/>
  <c r="BA473" i="5"/>
  <c r="BB455" i="5"/>
  <c r="BA455" i="5"/>
  <c r="BB444" i="5"/>
  <c r="BA444" i="5"/>
  <c r="BA432" i="5"/>
  <c r="BB432" i="5"/>
  <c r="BA387" i="5"/>
  <c r="BB387" i="5"/>
  <c r="BA308" i="5"/>
  <c r="BB308" i="5"/>
  <c r="BA512" i="5"/>
  <c r="BB512" i="5"/>
  <c r="BB498" i="5"/>
  <c r="BA498" i="5"/>
  <c r="BB474" i="5"/>
  <c r="BA474" i="5"/>
  <c r="BB465" i="5"/>
  <c r="BA465" i="5"/>
  <c r="BA446" i="5"/>
  <c r="BB446" i="5"/>
  <c r="BA426" i="5"/>
  <c r="BB426" i="5"/>
  <c r="BB394" i="5"/>
  <c r="BA394" i="5"/>
  <c r="BA270" i="5"/>
  <c r="BB270" i="5"/>
  <c r="BB525" i="5"/>
  <c r="BA525" i="5"/>
  <c r="BB496" i="5"/>
  <c r="BA496" i="5"/>
  <c r="BA472" i="5"/>
  <c r="BB472" i="5"/>
  <c r="BB458" i="5"/>
  <c r="BA458" i="5"/>
  <c r="BA422" i="5"/>
  <c r="BB422" i="5"/>
  <c r="BB354" i="5"/>
  <c r="BA354" i="5"/>
  <c r="BB406" i="5"/>
  <c r="BA406" i="5"/>
  <c r="BA388" i="5"/>
  <c r="BB388" i="5"/>
  <c r="BA371" i="5"/>
  <c r="BB371" i="5"/>
  <c r="BB349" i="5"/>
  <c r="BA349" i="5"/>
  <c r="BB340" i="5"/>
  <c r="BA340" i="5"/>
  <c r="BA289" i="5"/>
  <c r="BB289" i="5"/>
  <c r="BB267" i="5"/>
  <c r="BA267" i="5"/>
  <c r="BA419" i="5"/>
  <c r="BB419" i="5"/>
  <c r="BA408" i="5"/>
  <c r="BB408" i="5"/>
  <c r="BB390" i="5"/>
  <c r="BA390" i="5"/>
  <c r="BB380" i="5"/>
  <c r="BA380" i="5"/>
  <c r="BB365" i="5"/>
  <c r="BA365" i="5"/>
  <c r="BA356" i="5"/>
  <c r="BB356" i="5"/>
  <c r="BA304" i="5"/>
  <c r="BB304" i="5"/>
  <c r="BB252" i="5"/>
  <c r="BA252" i="5"/>
  <c r="BB435" i="5"/>
  <c r="BA435" i="5"/>
  <c r="BA420" i="5"/>
  <c r="BB420" i="5"/>
  <c r="BB409" i="5"/>
  <c r="BA409" i="5"/>
  <c r="BA383" i="5"/>
  <c r="BB383" i="5"/>
  <c r="BB367" i="5"/>
  <c r="BA367" i="5"/>
  <c r="BB335" i="5"/>
  <c r="BA335" i="5"/>
  <c r="BB258" i="5"/>
  <c r="BA258" i="5"/>
  <c r="BB358" i="5"/>
  <c r="BA358" i="5"/>
  <c r="BA344" i="5"/>
  <c r="BB344" i="5"/>
  <c r="BA332" i="5"/>
  <c r="BB332" i="5"/>
  <c r="BB322" i="5"/>
  <c r="BA322" i="5"/>
  <c r="BB312" i="5"/>
  <c r="BA312" i="5"/>
  <c r="BA302" i="5"/>
  <c r="BB302" i="5"/>
  <c r="BB283" i="5"/>
  <c r="BA283" i="5"/>
  <c r="BB263" i="5"/>
  <c r="BA263" i="5"/>
  <c r="BB249" i="5"/>
  <c r="BA249" i="5"/>
  <c r="BA227" i="5"/>
  <c r="BB227" i="5"/>
  <c r="BB326" i="5"/>
  <c r="BA326" i="5"/>
  <c r="BB298" i="5"/>
  <c r="BA298" i="5"/>
  <c r="BA278" i="5"/>
  <c r="BB278" i="5"/>
  <c r="BB256" i="5"/>
  <c r="BA256" i="5"/>
  <c r="BA157" i="5"/>
  <c r="BB157" i="5"/>
  <c r="BB313" i="5"/>
  <c r="BA313" i="5"/>
  <c r="BB296" i="5"/>
  <c r="BA296" i="5"/>
  <c r="BA282" i="5"/>
  <c r="BB282" i="5"/>
  <c r="BB274" i="5"/>
  <c r="BA274" i="5"/>
  <c r="BB261" i="5"/>
  <c r="BA261" i="5"/>
  <c r="BB220" i="5"/>
  <c r="BA220" i="5"/>
  <c r="BA240" i="5"/>
  <c r="BB240" i="5"/>
  <c r="BA231" i="5"/>
  <c r="BB231" i="5"/>
  <c r="BA199" i="5"/>
  <c r="BB199" i="5"/>
  <c r="BB161" i="5"/>
  <c r="BA161" i="5"/>
  <c r="BB235" i="5"/>
  <c r="BA235" i="5"/>
  <c r="BA219" i="5"/>
  <c r="BB219" i="5"/>
  <c r="BB210" i="5"/>
  <c r="BA210" i="5"/>
  <c r="BB194" i="5"/>
  <c r="BA194" i="5"/>
  <c r="BA236" i="5"/>
  <c r="BB236" i="5"/>
  <c r="BB221" i="5"/>
  <c r="BA221" i="5"/>
  <c r="BA208" i="5"/>
  <c r="BB208" i="5"/>
  <c r="BA171" i="5"/>
  <c r="BB171" i="5"/>
  <c r="BA118" i="5"/>
  <c r="BB118" i="5"/>
  <c r="BB197" i="5"/>
  <c r="BA197" i="5"/>
  <c r="BB168" i="5"/>
  <c r="BA168" i="5"/>
  <c r="BB152" i="5"/>
  <c r="BA152" i="5"/>
  <c r="BA115" i="5"/>
  <c r="BB115" i="5"/>
  <c r="BA172" i="5"/>
  <c r="BB172" i="5"/>
  <c r="BB159" i="5"/>
  <c r="BA159" i="5"/>
  <c r="BA116" i="5"/>
  <c r="BB116" i="5"/>
  <c r="BB169" i="5"/>
  <c r="BA169" i="5"/>
  <c r="BA132" i="5"/>
  <c r="BB132" i="5"/>
  <c r="BB145" i="5"/>
  <c r="BA145" i="5"/>
  <c r="BA127" i="5"/>
  <c r="BB127" i="5"/>
  <c r="BA107" i="5"/>
  <c r="BB107" i="5"/>
  <c r="BB147" i="5"/>
  <c r="BA147" i="5"/>
  <c r="BB133" i="5"/>
  <c r="BA133" i="5"/>
  <c r="BA123" i="5"/>
  <c r="BB123" i="5"/>
  <c r="BA111" i="5"/>
  <c r="BB111" i="5"/>
  <c r="BA81" i="5"/>
  <c r="BB81" i="5"/>
  <c r="BB131" i="5"/>
  <c r="BA131" i="5"/>
  <c r="BA110" i="5"/>
  <c r="BB110" i="5"/>
  <c r="BA103" i="5"/>
  <c r="BB103" i="5"/>
  <c r="BA105" i="5"/>
  <c r="BB105" i="5"/>
  <c r="BB97" i="5"/>
  <c r="BA97" i="5"/>
  <c r="BB91" i="5"/>
  <c r="BA91" i="5"/>
  <c r="BA83" i="5"/>
  <c r="BB83" i="5"/>
  <c r="BB80" i="5"/>
  <c r="BA80" i="5"/>
  <c r="BA65" i="5"/>
  <c r="BB65" i="5"/>
  <c r="BA23" i="5"/>
  <c r="BB23" i="5"/>
  <c r="BA53" i="5"/>
  <c r="BB53" i="5"/>
  <c r="BB70" i="5"/>
  <c r="BA70" i="5"/>
  <c r="BB61" i="5"/>
  <c r="BA61" i="5"/>
  <c r="BA24" i="5"/>
  <c r="BB24" i="5"/>
  <c r="BA39" i="5"/>
  <c r="BB39" i="5"/>
  <c r="BB68" i="5"/>
  <c r="BA68" i="5"/>
  <c r="BB56" i="5"/>
  <c r="BA56" i="5"/>
  <c r="BB50" i="5"/>
  <c r="BA50" i="5"/>
  <c r="BB38" i="5"/>
  <c r="BA38" i="5"/>
  <c r="BA43" i="5"/>
  <c r="BB43" i="5"/>
  <c r="BB26" i="5"/>
  <c r="BA26" i="5"/>
  <c r="BB40" i="5"/>
  <c r="BA40" i="5"/>
  <c r="BC528" i="5"/>
  <c r="AX531" i="5"/>
  <c r="AY531" i="5"/>
  <c r="AY560" i="5"/>
  <c r="AX560" i="5"/>
  <c r="AY559" i="5"/>
  <c r="AX559" i="5"/>
  <c r="AY261" i="5"/>
  <c r="AX261" i="5"/>
  <c r="AX491" i="5"/>
  <c r="AY491" i="5"/>
  <c r="AY424" i="5"/>
  <c r="AX424" i="5"/>
  <c r="AY266" i="5"/>
  <c r="AX266" i="5"/>
  <c r="AX481" i="5"/>
  <c r="AY481" i="5"/>
  <c r="AX373" i="5"/>
  <c r="AY373" i="5"/>
  <c r="AX495" i="5"/>
  <c r="AY495" i="5"/>
  <c r="AX430" i="5"/>
  <c r="AY430" i="5"/>
  <c r="AX397" i="5"/>
  <c r="AY397" i="5"/>
  <c r="AX400" i="5"/>
  <c r="AY400" i="5"/>
  <c r="AY318" i="5"/>
  <c r="AX318" i="5"/>
  <c r="AY408" i="5"/>
  <c r="AX408" i="5"/>
  <c r="AX350" i="5"/>
  <c r="AY350" i="5"/>
  <c r="AX355" i="5"/>
  <c r="AY355" i="5"/>
  <c r="AX289" i="5"/>
  <c r="AY289" i="5"/>
  <c r="AX332" i="5"/>
  <c r="AY332" i="5"/>
  <c r="AY287" i="5"/>
  <c r="AX287" i="5"/>
  <c r="AX331" i="5"/>
  <c r="AY331" i="5"/>
  <c r="AX284" i="5"/>
  <c r="AY284" i="5"/>
  <c r="AX229" i="5"/>
  <c r="AY229" i="5"/>
  <c r="AX175" i="5"/>
  <c r="AY175" i="5"/>
  <c r="AY244" i="5"/>
  <c r="AX244" i="5"/>
  <c r="AX162" i="5"/>
  <c r="AY162" i="5"/>
  <c r="AX137" i="5"/>
  <c r="AY137" i="5"/>
  <c r="AY168" i="5"/>
  <c r="AX168" i="5"/>
  <c r="AX123" i="5"/>
  <c r="AY123" i="5"/>
  <c r="AX145" i="5"/>
  <c r="AY145" i="5"/>
  <c r="AY146" i="5"/>
  <c r="AX146" i="5"/>
  <c r="AX98" i="5"/>
  <c r="AY98" i="5"/>
  <c r="AX93" i="5"/>
  <c r="AY93" i="5"/>
  <c r="AY76" i="5"/>
  <c r="AX76" i="5"/>
  <c r="AX66" i="5"/>
  <c r="AY66" i="5"/>
  <c r="AY24" i="5"/>
  <c r="AX24" i="5"/>
  <c r="AY37" i="5"/>
  <c r="AX37" i="5"/>
  <c r="AV544" i="5"/>
  <c r="BC544" i="5"/>
  <c r="AU544" i="5"/>
  <c r="AV454" i="5"/>
  <c r="AU454" i="5"/>
  <c r="BC454" i="5"/>
  <c r="AU536" i="5"/>
  <c r="BC536" i="5"/>
  <c r="AV536" i="5"/>
  <c r="BC444" i="5"/>
  <c r="AV444" i="5"/>
  <c r="AU444" i="5"/>
  <c r="AV492" i="5"/>
  <c r="BC492" i="5"/>
  <c r="AU492" i="5"/>
  <c r="AV525" i="5"/>
  <c r="AU525" i="5"/>
  <c r="BC525" i="5"/>
  <c r="AV483" i="5"/>
  <c r="BC483" i="5"/>
  <c r="AU483" i="5"/>
  <c r="AY545" i="5"/>
  <c r="AX545" i="5"/>
  <c r="AY557" i="5"/>
  <c r="AX557" i="5"/>
  <c r="AX478" i="5"/>
  <c r="AY478" i="5"/>
  <c r="AY554" i="5"/>
  <c r="AX554" i="5"/>
  <c r="AY539" i="5"/>
  <c r="AX539" i="5"/>
  <c r="AX522" i="5"/>
  <c r="AY522" i="5"/>
  <c r="AX369" i="5"/>
  <c r="AY369" i="5"/>
  <c r="AY549" i="5"/>
  <c r="AX549" i="5"/>
  <c r="AX452" i="5"/>
  <c r="AY452" i="5"/>
  <c r="AY285" i="5"/>
  <c r="AX285" i="5"/>
  <c r="AY552" i="5"/>
  <c r="AX552" i="5"/>
  <c r="AY540" i="5"/>
  <c r="AX540" i="5"/>
  <c r="AY533" i="5"/>
  <c r="AX533" i="5"/>
  <c r="AY501" i="5"/>
  <c r="AX501" i="5"/>
  <c r="AY485" i="5"/>
  <c r="AX485" i="5"/>
  <c r="AY460" i="5"/>
  <c r="AX460" i="5"/>
  <c r="AX445" i="5"/>
  <c r="AY445" i="5"/>
  <c r="AX433" i="5"/>
  <c r="AY433" i="5"/>
  <c r="AY421" i="5"/>
  <c r="AX421" i="5"/>
  <c r="AX402" i="5"/>
  <c r="AY402" i="5"/>
  <c r="AX339" i="5"/>
  <c r="AY339" i="5"/>
  <c r="AY520" i="5"/>
  <c r="AX520" i="5"/>
  <c r="AY509" i="5"/>
  <c r="AX509" i="5"/>
  <c r="AX499" i="5"/>
  <c r="AY499" i="5"/>
  <c r="AX488" i="5"/>
  <c r="AY488" i="5"/>
  <c r="AX469" i="5"/>
  <c r="AY469" i="5"/>
  <c r="AX454" i="5"/>
  <c r="AY454" i="5"/>
  <c r="AX443" i="5"/>
  <c r="AY443" i="5"/>
  <c r="AX431" i="5"/>
  <c r="AY431" i="5"/>
  <c r="AX361" i="5"/>
  <c r="AY361" i="5"/>
  <c r="AX519" i="5"/>
  <c r="AY519" i="5"/>
  <c r="AX505" i="5"/>
  <c r="AY505" i="5"/>
  <c r="AX484" i="5"/>
  <c r="AY484" i="5"/>
  <c r="AX477" i="5"/>
  <c r="AY477" i="5"/>
  <c r="AX465" i="5"/>
  <c r="AY465" i="5"/>
  <c r="AX444" i="5"/>
  <c r="AY444" i="5"/>
  <c r="AY428" i="5"/>
  <c r="AX428" i="5"/>
  <c r="AY410" i="5"/>
  <c r="AX410" i="5"/>
  <c r="AY403" i="5"/>
  <c r="AX403" i="5"/>
  <c r="AX391" i="5"/>
  <c r="AY391" i="5"/>
  <c r="AY381" i="5"/>
  <c r="AX381" i="5"/>
  <c r="AX362" i="5"/>
  <c r="AY362" i="5"/>
  <c r="AY300" i="5"/>
  <c r="AX300" i="5"/>
  <c r="AX415" i="5"/>
  <c r="AY415" i="5"/>
  <c r="AX395" i="5"/>
  <c r="AY395" i="5"/>
  <c r="AX374" i="5"/>
  <c r="AY374" i="5"/>
  <c r="AX354" i="5"/>
  <c r="AY354" i="5"/>
  <c r="AY341" i="5"/>
  <c r="AX341" i="5"/>
  <c r="AX271" i="5"/>
  <c r="AY271" i="5"/>
  <c r="AX427" i="5"/>
  <c r="AY427" i="5"/>
  <c r="AY413" i="5"/>
  <c r="AX413" i="5"/>
  <c r="AX392" i="5"/>
  <c r="AY392" i="5"/>
  <c r="AX380" i="5"/>
  <c r="AY380" i="5"/>
  <c r="AX370" i="5"/>
  <c r="AY370" i="5"/>
  <c r="AY357" i="5"/>
  <c r="AX357" i="5"/>
  <c r="AX345" i="5"/>
  <c r="AY345" i="5"/>
  <c r="AX313" i="5"/>
  <c r="AY313" i="5"/>
  <c r="AX246" i="5"/>
  <c r="AY246" i="5"/>
  <c r="AX347" i="5"/>
  <c r="AY347" i="5"/>
  <c r="AY328" i="5"/>
  <c r="AX328" i="5"/>
  <c r="AY311" i="5"/>
  <c r="AX311" i="5"/>
  <c r="AY297" i="5"/>
  <c r="AX297" i="5"/>
  <c r="AY282" i="5"/>
  <c r="AX282" i="5"/>
  <c r="AX270" i="5"/>
  <c r="AY270" i="5"/>
  <c r="AY252" i="5"/>
  <c r="AX252" i="5"/>
  <c r="AY213" i="5"/>
  <c r="AX213" i="5"/>
  <c r="AX322" i="5"/>
  <c r="AY322" i="5"/>
  <c r="AY312" i="5"/>
  <c r="AX312" i="5"/>
  <c r="AY295" i="5"/>
  <c r="AX295" i="5"/>
  <c r="AX280" i="5"/>
  <c r="AY280" i="5"/>
  <c r="AX263" i="5"/>
  <c r="AY263" i="5"/>
  <c r="AY251" i="5"/>
  <c r="AX251" i="5"/>
  <c r="AX225" i="5"/>
  <c r="AY225" i="5"/>
  <c r="AX329" i="5"/>
  <c r="AY329" i="5"/>
  <c r="AY310" i="5"/>
  <c r="AX310" i="5"/>
  <c r="AY294" i="5"/>
  <c r="AX294" i="5"/>
  <c r="AX272" i="5"/>
  <c r="AY272" i="5"/>
  <c r="AX253" i="5"/>
  <c r="AY253" i="5"/>
  <c r="AX233" i="5"/>
  <c r="AY233" i="5"/>
  <c r="BC241" i="5"/>
  <c r="AX241" i="5"/>
  <c r="AY241" i="5"/>
  <c r="AX224" i="5"/>
  <c r="AY224" i="5"/>
  <c r="AX216" i="5"/>
  <c r="AY216" i="5"/>
  <c r="AX198" i="5"/>
  <c r="AY198" i="5"/>
  <c r="AX187" i="5"/>
  <c r="AY187" i="5"/>
  <c r="AX169" i="5"/>
  <c r="AY169" i="5"/>
  <c r="AX231" i="5"/>
  <c r="AY231" i="5"/>
  <c r="AY197" i="5"/>
  <c r="AX197" i="5"/>
  <c r="AX240" i="5"/>
  <c r="AY240" i="5"/>
  <c r="AX226" i="5"/>
  <c r="AY226" i="5"/>
  <c r="AX214" i="5"/>
  <c r="AY214" i="5"/>
  <c r="AY195" i="5"/>
  <c r="AX195" i="5"/>
  <c r="AY148" i="5"/>
  <c r="AX148" i="5"/>
  <c r="AY205" i="5"/>
  <c r="AX205" i="5"/>
  <c r="AY188" i="5"/>
  <c r="AX188" i="5"/>
  <c r="AY170" i="5"/>
  <c r="AX170" i="5"/>
  <c r="AX183" i="5"/>
  <c r="AY183" i="5"/>
  <c r="AY156" i="5"/>
  <c r="AX156" i="5"/>
  <c r="AY176" i="5"/>
  <c r="AX176" i="5"/>
  <c r="AY164" i="5"/>
  <c r="AX164" i="5"/>
  <c r="AX155" i="5"/>
  <c r="AY155" i="5"/>
  <c r="AX147" i="5"/>
  <c r="AY147" i="5"/>
  <c r="AX131" i="5"/>
  <c r="AY131" i="5"/>
  <c r="AX114" i="5"/>
  <c r="AY114" i="5"/>
  <c r="AX102" i="5"/>
  <c r="AY102" i="5"/>
  <c r="AX157" i="5"/>
  <c r="AY157" i="5"/>
  <c r="AY141" i="5"/>
  <c r="AX141" i="5"/>
  <c r="BC130" i="5"/>
  <c r="AY130" i="5"/>
  <c r="AX130" i="5"/>
  <c r="AX115" i="5"/>
  <c r="AY115" i="5"/>
  <c r="AY152" i="5"/>
  <c r="AX152" i="5"/>
  <c r="AX135" i="5"/>
  <c r="AY135" i="5"/>
  <c r="AX120" i="5"/>
  <c r="AY120" i="5"/>
  <c r="AX111" i="5"/>
  <c r="AY111" i="5"/>
  <c r="AX107" i="5"/>
  <c r="AY107" i="5"/>
  <c r="AY95" i="5"/>
  <c r="AX95" i="5"/>
  <c r="AX84" i="5"/>
  <c r="AY84" i="5"/>
  <c r="AX99" i="5"/>
  <c r="AY99" i="5"/>
  <c r="AX81" i="5"/>
  <c r="AY81" i="5"/>
  <c r="AX70" i="5"/>
  <c r="AY70" i="5"/>
  <c r="AX83" i="5"/>
  <c r="AY83" i="5"/>
  <c r="AX58" i="5"/>
  <c r="AY58" i="5"/>
  <c r="AX40" i="5"/>
  <c r="AY40" i="5"/>
  <c r="AY65" i="5"/>
  <c r="AX65" i="5"/>
  <c r="AX54" i="5"/>
  <c r="AY54" i="5"/>
  <c r="AY36" i="5"/>
  <c r="AX36" i="5"/>
  <c r="AX59" i="5"/>
  <c r="AY59" i="5"/>
  <c r="AX34" i="5"/>
  <c r="AY34" i="5"/>
  <c r="AX45" i="5"/>
  <c r="AY45" i="5"/>
  <c r="AY32" i="5"/>
  <c r="AX32" i="5"/>
  <c r="AX46" i="5"/>
  <c r="AY46" i="5"/>
  <c r="AX33" i="5"/>
  <c r="AY33" i="5"/>
  <c r="AX48" i="5"/>
  <c r="AY48" i="5"/>
  <c r="AX26" i="5"/>
  <c r="AY26" i="5"/>
  <c r="T28" i="5"/>
  <c r="T29" i="5"/>
  <c r="T38" i="5"/>
  <c r="T44" i="5"/>
  <c r="T46" i="5"/>
  <c r="T21" i="5"/>
  <c r="T24" i="5"/>
  <c r="T26" i="5"/>
  <c r="T27" i="5"/>
  <c r="T31" i="5"/>
  <c r="T32" i="5"/>
  <c r="T39" i="5"/>
  <c r="T42" i="5"/>
  <c r="T45" i="5"/>
  <c r="T22" i="5"/>
  <c r="T34" i="5"/>
  <c r="T36" i="5"/>
  <c r="T40" i="5"/>
  <c r="T43" i="5"/>
  <c r="T47" i="5"/>
  <c r="T48" i="5"/>
  <c r="T49" i="5"/>
  <c r="T41" i="5"/>
  <c r="T52" i="5"/>
  <c r="T53" i="5"/>
  <c r="T54" i="5"/>
  <c r="T64" i="5"/>
  <c r="T70" i="5"/>
  <c r="T20" i="5"/>
  <c r="T23" i="5"/>
  <c r="T30" i="5"/>
  <c r="T33" i="5"/>
  <c r="T50" i="5"/>
  <c r="T51" i="5"/>
  <c r="T56" i="5"/>
  <c r="T59" i="5"/>
  <c r="T62" i="5"/>
  <c r="T65" i="5"/>
  <c r="T67" i="5"/>
  <c r="T35" i="5"/>
  <c r="T55" i="5"/>
  <c r="T58" i="5"/>
  <c r="T63" i="5"/>
  <c r="T66" i="5"/>
  <c r="T68" i="5"/>
  <c r="T71" i="5"/>
  <c r="T76" i="5"/>
  <c r="T80" i="5"/>
  <c r="T74" i="5"/>
  <c r="T77" i="5"/>
  <c r="T57" i="5"/>
  <c r="T61" i="5"/>
  <c r="T73" i="5"/>
  <c r="T78" i="5"/>
  <c r="T89" i="5"/>
  <c r="T92" i="5"/>
  <c r="T25" i="5"/>
  <c r="T81" i="5"/>
  <c r="T82" i="5"/>
  <c r="T94" i="5"/>
  <c r="T96" i="5"/>
  <c r="T97" i="5"/>
  <c r="T98" i="5"/>
  <c r="T69" i="5"/>
  <c r="T95" i="5"/>
  <c r="T102" i="5"/>
  <c r="T105" i="5"/>
  <c r="T107" i="5"/>
  <c r="T60" i="5"/>
  <c r="T72" i="5"/>
  <c r="T83" i="5"/>
  <c r="T85" i="5"/>
  <c r="T88" i="5"/>
  <c r="T90" i="5"/>
  <c r="T91" i="5"/>
  <c r="T101" i="5"/>
  <c r="T108" i="5"/>
  <c r="T110" i="5"/>
  <c r="T37" i="5"/>
  <c r="T87" i="5"/>
  <c r="T93" i="5"/>
  <c r="T113" i="5"/>
  <c r="T121" i="5"/>
  <c r="T126" i="5"/>
  <c r="T127" i="5"/>
  <c r="T132" i="5"/>
  <c r="T136" i="5"/>
  <c r="T139" i="5"/>
  <c r="T141" i="5"/>
  <c r="T147" i="5"/>
  <c r="T155" i="5"/>
  <c r="T84" i="5"/>
  <c r="T99" i="5"/>
  <c r="T103" i="5"/>
  <c r="T106" i="5"/>
  <c r="T109" i="5"/>
  <c r="T112" i="5"/>
  <c r="T116" i="5"/>
  <c r="T117" i="5"/>
  <c r="T123" i="5"/>
  <c r="T124" i="5"/>
  <c r="T129" i="5"/>
  <c r="T131" i="5"/>
  <c r="T137" i="5"/>
  <c r="T142" i="5"/>
  <c r="T148" i="5"/>
  <c r="T151" i="5"/>
  <c r="T156" i="5"/>
  <c r="T75" i="5"/>
  <c r="T104" i="5"/>
  <c r="T114" i="5"/>
  <c r="T115" i="5"/>
  <c r="T119" i="5"/>
  <c r="T122" i="5"/>
  <c r="T130" i="5"/>
  <c r="T138" i="5"/>
  <c r="T143" i="5"/>
  <c r="T145" i="5"/>
  <c r="T146" i="5"/>
  <c r="T152" i="5"/>
  <c r="T125" i="5"/>
  <c r="T128" i="5"/>
  <c r="T134" i="5"/>
  <c r="T149" i="5"/>
  <c r="T165" i="5"/>
  <c r="T167" i="5"/>
  <c r="T171" i="5"/>
  <c r="T173" i="5"/>
  <c r="T177" i="5"/>
  <c r="T178" i="5"/>
  <c r="T181" i="5"/>
  <c r="T187" i="5"/>
  <c r="T86" i="5"/>
  <c r="T111" i="5"/>
  <c r="T118" i="5"/>
  <c r="T133" i="5"/>
  <c r="T140" i="5"/>
  <c r="T163" i="5"/>
  <c r="T169" i="5"/>
  <c r="T170" i="5"/>
  <c r="T182" i="5"/>
  <c r="T184" i="5"/>
  <c r="T79" i="5"/>
  <c r="T100" i="5"/>
  <c r="T154" i="5"/>
  <c r="T158" i="5"/>
  <c r="T161" i="5"/>
  <c r="T172" i="5"/>
  <c r="T175" i="5"/>
  <c r="T179" i="5"/>
  <c r="T183" i="5"/>
  <c r="T185" i="5"/>
  <c r="T186" i="5"/>
  <c r="T189" i="5"/>
  <c r="T190" i="5"/>
  <c r="T194" i="5"/>
  <c r="T197" i="5"/>
  <c r="T198" i="5"/>
  <c r="T201" i="5"/>
  <c r="T204" i="5"/>
  <c r="T206" i="5"/>
  <c r="T164" i="5"/>
  <c r="T188" i="5"/>
  <c r="T196" i="5"/>
  <c r="T200" i="5"/>
  <c r="T202" i="5"/>
  <c r="T203" i="5"/>
  <c r="T205" i="5"/>
  <c r="T208" i="5"/>
  <c r="T209" i="5"/>
  <c r="T211" i="5"/>
  <c r="T215" i="5"/>
  <c r="T218" i="5"/>
  <c r="T220" i="5"/>
  <c r="T223" i="5"/>
  <c r="T224" i="5"/>
  <c r="T227" i="5"/>
  <c r="T234" i="5"/>
  <c r="T239" i="5"/>
  <c r="T245" i="5"/>
  <c r="T120" i="5"/>
  <c r="T144" i="5"/>
  <c r="T150" i="5"/>
  <c r="T159" i="5"/>
  <c r="T166" i="5"/>
  <c r="T193" i="5"/>
  <c r="T199" i="5"/>
  <c r="T212" i="5"/>
  <c r="T216" i="5"/>
  <c r="T217" i="5"/>
  <c r="T222" i="5"/>
  <c r="T229" i="5"/>
  <c r="T232" i="5"/>
  <c r="T238" i="5"/>
  <c r="T242" i="5"/>
  <c r="T243" i="5"/>
  <c r="T157" i="5"/>
  <c r="T168" i="5"/>
  <c r="T174" i="5"/>
  <c r="T180" i="5"/>
  <c r="T191" i="5"/>
  <c r="T192" i="5"/>
  <c r="T207" i="5"/>
  <c r="T210" i="5"/>
  <c r="T213" i="5"/>
  <c r="T219" i="5"/>
  <c r="T221" i="5"/>
  <c r="T225" i="5"/>
  <c r="T230" i="5"/>
  <c r="T233" i="5"/>
  <c r="T235" i="5"/>
  <c r="T236" i="5"/>
  <c r="T240" i="5"/>
  <c r="T153" i="5"/>
  <c r="T176" i="5"/>
  <c r="T241" i="5"/>
  <c r="T248" i="5"/>
  <c r="T249" i="5"/>
  <c r="T252" i="5"/>
  <c r="T254" i="5"/>
  <c r="T255" i="5"/>
  <c r="T257" i="5"/>
  <c r="T260" i="5"/>
  <c r="T263" i="5"/>
  <c r="T265" i="5"/>
  <c r="T270" i="5"/>
  <c r="T273" i="5"/>
  <c r="T274" i="5"/>
  <c r="T277" i="5"/>
  <c r="T278" i="5"/>
  <c r="T279" i="5"/>
  <c r="T282" i="5"/>
  <c r="T289" i="5"/>
  <c r="T295" i="5"/>
  <c r="T301" i="5"/>
  <c r="T306" i="5"/>
  <c r="T308" i="5"/>
  <c r="T314" i="5"/>
  <c r="T318" i="5"/>
  <c r="T322" i="5"/>
  <c r="T327" i="5"/>
  <c r="T332" i="5"/>
  <c r="T334" i="5"/>
  <c r="T135" i="5"/>
  <c r="T237" i="5"/>
  <c r="T244" i="5"/>
  <c r="T250" i="5"/>
  <c r="T251" i="5"/>
  <c r="T258" i="5"/>
  <c r="T266" i="5"/>
  <c r="T276" i="5"/>
  <c r="T284" i="5"/>
  <c r="T288" i="5"/>
  <c r="T291" i="5"/>
  <c r="T292" i="5"/>
  <c r="T299" i="5"/>
  <c r="T302" i="5"/>
  <c r="T311" i="5"/>
  <c r="T313" i="5"/>
  <c r="T316" i="5"/>
  <c r="T323" i="5"/>
  <c r="T325" i="5"/>
  <c r="T328" i="5"/>
  <c r="T331" i="5"/>
  <c r="T160" i="5"/>
  <c r="T226" i="5"/>
  <c r="T231" i="5"/>
  <c r="T246" i="5"/>
  <c r="T253" i="5"/>
  <c r="T256" i="5"/>
  <c r="T259" i="5"/>
  <c r="T261" i="5"/>
  <c r="T264" i="5"/>
  <c r="T268" i="5"/>
  <c r="T269" i="5"/>
  <c r="T271" i="5"/>
  <c r="T281" i="5"/>
  <c r="T285" i="5"/>
  <c r="T290" i="5"/>
  <c r="T293" i="5"/>
  <c r="T296" i="5"/>
  <c r="T298" i="5"/>
  <c r="T300" i="5"/>
  <c r="T303" i="5"/>
  <c r="T305" i="5"/>
  <c r="T307" i="5"/>
  <c r="T310" i="5"/>
  <c r="T320" i="5"/>
  <c r="T321" i="5"/>
  <c r="T326" i="5"/>
  <c r="T330" i="5"/>
  <c r="T335" i="5"/>
  <c r="T343" i="5"/>
  <c r="T349" i="5"/>
  <c r="T354" i="5"/>
  <c r="T356" i="5"/>
  <c r="T262" i="5"/>
  <c r="T267" i="5"/>
  <c r="T280" i="5"/>
  <c r="T283" i="5"/>
  <c r="T286" i="5"/>
  <c r="T309" i="5"/>
  <c r="T312" i="5"/>
  <c r="T315" i="5"/>
  <c r="T329" i="5"/>
  <c r="T337" i="5"/>
  <c r="T342" i="5"/>
  <c r="T345" i="5"/>
  <c r="T350" i="5"/>
  <c r="T359" i="5"/>
  <c r="T362" i="5"/>
  <c r="T364" i="5"/>
  <c r="T366" i="5"/>
  <c r="T367" i="5"/>
  <c r="T378" i="5"/>
  <c r="T381" i="5"/>
  <c r="T387" i="5"/>
  <c r="T390" i="5"/>
  <c r="T393" i="5"/>
  <c r="T400" i="5"/>
  <c r="T403" i="5"/>
  <c r="T405" i="5"/>
  <c r="T410" i="5"/>
  <c r="T415" i="5"/>
  <c r="T420" i="5"/>
  <c r="T421" i="5"/>
  <c r="T424" i="5"/>
  <c r="T429" i="5"/>
  <c r="T433" i="5"/>
  <c r="T436" i="5"/>
  <c r="T437" i="5"/>
  <c r="T214" i="5"/>
  <c r="T247" i="5"/>
  <c r="T297" i="5"/>
  <c r="T317" i="5"/>
  <c r="T341" i="5"/>
  <c r="T369" i="5"/>
  <c r="T371" i="5"/>
  <c r="T372" i="5"/>
  <c r="T375" i="5"/>
  <c r="T376" i="5"/>
  <c r="T380" i="5"/>
  <c r="T385" i="5"/>
  <c r="T386" i="5"/>
  <c r="T389" i="5"/>
  <c r="T391" i="5"/>
  <c r="T396" i="5"/>
  <c r="T407" i="5"/>
  <c r="T409" i="5"/>
  <c r="T418" i="5"/>
  <c r="T162" i="5"/>
  <c r="T195" i="5"/>
  <c r="T228" i="5"/>
  <c r="T272" i="5"/>
  <c r="T275" i="5"/>
  <c r="T294" i="5"/>
  <c r="T319" i="5"/>
  <c r="T336" i="5"/>
  <c r="T340" i="5"/>
  <c r="T348" i="5"/>
  <c r="T353" i="5"/>
  <c r="T355" i="5"/>
  <c r="T361" i="5"/>
  <c r="T363" i="5"/>
  <c r="T365" i="5"/>
  <c r="T373" i="5"/>
  <c r="T379" i="5"/>
  <c r="T382" i="5"/>
  <c r="T383" i="5"/>
  <c r="T388" i="5"/>
  <c r="T392" i="5"/>
  <c r="T399" i="5"/>
  <c r="T402" i="5"/>
  <c r="T404" i="5"/>
  <c r="T408" i="5"/>
  <c r="T411" i="5"/>
  <c r="T414" i="5"/>
  <c r="T417" i="5"/>
  <c r="T287" i="5"/>
  <c r="T324" i="5"/>
  <c r="T357" i="5"/>
  <c r="T370" i="5"/>
  <c r="T384" i="5"/>
  <c r="T428" i="5"/>
  <c r="T430" i="5"/>
  <c r="T432" i="5"/>
  <c r="T441" i="5"/>
  <c r="T443" i="5"/>
  <c r="T447" i="5"/>
  <c r="T448" i="5"/>
  <c r="T451" i="5"/>
  <c r="T458" i="5"/>
  <c r="T460" i="5"/>
  <c r="T466" i="5"/>
  <c r="T472" i="5"/>
  <c r="T478" i="5"/>
  <c r="T481" i="5"/>
  <c r="T491" i="5"/>
  <c r="T494" i="5"/>
  <c r="T499" i="5"/>
  <c r="T505" i="5"/>
  <c r="T507" i="5"/>
  <c r="T508" i="5"/>
  <c r="T513" i="5"/>
  <c r="T515" i="5"/>
  <c r="T516" i="5"/>
  <c r="T525" i="5"/>
  <c r="T532" i="5"/>
  <c r="T533" i="5"/>
  <c r="T537" i="5"/>
  <c r="T339" i="5"/>
  <c r="T347" i="5"/>
  <c r="T351" i="5"/>
  <c r="T427" i="5"/>
  <c r="T431" i="5"/>
  <c r="T438" i="5"/>
  <c r="T442" i="5"/>
  <c r="T453" i="5"/>
  <c r="T454" i="5"/>
  <c r="T456" i="5"/>
  <c r="T459" i="5"/>
  <c r="T462" i="5"/>
  <c r="T464" i="5"/>
  <c r="T468" i="5"/>
  <c r="T471" i="5"/>
  <c r="T474" i="5"/>
  <c r="T475" i="5"/>
  <c r="T480" i="5"/>
  <c r="T483" i="5"/>
  <c r="T485" i="5"/>
  <c r="T496" i="5"/>
  <c r="T498" i="5"/>
  <c r="T500" i="5"/>
  <c r="T501" i="5"/>
  <c r="T503" i="5"/>
  <c r="T504" i="5"/>
  <c r="T511" i="5"/>
  <c r="T512" i="5"/>
  <c r="T517" i="5"/>
  <c r="T519" i="5"/>
  <c r="T521" i="5"/>
  <c r="T522" i="5"/>
  <c r="T333" i="5"/>
  <c r="T358" i="5"/>
  <c r="T360" i="5"/>
  <c r="T368" i="5"/>
  <c r="T374" i="5"/>
  <c r="T377" i="5"/>
  <c r="T395" i="5"/>
  <c r="T398" i="5"/>
  <c r="T401" i="5"/>
  <c r="T413" i="5"/>
  <c r="T416" i="5"/>
  <c r="T422" i="5"/>
  <c r="T425" i="5"/>
  <c r="T434" i="5"/>
  <c r="T435" i="5"/>
  <c r="T439" i="5"/>
  <c r="T446" i="5"/>
  <c r="T452" i="5"/>
  <c r="T455" i="5"/>
  <c r="T457" i="5"/>
  <c r="T461" i="5"/>
  <c r="T463" i="5"/>
  <c r="T467" i="5"/>
  <c r="T470" i="5"/>
  <c r="T473" i="5"/>
  <c r="T477" i="5"/>
  <c r="T482" i="5"/>
  <c r="T486" i="5"/>
  <c r="T487" i="5"/>
  <c r="T489" i="5"/>
  <c r="T492" i="5"/>
  <c r="T493" i="5"/>
  <c r="T495" i="5"/>
  <c r="T506" i="5"/>
  <c r="T510" i="5"/>
  <c r="T526" i="5"/>
  <c r="T531" i="5"/>
  <c r="T538" i="5"/>
  <c r="T556" i="5"/>
  <c r="T557" i="5"/>
  <c r="T560" i="5"/>
  <c r="T304" i="5"/>
  <c r="T338" i="5"/>
  <c r="T344" i="5"/>
  <c r="T346" i="5"/>
  <c r="T352" i="5"/>
  <c r="T444" i="5"/>
  <c r="T465" i="5"/>
  <c r="T484" i="5"/>
  <c r="T529" i="5"/>
  <c r="T534" i="5"/>
  <c r="T536" i="5"/>
  <c r="T539" i="5"/>
  <c r="T540" i="5"/>
  <c r="T542" i="5"/>
  <c r="T545" i="5"/>
  <c r="T546" i="5"/>
  <c r="T548" i="5"/>
  <c r="T550" i="5"/>
  <c r="T554" i="5"/>
  <c r="T541" i="5"/>
  <c r="T544" i="5"/>
  <c r="T394" i="5"/>
  <c r="T406" i="5"/>
  <c r="T412" i="5"/>
  <c r="T426" i="5"/>
  <c r="T450" i="5"/>
  <c r="T490" i="5"/>
  <c r="T497" i="5"/>
  <c r="T514" i="5"/>
  <c r="T518" i="5"/>
  <c r="T524" i="5"/>
  <c r="T527" i="5"/>
  <c r="T543" i="5"/>
  <c r="T551" i="5"/>
  <c r="T552" i="5"/>
  <c r="T553" i="5"/>
  <c r="T555" i="5"/>
  <c r="T419" i="5"/>
  <c r="T440" i="5"/>
  <c r="T449" i="5"/>
  <c r="T528" i="5"/>
  <c r="T530" i="5"/>
  <c r="T535" i="5"/>
  <c r="T547" i="5"/>
  <c r="T549" i="5"/>
  <c r="T558" i="5"/>
  <c r="T559" i="5"/>
  <c r="T397" i="5"/>
  <c r="T423" i="5"/>
  <c r="T445" i="5"/>
  <c r="T469" i="5"/>
  <c r="T476" i="5"/>
  <c r="T479" i="5"/>
  <c r="T488" i="5"/>
  <c r="T502" i="5"/>
  <c r="T509" i="5"/>
  <c r="T520" i="5"/>
  <c r="T523" i="5"/>
  <c r="T19" i="5"/>
  <c r="BC486" i="5"/>
  <c r="AV534" i="5"/>
  <c r="BC534" i="5"/>
  <c r="AU534" i="5"/>
  <c r="AV500" i="5"/>
  <c r="AU500" i="5"/>
  <c r="BC500" i="5"/>
  <c r="BC440" i="5"/>
  <c r="AV440" i="5"/>
  <c r="AU440" i="5"/>
  <c r="AV537" i="5"/>
  <c r="AU537" i="5"/>
  <c r="BC537" i="5"/>
  <c r="AU467" i="5"/>
  <c r="BC467" i="5"/>
  <c r="AV467" i="5"/>
  <c r="AU430" i="5"/>
  <c r="BC430" i="5"/>
  <c r="AV430" i="5"/>
  <c r="AV395" i="5"/>
  <c r="AU395" i="5"/>
  <c r="BC395" i="5"/>
  <c r="AV358" i="5"/>
  <c r="AU358" i="5"/>
  <c r="BC358" i="5"/>
  <c r="AU555" i="5"/>
  <c r="BC555" i="5"/>
  <c r="AV555" i="5"/>
  <c r="AV526" i="5"/>
  <c r="BC526" i="5"/>
  <c r="AU526" i="5"/>
  <c r="AV465" i="5"/>
  <c r="AU465" i="5"/>
  <c r="BC465" i="5"/>
  <c r="AU554" i="5"/>
  <c r="BC554" i="5"/>
  <c r="AV554" i="5"/>
  <c r="BC539" i="5"/>
  <c r="AV539" i="5"/>
  <c r="AU539" i="5"/>
  <c r="AV509" i="5"/>
  <c r="AU509" i="5"/>
  <c r="BC509" i="5"/>
  <c r="AV479" i="5"/>
  <c r="AU479" i="5"/>
  <c r="BC479" i="5"/>
  <c r="BC416" i="5"/>
  <c r="AV416" i="5"/>
  <c r="AU416" i="5"/>
  <c r="AU559" i="5"/>
  <c r="BC559" i="5"/>
  <c r="AV559" i="5"/>
  <c r="AU550" i="5"/>
  <c r="BC550" i="5"/>
  <c r="AV550" i="5"/>
  <c r="AU543" i="5"/>
  <c r="BC543" i="5"/>
  <c r="AV543" i="5"/>
  <c r="BC514" i="5"/>
  <c r="AV514" i="5"/>
  <c r="AU514" i="5"/>
  <c r="AV504" i="5"/>
  <c r="BC504" i="5"/>
  <c r="AU504" i="5"/>
  <c r="AV478" i="5"/>
  <c r="BC478" i="5"/>
  <c r="AU478" i="5"/>
  <c r="AV468" i="5"/>
  <c r="BC468" i="5"/>
  <c r="AU468" i="5"/>
  <c r="AV453" i="5"/>
  <c r="AU453" i="5"/>
  <c r="BC453" i="5"/>
  <c r="BC399" i="5"/>
  <c r="AV399" i="5"/>
  <c r="AU399" i="5"/>
  <c r="AV272" i="5"/>
  <c r="AU272" i="5"/>
  <c r="BC272" i="5"/>
  <c r="AV501" i="5"/>
  <c r="AU501" i="5"/>
  <c r="BC501" i="5"/>
  <c r="AV490" i="5"/>
  <c r="BC490" i="5"/>
  <c r="AU490" i="5"/>
  <c r="AV472" i="5"/>
  <c r="AU472" i="5"/>
  <c r="BC472" i="5"/>
  <c r="AV456" i="5"/>
  <c r="AU456" i="5"/>
  <c r="BC456" i="5"/>
  <c r="AV435" i="5"/>
  <c r="BC435" i="5"/>
  <c r="AU435" i="5"/>
  <c r="AV408" i="5"/>
  <c r="AU408" i="5"/>
  <c r="BC408" i="5"/>
  <c r="AU331" i="5"/>
  <c r="BC331" i="5"/>
  <c r="AV331" i="5"/>
  <c r="AV518" i="5"/>
  <c r="BC518" i="5"/>
  <c r="AU518" i="5"/>
  <c r="AV502" i="5"/>
  <c r="BC502" i="5"/>
  <c r="AU502" i="5"/>
  <c r="AV489" i="5"/>
  <c r="BC489" i="5"/>
  <c r="AU489" i="5"/>
  <c r="AV469" i="5"/>
  <c r="AU469" i="5"/>
  <c r="BC469" i="5"/>
  <c r="AV445" i="5"/>
  <c r="AU445" i="5"/>
  <c r="BC445" i="5"/>
  <c r="AV427" i="5"/>
  <c r="BC427" i="5"/>
  <c r="AU427" i="5"/>
  <c r="AV371" i="5"/>
  <c r="AU371" i="5"/>
  <c r="BC371" i="5"/>
  <c r="AV334" i="5"/>
  <c r="AU334" i="5"/>
  <c r="BC334" i="5"/>
  <c r="AU168" i="5"/>
  <c r="AV168" i="5"/>
  <c r="BC168" i="5"/>
  <c r="AV411" i="5"/>
  <c r="BC411" i="5"/>
  <c r="AU411" i="5"/>
  <c r="AV385" i="5"/>
  <c r="BC385" i="5"/>
  <c r="AU385" i="5"/>
  <c r="AV369" i="5"/>
  <c r="AU369" i="5"/>
  <c r="BC369" i="5"/>
  <c r="AV352" i="5"/>
  <c r="AU352" i="5"/>
  <c r="BC352" i="5"/>
  <c r="BC317" i="5"/>
  <c r="AV317" i="5"/>
  <c r="AU317" i="5"/>
  <c r="AV407" i="5"/>
  <c r="BC407" i="5"/>
  <c r="AU407" i="5"/>
  <c r="AV391" i="5"/>
  <c r="AU391" i="5"/>
  <c r="BC391" i="5"/>
  <c r="AU376" i="5"/>
  <c r="BC376" i="5"/>
  <c r="AV376" i="5"/>
  <c r="AV362" i="5"/>
  <c r="AU362" i="5"/>
  <c r="BC362" i="5"/>
  <c r="BC329" i="5"/>
  <c r="AV329" i="5"/>
  <c r="AU329" i="5"/>
  <c r="AV268" i="5"/>
  <c r="AU268" i="5"/>
  <c r="BC268" i="5"/>
  <c r="AU180" i="5"/>
  <c r="AV180" i="5"/>
  <c r="BC180" i="5"/>
  <c r="AV429" i="5"/>
  <c r="AU429" i="5"/>
  <c r="BC429" i="5"/>
  <c r="AV415" i="5"/>
  <c r="BC415" i="5"/>
  <c r="AU415" i="5"/>
  <c r="AV400" i="5"/>
  <c r="BC400" i="5"/>
  <c r="AU400" i="5"/>
  <c r="AV388" i="5"/>
  <c r="BC388" i="5"/>
  <c r="AU388" i="5"/>
  <c r="AV366" i="5"/>
  <c r="AU366" i="5"/>
  <c r="BC366" i="5"/>
  <c r="BC310" i="5"/>
  <c r="AV310" i="5"/>
  <c r="AU310" i="5"/>
  <c r="AU174" i="5"/>
  <c r="AV174" i="5"/>
  <c r="BC174" i="5"/>
  <c r="BC349" i="5"/>
  <c r="AU349" i="5"/>
  <c r="AV349" i="5"/>
  <c r="AV342" i="5"/>
  <c r="AU342" i="5"/>
  <c r="BC342" i="5"/>
  <c r="AV323" i="5"/>
  <c r="AU323" i="5"/>
  <c r="BC323" i="5"/>
  <c r="AV303" i="5"/>
  <c r="AU303" i="5"/>
  <c r="BC303" i="5"/>
  <c r="AU288" i="5"/>
  <c r="BC288" i="5"/>
  <c r="AV288" i="5"/>
  <c r="AU269" i="5"/>
  <c r="AV269" i="5"/>
  <c r="BC269" i="5"/>
  <c r="AV253" i="5"/>
  <c r="AU253" i="5"/>
  <c r="BC253" i="5"/>
  <c r="AU196" i="5"/>
  <c r="AV196" i="5"/>
  <c r="BC196" i="5"/>
  <c r="AU325" i="5"/>
  <c r="AV325" i="5"/>
  <c r="BC325" i="5"/>
  <c r="AV308" i="5"/>
  <c r="AU308" i="5"/>
  <c r="BC308" i="5"/>
  <c r="BC292" i="5"/>
  <c r="AV292" i="5"/>
  <c r="AU292" i="5"/>
  <c r="AU279" i="5"/>
  <c r="AV279" i="5"/>
  <c r="AV266" i="5"/>
  <c r="AU266" i="5"/>
  <c r="BC266" i="5"/>
  <c r="AU241" i="5"/>
  <c r="AV241" i="5"/>
  <c r="BC203" i="5"/>
  <c r="AU203" i="5"/>
  <c r="AV203" i="5"/>
  <c r="AV320" i="5"/>
  <c r="AU320" i="5"/>
  <c r="BC320" i="5"/>
  <c r="AU309" i="5"/>
  <c r="BC309" i="5"/>
  <c r="AV309" i="5"/>
  <c r="AU293" i="5"/>
  <c r="BC293" i="5"/>
  <c r="AV293" i="5"/>
  <c r="AV277" i="5"/>
  <c r="AU277" i="5"/>
  <c r="BC277" i="5"/>
  <c r="AU263" i="5"/>
  <c r="BC263" i="5"/>
  <c r="AV263" i="5"/>
  <c r="AV254" i="5"/>
  <c r="AU254" i="5"/>
  <c r="BC254" i="5"/>
  <c r="AV228" i="5"/>
  <c r="AU228" i="5"/>
  <c r="BC228" i="5"/>
  <c r="AV236" i="5"/>
  <c r="AU236" i="5"/>
  <c r="BC236" i="5"/>
  <c r="AV225" i="5"/>
  <c r="AU225" i="5"/>
  <c r="BC225" i="5"/>
  <c r="AU213" i="5"/>
  <c r="BC213" i="5"/>
  <c r="AV213" i="5"/>
  <c r="AU188" i="5"/>
  <c r="AV188" i="5"/>
  <c r="BC188" i="5"/>
  <c r="AU242" i="5"/>
  <c r="AV242" i="5"/>
  <c r="BC242" i="5"/>
  <c r="AU220" i="5"/>
  <c r="AV220" i="5"/>
  <c r="BC220" i="5"/>
  <c r="AV207" i="5"/>
  <c r="AU207" i="5"/>
  <c r="BC207" i="5"/>
  <c r="AU247" i="5"/>
  <c r="AV247" i="5"/>
  <c r="BC247" i="5"/>
  <c r="AV227" i="5"/>
  <c r="AU227" i="5"/>
  <c r="BC227" i="5"/>
  <c r="AU208" i="5"/>
  <c r="AV208" i="5"/>
  <c r="BC208" i="5"/>
  <c r="AV206" i="5"/>
  <c r="AU206" i="5"/>
  <c r="BC206" i="5"/>
  <c r="AV197" i="5"/>
  <c r="AU197" i="5"/>
  <c r="BC197" i="5"/>
  <c r="AU186" i="5"/>
  <c r="AV186" i="5"/>
  <c r="BC186" i="5"/>
  <c r="AU167" i="5"/>
  <c r="AV167" i="5"/>
  <c r="BC167" i="5"/>
  <c r="AV155" i="5"/>
  <c r="AU155" i="5"/>
  <c r="BC155" i="5"/>
  <c r="AV95" i="5"/>
  <c r="AU95" i="5"/>
  <c r="BC95" i="5"/>
  <c r="AU170" i="5"/>
  <c r="AV170" i="5"/>
  <c r="BC170" i="5"/>
  <c r="AU161" i="5"/>
  <c r="AV161" i="5"/>
  <c r="BC161" i="5"/>
  <c r="AU125" i="5"/>
  <c r="AV125" i="5"/>
  <c r="BC125" i="5"/>
  <c r="AV179" i="5"/>
  <c r="AU179" i="5"/>
  <c r="BC179" i="5"/>
  <c r="AV171" i="5"/>
  <c r="AU171" i="5"/>
  <c r="BC171" i="5"/>
  <c r="AV147" i="5"/>
  <c r="AU147" i="5"/>
  <c r="BC147" i="5"/>
  <c r="AV123" i="5"/>
  <c r="AU123" i="5"/>
  <c r="BC123" i="5"/>
  <c r="AU152" i="5"/>
  <c r="AV152" i="5"/>
  <c r="BC152" i="5"/>
  <c r="AU137" i="5"/>
  <c r="AV137" i="5"/>
  <c r="BC137" i="5"/>
  <c r="AV120" i="5"/>
  <c r="AU120" i="5"/>
  <c r="BC120" i="5"/>
  <c r="AV106" i="5"/>
  <c r="AU106" i="5"/>
  <c r="BC106" i="5"/>
  <c r="AV151" i="5"/>
  <c r="AU151" i="5"/>
  <c r="BC151" i="5"/>
  <c r="AU124" i="5"/>
  <c r="AV124" i="5"/>
  <c r="BC124" i="5"/>
  <c r="AV145" i="5"/>
  <c r="BC145" i="5"/>
  <c r="AU145" i="5"/>
  <c r="AU132" i="5"/>
  <c r="BC132" i="5"/>
  <c r="AV132" i="5"/>
  <c r="AU114" i="5"/>
  <c r="AV114" i="5"/>
  <c r="BC114" i="5"/>
  <c r="AV108" i="5"/>
  <c r="AU108" i="5"/>
  <c r="BC108" i="5"/>
  <c r="AV85" i="5"/>
  <c r="AU85" i="5"/>
  <c r="BC85" i="5"/>
  <c r="AU107" i="5"/>
  <c r="AV107" i="5"/>
  <c r="BC107" i="5"/>
  <c r="AV98" i="5"/>
  <c r="AU98" i="5"/>
  <c r="BC98" i="5"/>
  <c r="AU74" i="5"/>
  <c r="AV74" i="5"/>
  <c r="BC74" i="5"/>
  <c r="AU86" i="5"/>
  <c r="BC86" i="5"/>
  <c r="AV86" i="5"/>
  <c r="AV76" i="5"/>
  <c r="BC76" i="5"/>
  <c r="AU76" i="5"/>
  <c r="AU73" i="5"/>
  <c r="AV73" i="5"/>
  <c r="BC73" i="5"/>
  <c r="AU80" i="5"/>
  <c r="BC80" i="5"/>
  <c r="AV80" i="5"/>
  <c r="AV59" i="5"/>
  <c r="AU59" i="5"/>
  <c r="BC59" i="5"/>
  <c r="AU68" i="5"/>
  <c r="AV68" i="5"/>
  <c r="BC68" i="5"/>
  <c r="AU60" i="5"/>
  <c r="AV60" i="5"/>
  <c r="BC60" i="5"/>
  <c r="AU61" i="5"/>
  <c r="AV61" i="5"/>
  <c r="BC61" i="5"/>
  <c r="AU50" i="5"/>
  <c r="AV50" i="5"/>
  <c r="BC50" i="5"/>
  <c r="AV49" i="5"/>
  <c r="AU49" i="5"/>
  <c r="BC49" i="5"/>
  <c r="AU40" i="5"/>
  <c r="AV40" i="5"/>
  <c r="BC40" i="5"/>
  <c r="BC27" i="5"/>
  <c r="AV27" i="5"/>
  <c r="AU27" i="5"/>
  <c r="AV32" i="5"/>
  <c r="BC32" i="5"/>
  <c r="AU32" i="5"/>
  <c r="AV46" i="5"/>
  <c r="BC46" i="5"/>
  <c r="AU46" i="5"/>
  <c r="AV33" i="5"/>
  <c r="AU33" i="5"/>
  <c r="BC33" i="5"/>
  <c r="BB483" i="5"/>
  <c r="BA483" i="5"/>
  <c r="BA372" i="5"/>
  <c r="BB372" i="5"/>
  <c r="BB542" i="5"/>
  <c r="BA542" i="5"/>
  <c r="BB528" i="5"/>
  <c r="BA528" i="5"/>
  <c r="BA424" i="5"/>
  <c r="BB424" i="5"/>
  <c r="BA549" i="5"/>
  <c r="BB549" i="5"/>
  <c r="BB524" i="5"/>
  <c r="BA524" i="5"/>
  <c r="BA433" i="5"/>
  <c r="BB433" i="5"/>
  <c r="BB553" i="5"/>
  <c r="BA553" i="5"/>
  <c r="BA534" i="5"/>
  <c r="BB534" i="5"/>
  <c r="BB517" i="5"/>
  <c r="BA517" i="5"/>
  <c r="BA449" i="5"/>
  <c r="BB449" i="5"/>
  <c r="BA297" i="5"/>
  <c r="BB297" i="5"/>
  <c r="BB554" i="5"/>
  <c r="BA554" i="5"/>
  <c r="BB523" i="5"/>
  <c r="BA523" i="5"/>
  <c r="BA510" i="5"/>
  <c r="BB510" i="5"/>
  <c r="BA503" i="5"/>
  <c r="BB503" i="5"/>
  <c r="BA495" i="5"/>
  <c r="BB495" i="5"/>
  <c r="BB489" i="5"/>
  <c r="BA489" i="5"/>
  <c r="BB482" i="5"/>
  <c r="BA482" i="5"/>
  <c r="BB469" i="5"/>
  <c r="BA469" i="5"/>
  <c r="BB454" i="5"/>
  <c r="BA454" i="5"/>
  <c r="BB443" i="5"/>
  <c r="BA443" i="5"/>
  <c r="BA430" i="5"/>
  <c r="BB430" i="5"/>
  <c r="BB381" i="5"/>
  <c r="BA381" i="5"/>
  <c r="BA519" i="5"/>
  <c r="BB519" i="5"/>
  <c r="BA511" i="5"/>
  <c r="BB511" i="5"/>
  <c r="BA484" i="5"/>
  <c r="BB484" i="5"/>
  <c r="BA470" i="5"/>
  <c r="BB470" i="5"/>
  <c r="BB462" i="5"/>
  <c r="BA462" i="5"/>
  <c r="BA439" i="5"/>
  <c r="BB439" i="5"/>
  <c r="BA412" i="5"/>
  <c r="BB412" i="5"/>
  <c r="BB391" i="5"/>
  <c r="BA391" i="5"/>
  <c r="BB532" i="5"/>
  <c r="BA532" i="5"/>
  <c r="BA515" i="5"/>
  <c r="BB515" i="5"/>
  <c r="BB490" i="5"/>
  <c r="BA490" i="5"/>
  <c r="BB471" i="5"/>
  <c r="BA471" i="5"/>
  <c r="BB457" i="5"/>
  <c r="BA457" i="5"/>
  <c r="BA401" i="5"/>
  <c r="BB401" i="5"/>
  <c r="BB311" i="5"/>
  <c r="BA311" i="5"/>
  <c r="BB400" i="5"/>
  <c r="BA400" i="5"/>
  <c r="BA379" i="5"/>
  <c r="BB379" i="5"/>
  <c r="BB366" i="5"/>
  <c r="BA366" i="5"/>
  <c r="BA348" i="5"/>
  <c r="BB348" i="5"/>
  <c r="BA336" i="5"/>
  <c r="BB336" i="5"/>
  <c r="BB286" i="5"/>
  <c r="BA286" i="5"/>
  <c r="BA254" i="5"/>
  <c r="BB254" i="5"/>
  <c r="BA418" i="5"/>
  <c r="BB418" i="5"/>
  <c r="BB402" i="5"/>
  <c r="BA402" i="5"/>
  <c r="BA389" i="5"/>
  <c r="BB389" i="5"/>
  <c r="BA377" i="5"/>
  <c r="BB377" i="5"/>
  <c r="BB363" i="5"/>
  <c r="BA363" i="5"/>
  <c r="BA350" i="5"/>
  <c r="BB350" i="5"/>
  <c r="BA293" i="5"/>
  <c r="BB293" i="5"/>
  <c r="BA250" i="5"/>
  <c r="BB250" i="5"/>
  <c r="BB431" i="5"/>
  <c r="BA431" i="5"/>
  <c r="BB414" i="5"/>
  <c r="BA414" i="5"/>
  <c r="BB404" i="5"/>
  <c r="BA404" i="5"/>
  <c r="BA376" i="5"/>
  <c r="BB376" i="5"/>
  <c r="BB360" i="5"/>
  <c r="BA360" i="5"/>
  <c r="BA319" i="5"/>
  <c r="BB319" i="5"/>
  <c r="BB224" i="5"/>
  <c r="BA224" i="5"/>
  <c r="BB357" i="5"/>
  <c r="BA357" i="5"/>
  <c r="BA343" i="5"/>
  <c r="BB343" i="5"/>
  <c r="BA330" i="5"/>
  <c r="BB330" i="5"/>
  <c r="BA320" i="5"/>
  <c r="BB320" i="5"/>
  <c r="BA310" i="5"/>
  <c r="BB310" i="5"/>
  <c r="BB301" i="5"/>
  <c r="BA301" i="5"/>
  <c r="BB275" i="5"/>
  <c r="BA275" i="5"/>
  <c r="BA257" i="5"/>
  <c r="BB257" i="5"/>
  <c r="BB248" i="5"/>
  <c r="BA248" i="5"/>
  <c r="BB192" i="5"/>
  <c r="BA192" i="5"/>
  <c r="BA321" i="5"/>
  <c r="BB321" i="5"/>
  <c r="BB294" i="5"/>
  <c r="BA294" i="5"/>
  <c r="BA272" i="5"/>
  <c r="BB272" i="5"/>
  <c r="BB253" i="5"/>
  <c r="BA253" i="5"/>
  <c r="BA327" i="5"/>
  <c r="BB327" i="5"/>
  <c r="BB307" i="5"/>
  <c r="BA307" i="5"/>
  <c r="BA291" i="5"/>
  <c r="BB291" i="5"/>
  <c r="BB281" i="5"/>
  <c r="BA281" i="5"/>
  <c r="BB271" i="5"/>
  <c r="BA271" i="5"/>
  <c r="BB259" i="5"/>
  <c r="BA259" i="5"/>
  <c r="BB193" i="5"/>
  <c r="BA193" i="5"/>
  <c r="BB239" i="5"/>
  <c r="BA239" i="5"/>
  <c r="BA215" i="5"/>
  <c r="BB215" i="5"/>
  <c r="BA186" i="5"/>
  <c r="BB186" i="5"/>
  <c r="BB244" i="5"/>
  <c r="BA244" i="5"/>
  <c r="BB228" i="5"/>
  <c r="BA228" i="5"/>
  <c r="BB217" i="5"/>
  <c r="BA217" i="5"/>
  <c r="BA204" i="5"/>
  <c r="BB204" i="5"/>
  <c r="BA182" i="5"/>
  <c r="BB182" i="5"/>
  <c r="BB233" i="5"/>
  <c r="BA233" i="5"/>
  <c r="BB216" i="5"/>
  <c r="BA216" i="5"/>
  <c r="BA205" i="5"/>
  <c r="BB205" i="5"/>
  <c r="BA165" i="5"/>
  <c r="BB165" i="5"/>
  <c r="BB203" i="5"/>
  <c r="BA203" i="5"/>
  <c r="BB187" i="5"/>
  <c r="BA187" i="5"/>
  <c r="BB162" i="5"/>
  <c r="BA162" i="5"/>
  <c r="BA143" i="5"/>
  <c r="BB143" i="5"/>
  <c r="BB185" i="5"/>
  <c r="BA185" i="5"/>
  <c r="BA170" i="5"/>
  <c r="BB170" i="5"/>
  <c r="BB153" i="5"/>
  <c r="BA153" i="5"/>
  <c r="BA181" i="5"/>
  <c r="BB181" i="5"/>
  <c r="BA167" i="5"/>
  <c r="BB167" i="5"/>
  <c r="BB104" i="5"/>
  <c r="BA104" i="5"/>
  <c r="BB142" i="5"/>
  <c r="BA142" i="5"/>
  <c r="BA124" i="5"/>
  <c r="BB124" i="5"/>
  <c r="BB155" i="5"/>
  <c r="BA155" i="5"/>
  <c r="BB146" i="5"/>
  <c r="BA146" i="5"/>
  <c r="BB128" i="5"/>
  <c r="BA128" i="5"/>
  <c r="BB120" i="5"/>
  <c r="BA120" i="5"/>
  <c r="BA106" i="5"/>
  <c r="BB106" i="5"/>
  <c r="BA151" i="5"/>
  <c r="BB151" i="5"/>
  <c r="BB129" i="5"/>
  <c r="BA129" i="5"/>
  <c r="BB99" i="5"/>
  <c r="BA99" i="5"/>
  <c r="BA87" i="5"/>
  <c r="BB87" i="5"/>
  <c r="BA102" i="5"/>
  <c r="BB102" i="5"/>
  <c r="BA96" i="5"/>
  <c r="BB96" i="5"/>
  <c r="BB90" i="5"/>
  <c r="BA90" i="5"/>
  <c r="BB93" i="5"/>
  <c r="BA93" i="5"/>
  <c r="BA77" i="5"/>
  <c r="BB77" i="5"/>
  <c r="BA62" i="5"/>
  <c r="BB62" i="5"/>
  <c r="BB79" i="5"/>
  <c r="BA79" i="5"/>
  <c r="BA49" i="5"/>
  <c r="BB49" i="5"/>
  <c r="BB57" i="5"/>
  <c r="BA57" i="5"/>
  <c r="BB58" i="5"/>
  <c r="BA58" i="5"/>
  <c r="BB63" i="5"/>
  <c r="BA63" i="5"/>
  <c r="BA28" i="5"/>
  <c r="BB28" i="5"/>
  <c r="BB67" i="5"/>
  <c r="BA67" i="5"/>
  <c r="BB42" i="5"/>
  <c r="BA42" i="5"/>
  <c r="BB46" i="5"/>
  <c r="BA46" i="5"/>
  <c r="BA33" i="5"/>
  <c r="BB33" i="5"/>
  <c r="BB37" i="5"/>
  <c r="BA37" i="5"/>
  <c r="BA25" i="5"/>
  <c r="BB25" i="5"/>
  <c r="BB36" i="5"/>
  <c r="BA36" i="5"/>
  <c r="BC343" i="5"/>
  <c r="AX529" i="5"/>
  <c r="AY529" i="5"/>
  <c r="AX498" i="5"/>
  <c r="AY498" i="5"/>
  <c r="AX530" i="5"/>
  <c r="AY530" i="5"/>
  <c r="AX404" i="5"/>
  <c r="AY404" i="5"/>
  <c r="AX536" i="5"/>
  <c r="AY536" i="5"/>
  <c r="AY456" i="5"/>
  <c r="AX456" i="5"/>
  <c r="AY414" i="5"/>
  <c r="AX414" i="5"/>
  <c r="AX503" i="5"/>
  <c r="AY503" i="5"/>
  <c r="AX463" i="5"/>
  <c r="AY463" i="5"/>
  <c r="AY537" i="5"/>
  <c r="AX537" i="5"/>
  <c r="AY480" i="5"/>
  <c r="AX480" i="5"/>
  <c r="AX352" i="5"/>
  <c r="AY352" i="5"/>
  <c r="AY386" i="5"/>
  <c r="AX386" i="5"/>
  <c r="AY259" i="5"/>
  <c r="AX259" i="5"/>
  <c r="AX364" i="5"/>
  <c r="AY364" i="5"/>
  <c r="AX419" i="5"/>
  <c r="AY419" i="5"/>
  <c r="AX377" i="5"/>
  <c r="AY377" i="5"/>
  <c r="AY296" i="5"/>
  <c r="AX296" i="5"/>
  <c r="AY319" i="5"/>
  <c r="AX319" i="5"/>
  <c r="AX260" i="5"/>
  <c r="AY260" i="5"/>
  <c r="AY306" i="5"/>
  <c r="AX306" i="5"/>
  <c r="AX255" i="5"/>
  <c r="AY255" i="5"/>
  <c r="AY302" i="5"/>
  <c r="AX302" i="5"/>
  <c r="AX243" i="5"/>
  <c r="AY243" i="5"/>
  <c r="AX206" i="5"/>
  <c r="AY206" i="5"/>
  <c r="AX237" i="5"/>
  <c r="AY237" i="5"/>
  <c r="AX219" i="5"/>
  <c r="AY219" i="5"/>
  <c r="AX124" i="5"/>
  <c r="AY124" i="5"/>
  <c r="AY178" i="5"/>
  <c r="AX178" i="5"/>
  <c r="AY139" i="5"/>
  <c r="AX139" i="5"/>
  <c r="AY108" i="5"/>
  <c r="AX108" i="5"/>
  <c r="AX122" i="5"/>
  <c r="AY122" i="5"/>
  <c r="AY126" i="5"/>
  <c r="AX126" i="5"/>
  <c r="AX90" i="5"/>
  <c r="AY90" i="5"/>
  <c r="AX82" i="5"/>
  <c r="AY82" i="5"/>
  <c r="AX75" i="5"/>
  <c r="AY75" i="5"/>
  <c r="AX49" i="5"/>
  <c r="AY49" i="5"/>
  <c r="AX39" i="5"/>
  <c r="AY39" i="5"/>
  <c r="AX29" i="5"/>
  <c r="AY29" i="5"/>
  <c r="AV449" i="5"/>
  <c r="AU449" i="5"/>
  <c r="BC449" i="5"/>
  <c r="AV523" i="5"/>
  <c r="AU523" i="5"/>
  <c r="BC523" i="5"/>
  <c r="AV545" i="5"/>
  <c r="BC545" i="5"/>
  <c r="AU545" i="5"/>
  <c r="AV542" i="5"/>
  <c r="AU542" i="5"/>
  <c r="BC542" i="5"/>
  <c r="AV473" i="5"/>
  <c r="AU473" i="5"/>
  <c r="BC473" i="5"/>
  <c r="AV548" i="5"/>
  <c r="AU548" i="5"/>
  <c r="BC548" i="5"/>
  <c r="AV425" i="5"/>
  <c r="BC425" i="5"/>
  <c r="AU425" i="5"/>
  <c r="B19" i="5"/>
  <c r="AX507" i="5"/>
  <c r="AY507" i="5"/>
  <c r="AX515" i="5"/>
  <c r="AY515" i="5"/>
  <c r="AX447" i="5"/>
  <c r="AY447" i="5"/>
  <c r="AY543" i="5"/>
  <c r="AX543" i="5"/>
  <c r="AX497" i="5"/>
  <c r="AY497" i="5"/>
  <c r="AY555" i="5"/>
  <c r="AX555" i="5"/>
  <c r="AX504" i="5"/>
  <c r="AY504" i="5"/>
  <c r="AY475" i="5"/>
  <c r="AX475" i="5"/>
  <c r="AX383" i="5"/>
  <c r="AY383" i="5"/>
  <c r="AY551" i="5"/>
  <c r="AX551" i="5"/>
  <c r="AX535" i="5"/>
  <c r="AY535" i="5"/>
  <c r="AX516" i="5"/>
  <c r="AY516" i="5"/>
  <c r="AY556" i="5"/>
  <c r="AX556" i="5"/>
  <c r="AX532" i="5"/>
  <c r="AY532" i="5"/>
  <c r="AX423" i="5"/>
  <c r="AY423" i="5"/>
  <c r="BC279" i="5"/>
  <c r="AY279" i="5"/>
  <c r="AX279" i="5"/>
  <c r="AY547" i="5"/>
  <c r="AX547" i="5"/>
  <c r="AY538" i="5"/>
  <c r="AX538" i="5"/>
  <c r="AX527" i="5"/>
  <c r="AY527" i="5"/>
  <c r="AY496" i="5"/>
  <c r="AX496" i="5"/>
  <c r="AX483" i="5"/>
  <c r="AY483" i="5"/>
  <c r="AY458" i="5"/>
  <c r="AX458" i="5"/>
  <c r="AX442" i="5"/>
  <c r="AY442" i="5"/>
  <c r="AX425" i="5"/>
  <c r="AY425" i="5"/>
  <c r="AX417" i="5"/>
  <c r="AY417" i="5"/>
  <c r="AX393" i="5"/>
  <c r="AY393" i="5"/>
  <c r="AX335" i="5"/>
  <c r="AY335" i="5"/>
  <c r="AY518" i="5"/>
  <c r="AX518" i="5"/>
  <c r="AX508" i="5"/>
  <c r="AY508" i="5"/>
  <c r="AX494" i="5"/>
  <c r="AY494" i="5"/>
  <c r="AX487" i="5"/>
  <c r="AY487" i="5"/>
  <c r="AX466" i="5"/>
  <c r="AY466" i="5"/>
  <c r="AX451" i="5"/>
  <c r="AY451" i="5"/>
  <c r="AX441" i="5"/>
  <c r="AY441" i="5"/>
  <c r="AY418" i="5"/>
  <c r="AX418" i="5"/>
  <c r="AY288" i="5"/>
  <c r="AX288" i="5"/>
  <c r="AY512" i="5"/>
  <c r="AX512" i="5"/>
  <c r="AX500" i="5"/>
  <c r="AY500" i="5"/>
  <c r="AX482" i="5"/>
  <c r="AY482" i="5"/>
  <c r="AX476" i="5"/>
  <c r="AY476" i="5"/>
  <c r="AX461" i="5"/>
  <c r="AY461" i="5"/>
  <c r="AX440" i="5"/>
  <c r="AY440" i="5"/>
  <c r="AX385" i="5"/>
  <c r="AY385" i="5"/>
  <c r="AX409" i="5"/>
  <c r="AY409" i="5"/>
  <c r="AX401" i="5"/>
  <c r="AY401" i="5"/>
  <c r="AX387" i="5"/>
  <c r="AY387" i="5"/>
  <c r="AX376" i="5"/>
  <c r="AY376" i="5"/>
  <c r="AY343" i="5"/>
  <c r="AX343" i="5"/>
  <c r="AX264" i="5"/>
  <c r="AY264" i="5"/>
  <c r="AX406" i="5"/>
  <c r="AY406" i="5"/>
  <c r="AX394" i="5"/>
  <c r="AY394" i="5"/>
  <c r="AX366" i="5"/>
  <c r="AY366" i="5"/>
  <c r="AY349" i="5"/>
  <c r="AX349" i="5"/>
  <c r="AX336" i="5"/>
  <c r="AY336" i="5"/>
  <c r="AX439" i="5"/>
  <c r="AY439" i="5"/>
  <c r="AX426" i="5"/>
  <c r="AY426" i="5"/>
  <c r="AX412" i="5"/>
  <c r="AY412" i="5"/>
  <c r="AX390" i="5"/>
  <c r="AY390" i="5"/>
  <c r="AX379" i="5"/>
  <c r="AY379" i="5"/>
  <c r="AX365" i="5"/>
  <c r="AY365" i="5"/>
  <c r="AX356" i="5"/>
  <c r="AY356" i="5"/>
  <c r="AX344" i="5"/>
  <c r="AY344" i="5"/>
  <c r="AY307" i="5"/>
  <c r="AX307" i="5"/>
  <c r="AX212" i="5"/>
  <c r="AY212" i="5"/>
  <c r="AX340" i="5"/>
  <c r="AY340" i="5"/>
  <c r="AX325" i="5"/>
  <c r="AY325" i="5"/>
  <c r="AX308" i="5"/>
  <c r="AY308" i="5"/>
  <c r="AY292" i="5"/>
  <c r="AX292" i="5"/>
  <c r="AX277" i="5"/>
  <c r="AY277" i="5"/>
  <c r="AX267" i="5"/>
  <c r="AY267" i="5"/>
  <c r="AX250" i="5"/>
  <c r="AY250" i="5"/>
  <c r="AY190" i="5"/>
  <c r="AX190" i="5"/>
  <c r="AY320" i="5"/>
  <c r="AX320" i="5"/>
  <c r="AY309" i="5"/>
  <c r="AX309" i="5"/>
  <c r="AY293" i="5"/>
  <c r="AX293" i="5"/>
  <c r="AX275" i="5"/>
  <c r="AY275" i="5"/>
  <c r="AY257" i="5"/>
  <c r="AX257" i="5"/>
  <c r="AY249" i="5"/>
  <c r="AX249" i="5"/>
  <c r="AX177" i="5"/>
  <c r="AY177" i="5"/>
  <c r="AX326" i="5"/>
  <c r="AY326" i="5"/>
  <c r="AY305" i="5"/>
  <c r="AX305" i="5"/>
  <c r="AY290" i="5"/>
  <c r="AX290" i="5"/>
  <c r="AX269" i="5"/>
  <c r="AY269" i="5"/>
  <c r="AY247" i="5"/>
  <c r="AX247" i="5"/>
  <c r="AX211" i="5"/>
  <c r="AY211" i="5"/>
  <c r="AX232" i="5"/>
  <c r="AY232" i="5"/>
  <c r="AX223" i="5"/>
  <c r="AY223" i="5"/>
  <c r="AY209" i="5"/>
  <c r="AX209" i="5"/>
  <c r="BC193" i="5"/>
  <c r="AX193" i="5"/>
  <c r="AY193" i="5"/>
  <c r="AX181" i="5"/>
  <c r="AY181" i="5"/>
  <c r="AX239" i="5"/>
  <c r="AY239" i="5"/>
  <c r="AY215" i="5"/>
  <c r="AX215" i="5"/>
  <c r="AX167" i="5"/>
  <c r="AY167" i="5"/>
  <c r="AY238" i="5"/>
  <c r="AX238" i="5"/>
  <c r="AX222" i="5"/>
  <c r="AY222" i="5"/>
  <c r="AY210" i="5"/>
  <c r="AX210" i="5"/>
  <c r="AX194" i="5"/>
  <c r="AY194" i="5"/>
  <c r="AX142" i="5"/>
  <c r="AY142" i="5"/>
  <c r="AX200" i="5"/>
  <c r="AY200" i="5"/>
  <c r="AX184" i="5"/>
  <c r="AY184" i="5"/>
  <c r="AX165" i="5"/>
  <c r="AY165" i="5"/>
  <c r="AX179" i="5"/>
  <c r="AY179" i="5"/>
  <c r="AY186" i="5"/>
  <c r="AX186" i="5"/>
  <c r="AX174" i="5"/>
  <c r="AY174" i="5"/>
  <c r="AX159" i="5"/>
  <c r="AY159" i="5"/>
  <c r="AY154" i="5"/>
  <c r="AX154" i="5"/>
  <c r="AY144" i="5"/>
  <c r="AX144" i="5"/>
  <c r="AY129" i="5"/>
  <c r="AX129" i="5"/>
  <c r="AX110" i="5"/>
  <c r="AY110" i="5"/>
  <c r="AX86" i="5"/>
  <c r="AY86" i="5"/>
  <c r="AX153" i="5"/>
  <c r="AY153" i="5"/>
  <c r="AY136" i="5"/>
  <c r="AX136" i="5"/>
  <c r="AX127" i="5"/>
  <c r="AY127" i="5"/>
  <c r="AX87" i="5"/>
  <c r="AY87" i="5"/>
  <c r="AX149" i="5"/>
  <c r="AY149" i="5"/>
  <c r="BC128" i="5"/>
  <c r="AX128" i="5"/>
  <c r="AY128" i="5"/>
  <c r="AX118" i="5"/>
  <c r="AY118" i="5"/>
  <c r="AX106" i="5"/>
  <c r="AY106" i="5"/>
  <c r="AX100" i="5"/>
  <c r="AY100" i="5"/>
  <c r="AX92" i="5"/>
  <c r="AY92" i="5"/>
  <c r="AX109" i="5"/>
  <c r="AY109" i="5"/>
  <c r="AX94" i="5"/>
  <c r="AY94" i="5"/>
  <c r="AX78" i="5"/>
  <c r="AY78" i="5"/>
  <c r="AX67" i="5"/>
  <c r="AY67" i="5"/>
  <c r="AX74" i="5"/>
  <c r="AY74" i="5"/>
  <c r="AX77" i="5"/>
  <c r="AY77" i="5"/>
  <c r="AX79" i="5"/>
  <c r="AY79" i="5"/>
  <c r="AY62" i="5"/>
  <c r="AX62" i="5"/>
  <c r="AX50" i="5"/>
  <c r="AY50" i="5"/>
  <c r="AX27" i="5"/>
  <c r="AY27" i="5"/>
  <c r="AX55" i="5"/>
  <c r="AY55" i="5"/>
  <c r="AX69" i="5"/>
  <c r="AY69" i="5"/>
  <c r="AX42" i="5"/>
  <c r="AY42" i="5"/>
  <c r="AY28" i="5"/>
  <c r="AX28" i="5"/>
  <c r="AX44" i="5"/>
  <c r="AY44" i="5"/>
  <c r="AX30" i="5"/>
  <c r="AY30" i="5"/>
  <c r="AX43" i="5"/>
  <c r="AY43" i="5"/>
  <c r="AY25" i="5"/>
  <c r="AX25" i="5"/>
  <c r="AU19" i="5"/>
  <c r="AV19" i="5"/>
  <c r="BC19" i="5"/>
  <c r="AV527" i="5"/>
  <c r="AU527" i="5"/>
  <c r="BC527" i="5"/>
  <c r="AV470" i="5"/>
  <c r="AU470" i="5"/>
  <c r="BC470" i="5"/>
  <c r="AU560" i="5"/>
  <c r="AV560" i="5"/>
  <c r="BC560" i="5"/>
  <c r="AV529" i="5"/>
  <c r="AU529" i="5"/>
  <c r="BC529" i="5"/>
  <c r="AV461" i="5"/>
  <c r="AU461" i="5"/>
  <c r="BC461" i="5"/>
  <c r="BC428" i="5"/>
  <c r="AV428" i="5"/>
  <c r="AU428" i="5"/>
  <c r="AV389" i="5"/>
  <c r="BC389" i="5"/>
  <c r="AU389" i="5"/>
  <c r="AV540" i="5"/>
  <c r="AU540" i="5"/>
  <c r="BC540" i="5"/>
  <c r="AU552" i="5"/>
  <c r="AV552" i="5"/>
  <c r="BC552" i="5"/>
  <c r="AV519" i="5"/>
  <c r="AU519" i="5"/>
  <c r="BC519" i="5"/>
  <c r="AV455" i="5"/>
  <c r="AU455" i="5"/>
  <c r="BC455" i="5"/>
  <c r="BC547" i="5"/>
  <c r="AV547" i="5"/>
  <c r="AU547" i="5"/>
  <c r="AV535" i="5"/>
  <c r="AU535" i="5"/>
  <c r="BC535" i="5"/>
  <c r="AU506" i="5"/>
  <c r="BC506" i="5"/>
  <c r="AV506" i="5"/>
  <c r="AV476" i="5"/>
  <c r="BC476" i="5"/>
  <c r="AU476" i="5"/>
  <c r="AV392" i="5"/>
  <c r="BC392" i="5"/>
  <c r="AU392" i="5"/>
  <c r="AU557" i="5"/>
  <c r="AV557" i="5"/>
  <c r="BC557" i="5"/>
  <c r="AV549" i="5"/>
  <c r="AU549" i="5"/>
  <c r="BC549" i="5"/>
  <c r="AV531" i="5"/>
  <c r="AU531" i="5"/>
  <c r="BC531" i="5"/>
  <c r="AV512" i="5"/>
  <c r="AU512" i="5"/>
  <c r="BC512" i="5"/>
  <c r="AV498" i="5"/>
  <c r="BC498" i="5"/>
  <c r="AU498" i="5"/>
  <c r="AV477" i="5"/>
  <c r="AU477" i="5"/>
  <c r="BC477" i="5"/>
  <c r="AV462" i="5"/>
  <c r="AU462" i="5"/>
  <c r="BC462" i="5"/>
  <c r="AU452" i="5"/>
  <c r="BC452" i="5"/>
  <c r="AV452" i="5"/>
  <c r="AV363" i="5"/>
  <c r="AU363" i="5"/>
  <c r="BC363" i="5"/>
  <c r="AV517" i="5"/>
  <c r="AU517" i="5"/>
  <c r="BC517" i="5"/>
  <c r="AV497" i="5"/>
  <c r="AU497" i="5"/>
  <c r="BC497" i="5"/>
  <c r="AV485" i="5"/>
  <c r="AU485" i="5"/>
  <c r="BC485" i="5"/>
  <c r="AV464" i="5"/>
  <c r="BC464" i="5"/>
  <c r="AU464" i="5"/>
  <c r="BC448" i="5"/>
  <c r="AV448" i="5"/>
  <c r="AU448" i="5"/>
  <c r="BC434" i="5"/>
  <c r="AV434" i="5"/>
  <c r="AU434" i="5"/>
  <c r="AV384" i="5"/>
  <c r="BC384" i="5"/>
  <c r="AU384" i="5"/>
  <c r="BC294" i="5"/>
  <c r="AV294" i="5"/>
  <c r="AU294" i="5"/>
  <c r="AV513" i="5"/>
  <c r="AU513" i="5"/>
  <c r="BC513" i="5"/>
  <c r="AU499" i="5"/>
  <c r="BC499" i="5"/>
  <c r="AV499" i="5"/>
  <c r="AU488" i="5"/>
  <c r="BC488" i="5"/>
  <c r="AV488" i="5"/>
  <c r="AV466" i="5"/>
  <c r="BC466" i="5"/>
  <c r="AU466" i="5"/>
  <c r="BC443" i="5"/>
  <c r="AV443" i="5"/>
  <c r="AU443" i="5"/>
  <c r="AV419" i="5"/>
  <c r="BC419" i="5"/>
  <c r="AU419" i="5"/>
  <c r="AV350" i="5"/>
  <c r="AU350" i="5"/>
  <c r="BC350" i="5"/>
  <c r="AU305" i="5"/>
  <c r="BC305" i="5"/>
  <c r="AV305" i="5"/>
  <c r="BC418" i="5"/>
  <c r="AV418" i="5"/>
  <c r="AU418" i="5"/>
  <c r="AV404" i="5"/>
  <c r="AU404" i="5"/>
  <c r="BC404" i="5"/>
  <c r="AV383" i="5"/>
  <c r="BC383" i="5"/>
  <c r="AU383" i="5"/>
  <c r="BC361" i="5"/>
  <c r="AV361" i="5"/>
  <c r="AU361" i="5"/>
  <c r="AV351" i="5"/>
  <c r="BC351" i="5"/>
  <c r="AU351" i="5"/>
  <c r="AU202" i="5"/>
  <c r="AV202" i="5"/>
  <c r="BC202" i="5"/>
  <c r="AV405" i="5"/>
  <c r="BC405" i="5"/>
  <c r="AU405" i="5"/>
  <c r="AV387" i="5"/>
  <c r="BC387" i="5"/>
  <c r="AU387" i="5"/>
  <c r="AV372" i="5"/>
  <c r="AU372" i="5"/>
  <c r="BC372" i="5"/>
  <c r="AV355" i="5"/>
  <c r="AU355" i="5"/>
  <c r="BC355" i="5"/>
  <c r="AV326" i="5"/>
  <c r="AU326" i="5"/>
  <c r="BC326" i="5"/>
  <c r="AU267" i="5"/>
  <c r="AV267" i="5"/>
  <c r="BC267" i="5"/>
  <c r="AV437" i="5"/>
  <c r="BC437" i="5"/>
  <c r="AU437" i="5"/>
  <c r="AV424" i="5"/>
  <c r="AU424" i="5"/>
  <c r="BC424" i="5"/>
  <c r="AV406" i="5"/>
  <c r="AU406" i="5"/>
  <c r="BC406" i="5"/>
  <c r="AV398" i="5"/>
  <c r="AU398" i="5"/>
  <c r="BC398" i="5"/>
  <c r="AV382" i="5"/>
  <c r="AU382" i="5"/>
  <c r="BC382" i="5"/>
  <c r="AV364" i="5"/>
  <c r="BC364" i="5"/>
  <c r="AU364" i="5"/>
  <c r="AU290" i="5"/>
  <c r="BC290" i="5"/>
  <c r="AV290" i="5"/>
  <c r="AV359" i="5"/>
  <c r="BC359" i="5"/>
  <c r="AU359" i="5"/>
  <c r="AV348" i="5"/>
  <c r="AU348" i="5"/>
  <c r="BC348" i="5"/>
  <c r="AV338" i="5"/>
  <c r="AU338" i="5"/>
  <c r="BC338" i="5"/>
  <c r="AU318" i="5"/>
  <c r="BC318" i="5"/>
  <c r="AV318" i="5"/>
  <c r="BC300" i="5"/>
  <c r="AU300" i="5"/>
  <c r="AV300" i="5"/>
  <c r="BC285" i="5"/>
  <c r="AV285" i="5"/>
  <c r="AU285" i="5"/>
  <c r="AV264" i="5"/>
  <c r="AU264" i="5"/>
  <c r="BC264" i="5"/>
  <c r="AU244" i="5"/>
  <c r="AV244" i="5"/>
  <c r="BC244" i="5"/>
  <c r="AU117" i="5"/>
  <c r="AV117" i="5"/>
  <c r="BC319" i="5"/>
  <c r="AV319" i="5"/>
  <c r="AU319" i="5"/>
  <c r="BC304" i="5"/>
  <c r="AV304" i="5"/>
  <c r="AU304" i="5"/>
  <c r="AU289" i="5"/>
  <c r="BC289" i="5"/>
  <c r="AV289" i="5"/>
  <c r="AU278" i="5"/>
  <c r="AV278" i="5"/>
  <c r="BC278" i="5"/>
  <c r="BC258" i="5"/>
  <c r="AU258" i="5"/>
  <c r="AV258" i="5"/>
  <c r="BC219" i="5"/>
  <c r="AU219" i="5"/>
  <c r="AV219" i="5"/>
  <c r="AV332" i="5"/>
  <c r="BC332" i="5"/>
  <c r="AU332" i="5"/>
  <c r="BC315" i="5"/>
  <c r="AU315" i="5"/>
  <c r="AV315" i="5"/>
  <c r="AU306" i="5"/>
  <c r="BC306" i="5"/>
  <c r="AV306" i="5"/>
  <c r="BC287" i="5"/>
  <c r="AU287" i="5"/>
  <c r="AV287" i="5"/>
  <c r="AU274" i="5"/>
  <c r="AV274" i="5"/>
  <c r="BC274" i="5"/>
  <c r="AV260" i="5"/>
  <c r="AU260" i="5"/>
  <c r="BC260" i="5"/>
  <c r="AU252" i="5"/>
  <c r="AV252" i="5"/>
  <c r="BC252" i="5"/>
  <c r="AU214" i="5"/>
  <c r="AV214" i="5"/>
  <c r="BC214" i="5"/>
  <c r="AU235" i="5"/>
  <c r="AV235" i="5"/>
  <c r="BC235" i="5"/>
  <c r="AV222" i="5"/>
  <c r="AU222" i="5"/>
  <c r="BC222" i="5"/>
  <c r="AU212" i="5"/>
  <c r="AV212" i="5"/>
  <c r="BC212" i="5"/>
  <c r="AU166" i="5"/>
  <c r="AV166" i="5"/>
  <c r="BC166" i="5"/>
  <c r="AV232" i="5"/>
  <c r="AU232" i="5"/>
  <c r="BC232" i="5"/>
  <c r="AV216" i="5"/>
  <c r="AU216" i="5"/>
  <c r="BC216" i="5"/>
  <c r="AU192" i="5"/>
  <c r="AV192" i="5"/>
  <c r="BC192" i="5"/>
  <c r="AU245" i="5"/>
  <c r="AV245" i="5"/>
  <c r="BC245" i="5"/>
  <c r="AU223" i="5"/>
  <c r="BC223" i="5"/>
  <c r="AV223" i="5"/>
  <c r="AV193" i="5"/>
  <c r="AU193" i="5"/>
  <c r="AU201" i="5"/>
  <c r="BC201" i="5"/>
  <c r="AV201" i="5"/>
  <c r="AU194" i="5"/>
  <c r="AV194" i="5"/>
  <c r="BC194" i="5"/>
  <c r="AU185" i="5"/>
  <c r="AV185" i="5"/>
  <c r="BC185" i="5"/>
  <c r="AU162" i="5"/>
  <c r="AV162" i="5"/>
  <c r="BC162" i="5"/>
  <c r="BC140" i="5"/>
  <c r="AU140" i="5"/>
  <c r="AV140" i="5"/>
  <c r="AU184" i="5"/>
  <c r="AV184" i="5"/>
  <c r="BC184" i="5"/>
  <c r="AV169" i="5"/>
  <c r="AU169" i="5"/>
  <c r="BC169" i="5"/>
  <c r="AV149" i="5"/>
  <c r="AU149" i="5"/>
  <c r="BC149" i="5"/>
  <c r="AU112" i="5"/>
  <c r="AV112" i="5"/>
  <c r="BC112" i="5"/>
  <c r="AU178" i="5"/>
  <c r="AV178" i="5"/>
  <c r="BC178" i="5"/>
  <c r="AU158" i="5"/>
  <c r="BC158" i="5"/>
  <c r="AV158" i="5"/>
  <c r="AU144" i="5"/>
  <c r="BC144" i="5"/>
  <c r="AV144" i="5"/>
  <c r="AV116" i="5"/>
  <c r="AU116" i="5"/>
  <c r="BC116" i="5"/>
  <c r="AU146" i="5"/>
  <c r="AV146" i="5"/>
  <c r="BC146" i="5"/>
  <c r="AU134" i="5"/>
  <c r="BC134" i="5"/>
  <c r="AV134" i="5"/>
  <c r="AU119" i="5"/>
  <c r="AV119" i="5"/>
  <c r="BC99" i="5"/>
  <c r="AU99" i="5"/>
  <c r="AV99" i="5"/>
  <c r="AU148" i="5"/>
  <c r="AV148" i="5"/>
  <c r="BC148" i="5"/>
  <c r="AV104" i="5"/>
  <c r="AU104" i="5"/>
  <c r="BC104" i="5"/>
  <c r="AU143" i="5"/>
  <c r="AV143" i="5"/>
  <c r="BC143" i="5"/>
  <c r="AU127" i="5"/>
  <c r="AV127" i="5"/>
  <c r="AV113" i="5"/>
  <c r="AU113" i="5"/>
  <c r="BC113" i="5"/>
  <c r="AV101" i="5"/>
  <c r="AU101" i="5"/>
  <c r="BC101" i="5"/>
  <c r="AV82" i="5"/>
  <c r="BC82" i="5"/>
  <c r="AU82" i="5"/>
  <c r="AV105" i="5"/>
  <c r="AU105" i="5"/>
  <c r="BC105" i="5"/>
  <c r="AU97" i="5"/>
  <c r="AV97" i="5"/>
  <c r="BC97" i="5"/>
  <c r="AV94" i="5"/>
  <c r="AU94" i="5"/>
  <c r="BC94" i="5"/>
  <c r="AV81" i="5"/>
  <c r="AU81" i="5"/>
  <c r="BC81" i="5"/>
  <c r="AU72" i="5"/>
  <c r="AV72" i="5"/>
  <c r="BC72" i="5"/>
  <c r="AV70" i="5"/>
  <c r="BC70" i="5"/>
  <c r="AU70" i="5"/>
  <c r="AV26" i="5"/>
  <c r="AU26" i="5"/>
  <c r="BC26" i="5"/>
  <c r="AU58" i="5"/>
  <c r="BC58" i="5"/>
  <c r="AV58" i="5"/>
  <c r="AU67" i="5"/>
  <c r="AV67" i="5"/>
  <c r="BC67" i="5"/>
  <c r="AU56" i="5"/>
  <c r="AV56" i="5"/>
  <c r="BC56" i="5"/>
  <c r="AV57" i="5"/>
  <c r="AU57" i="5"/>
  <c r="BC57" i="5"/>
  <c r="AU37" i="5"/>
  <c r="AV37" i="5"/>
  <c r="BC37" i="5"/>
  <c r="AU48" i="5"/>
  <c r="BC48" i="5"/>
  <c r="AV48" i="5"/>
  <c r="AU36" i="5"/>
  <c r="AV36" i="5"/>
  <c r="BC36" i="5"/>
  <c r="AV45" i="5"/>
  <c r="AU45" i="5"/>
  <c r="BC45" i="5"/>
  <c r="BC28" i="5"/>
  <c r="AV28" i="5"/>
  <c r="AU28" i="5"/>
  <c r="BC44" i="5"/>
  <c r="AU44" i="5"/>
  <c r="AV44" i="5"/>
  <c r="AV30" i="5"/>
  <c r="AU30" i="5"/>
  <c r="BC30" i="5"/>
  <c r="BA19" i="5"/>
  <c r="BB19" i="5"/>
  <c r="BA464" i="5"/>
  <c r="BB464" i="5"/>
  <c r="BA559" i="5"/>
  <c r="BB559" i="5"/>
  <c r="BA541" i="5"/>
  <c r="BB541" i="5"/>
  <c r="BB501" i="5"/>
  <c r="BA501" i="5"/>
  <c r="BB407" i="5"/>
  <c r="BA407" i="5"/>
  <c r="BB544" i="5"/>
  <c r="BA544" i="5"/>
  <c r="BB448" i="5"/>
  <c r="BA448" i="5"/>
  <c r="BB558" i="5"/>
  <c r="BA558" i="5"/>
  <c r="BA548" i="5"/>
  <c r="BB548" i="5"/>
  <c r="BB529" i="5"/>
  <c r="BA529" i="5"/>
  <c r="BB513" i="5"/>
  <c r="BA513" i="5"/>
  <c r="BA425" i="5"/>
  <c r="BB425" i="5"/>
  <c r="BB229" i="5"/>
  <c r="BA229" i="5"/>
  <c r="BA545" i="5"/>
  <c r="BB545" i="5"/>
  <c r="BA522" i="5"/>
  <c r="BB522" i="5"/>
  <c r="BA509" i="5"/>
  <c r="BB509" i="5"/>
  <c r="BA502" i="5"/>
  <c r="BB502" i="5"/>
  <c r="BB494" i="5"/>
  <c r="BA494" i="5"/>
  <c r="BA488" i="5"/>
  <c r="BB488" i="5"/>
  <c r="BA479" i="5"/>
  <c r="BB479" i="5"/>
  <c r="BA466" i="5"/>
  <c r="BB466" i="5"/>
  <c r="BB453" i="5"/>
  <c r="BA453" i="5"/>
  <c r="BA441" i="5"/>
  <c r="BB441" i="5"/>
  <c r="BB405" i="5"/>
  <c r="BA405" i="5"/>
  <c r="BB353" i="5"/>
  <c r="BA353" i="5"/>
  <c r="BB516" i="5"/>
  <c r="BA516" i="5"/>
  <c r="BB507" i="5"/>
  <c r="BA507" i="5"/>
  <c r="BB480" i="5"/>
  <c r="BA480" i="5"/>
  <c r="BA468" i="5"/>
  <c r="BB468" i="5"/>
  <c r="BB461" i="5"/>
  <c r="BA461" i="5"/>
  <c r="BB429" i="5"/>
  <c r="BA429" i="5"/>
  <c r="BA403" i="5"/>
  <c r="BB403" i="5"/>
  <c r="BB382" i="5"/>
  <c r="BA382" i="5"/>
  <c r="BB531" i="5"/>
  <c r="BA531" i="5"/>
  <c r="BA504" i="5"/>
  <c r="BB504" i="5"/>
  <c r="BB478" i="5"/>
  <c r="BA478" i="5"/>
  <c r="BA460" i="5"/>
  <c r="BB460" i="5"/>
  <c r="BA452" i="5"/>
  <c r="BB452" i="5"/>
  <c r="BA368" i="5"/>
  <c r="BB368" i="5"/>
  <c r="BA416" i="5"/>
  <c r="BB416" i="5"/>
  <c r="BA398" i="5"/>
  <c r="BB398" i="5"/>
  <c r="BA378" i="5"/>
  <c r="BB378" i="5"/>
  <c r="BA364" i="5"/>
  <c r="BB364" i="5"/>
  <c r="BB342" i="5"/>
  <c r="BA342" i="5"/>
  <c r="BA333" i="5"/>
  <c r="BB333" i="5"/>
  <c r="BB280" i="5"/>
  <c r="BA280" i="5"/>
  <c r="BA245" i="5"/>
  <c r="BB245" i="5"/>
  <c r="BB417" i="5"/>
  <c r="BA417" i="5"/>
  <c r="BB399" i="5"/>
  <c r="BA399" i="5"/>
  <c r="BA386" i="5"/>
  <c r="BB386" i="5"/>
  <c r="BA375" i="5"/>
  <c r="BB375" i="5"/>
  <c r="BB361" i="5"/>
  <c r="BA361" i="5"/>
  <c r="BA345" i="5"/>
  <c r="BB345" i="5"/>
  <c r="BB277" i="5"/>
  <c r="BA277" i="5"/>
  <c r="BA440" i="5"/>
  <c r="BB440" i="5"/>
  <c r="BA428" i="5"/>
  <c r="BB428" i="5"/>
  <c r="BA411" i="5"/>
  <c r="BB411" i="5"/>
  <c r="BB393" i="5"/>
  <c r="BA393" i="5"/>
  <c r="BA373" i="5"/>
  <c r="BB373" i="5"/>
  <c r="BB352" i="5"/>
  <c r="BA352" i="5"/>
  <c r="BB316" i="5"/>
  <c r="BA316" i="5"/>
  <c r="BB218" i="5"/>
  <c r="BA218" i="5"/>
  <c r="BA351" i="5"/>
  <c r="BB351" i="5"/>
  <c r="BA339" i="5"/>
  <c r="BB339" i="5"/>
  <c r="BB329" i="5"/>
  <c r="BA329" i="5"/>
  <c r="BA315" i="5"/>
  <c r="BB315" i="5"/>
  <c r="BA309" i="5"/>
  <c r="BB309" i="5"/>
  <c r="BB295" i="5"/>
  <c r="BA295" i="5"/>
  <c r="BA268" i="5"/>
  <c r="BB268" i="5"/>
  <c r="BB255" i="5"/>
  <c r="BA255" i="5"/>
  <c r="BB241" i="5"/>
  <c r="BA241" i="5"/>
  <c r="BA188" i="5"/>
  <c r="BB188" i="5"/>
  <c r="BA317" i="5"/>
  <c r="BB317" i="5"/>
  <c r="BB290" i="5"/>
  <c r="BA290" i="5"/>
  <c r="BB269" i="5"/>
  <c r="BA269" i="5"/>
  <c r="BB247" i="5"/>
  <c r="BA247" i="5"/>
  <c r="BA323" i="5"/>
  <c r="BB323" i="5"/>
  <c r="BB303" i="5"/>
  <c r="BA303" i="5"/>
  <c r="BA288" i="5"/>
  <c r="BB288" i="5"/>
  <c r="BB279" i="5"/>
  <c r="BA279" i="5"/>
  <c r="BA266" i="5"/>
  <c r="BB266" i="5"/>
  <c r="BB246" i="5"/>
  <c r="BA246" i="5"/>
  <c r="BA191" i="5"/>
  <c r="BB191" i="5"/>
  <c r="BB237" i="5"/>
  <c r="BA237" i="5"/>
  <c r="BA202" i="5"/>
  <c r="BB202" i="5"/>
  <c r="BB184" i="5"/>
  <c r="BA184" i="5"/>
  <c r="BB242" i="5"/>
  <c r="BA242" i="5"/>
  <c r="BA226" i="5"/>
  <c r="BB226" i="5"/>
  <c r="BA214" i="5"/>
  <c r="BB214" i="5"/>
  <c r="BB196" i="5"/>
  <c r="BA196" i="5"/>
  <c r="BB179" i="5"/>
  <c r="BA179" i="5"/>
  <c r="BB230" i="5"/>
  <c r="BA230" i="5"/>
  <c r="BA213" i="5"/>
  <c r="BB213" i="5"/>
  <c r="BB190" i="5"/>
  <c r="BA190" i="5"/>
  <c r="BB136" i="5"/>
  <c r="BA136" i="5"/>
  <c r="BB201" i="5"/>
  <c r="BA201" i="5"/>
  <c r="BA183" i="5"/>
  <c r="BB183" i="5"/>
  <c r="BA158" i="5"/>
  <c r="BB158" i="5"/>
  <c r="BB134" i="5"/>
  <c r="BA134" i="5"/>
  <c r="BA180" i="5"/>
  <c r="BB180" i="5"/>
  <c r="BA166" i="5"/>
  <c r="BB166" i="5"/>
  <c r="BA150" i="5"/>
  <c r="BB150" i="5"/>
  <c r="BB177" i="5"/>
  <c r="BA177" i="5"/>
  <c r="BB163" i="5"/>
  <c r="BA163" i="5"/>
  <c r="BB101" i="5"/>
  <c r="BA101" i="5"/>
  <c r="BB139" i="5"/>
  <c r="BA139" i="5"/>
  <c r="BA119" i="5"/>
  <c r="BB119" i="5"/>
  <c r="BA154" i="5"/>
  <c r="BB154" i="5"/>
  <c r="BA138" i="5"/>
  <c r="BB138" i="5"/>
  <c r="BA126" i="5"/>
  <c r="BB126" i="5"/>
  <c r="BA117" i="5"/>
  <c r="BB117" i="5"/>
  <c r="BA100" i="5"/>
  <c r="BB100" i="5"/>
  <c r="BB144" i="5"/>
  <c r="BA144" i="5"/>
  <c r="BA121" i="5"/>
  <c r="BB121" i="5"/>
  <c r="BA94" i="5"/>
  <c r="BB94" i="5"/>
  <c r="BB86" i="5"/>
  <c r="BA86" i="5"/>
  <c r="BB74" i="5"/>
  <c r="BA74" i="5"/>
  <c r="BB95" i="5"/>
  <c r="BA95" i="5"/>
  <c r="BB89" i="5"/>
  <c r="BA89" i="5"/>
  <c r="BB84" i="5"/>
  <c r="BA84" i="5"/>
  <c r="BB76" i="5"/>
  <c r="BA76" i="5"/>
  <c r="BA59" i="5"/>
  <c r="BB59" i="5"/>
  <c r="BA75" i="5"/>
  <c r="BB75" i="5"/>
  <c r="BB78" i="5"/>
  <c r="BA78" i="5"/>
  <c r="BB54" i="5"/>
  <c r="BA54" i="5"/>
  <c r="BA55" i="5"/>
  <c r="BB55" i="5"/>
  <c r="BA52" i="5"/>
  <c r="BB52" i="5"/>
  <c r="BB21" i="5"/>
  <c r="BA21" i="5"/>
  <c r="BB64" i="5"/>
  <c r="BA64" i="5"/>
  <c r="BB35" i="5"/>
  <c r="BA35" i="5"/>
  <c r="BB44" i="5"/>
  <c r="BA44" i="5"/>
  <c r="BB30" i="5"/>
  <c r="BA30" i="5"/>
  <c r="BA31" i="5"/>
  <c r="BB31" i="5"/>
  <c r="BA22" i="5"/>
  <c r="BB22" i="5"/>
  <c r="BA34" i="5"/>
  <c r="BB34" i="5"/>
  <c r="BC127" i="5"/>
  <c r="B20" i="5"/>
  <c r="B13" i="5"/>
  <c r="B121" i="2"/>
  <c r="B90" i="2"/>
  <c r="B73" i="2"/>
  <c r="B11" i="2"/>
  <c r="H13" i="1" s="1"/>
  <c r="B16" i="2"/>
  <c r="H14" i="1" s="1"/>
  <c r="B15" i="2"/>
  <c r="AL8" i="5" l="1"/>
  <c r="AL106" i="5"/>
  <c r="AK63" i="5"/>
  <c r="AK118" i="5"/>
  <c r="AK81" i="5"/>
  <c r="AL183" i="5"/>
  <c r="B34" i="5"/>
  <c r="AL122" i="5"/>
  <c r="AL94" i="5"/>
  <c r="AL100" i="5"/>
  <c r="B38" i="5"/>
  <c r="B39" i="5" s="1"/>
  <c r="AK191" i="5"/>
  <c r="AL130" i="5"/>
  <c r="AK7" i="5"/>
  <c r="AL114" i="5"/>
  <c r="AK92" i="5"/>
  <c r="AL59" i="5"/>
  <c r="AL49" i="5"/>
  <c r="AK128" i="5"/>
  <c r="AL171" i="5"/>
  <c r="AL37" i="5"/>
  <c r="AL161" i="5"/>
  <c r="AK195" i="5"/>
  <c r="AK140" i="5"/>
  <c r="AL33" i="5"/>
  <c r="AL163" i="5"/>
  <c r="B96" i="2"/>
  <c r="B100" i="2" s="1"/>
  <c r="B91" i="2"/>
  <c r="B92" i="2" s="1"/>
  <c r="B53" i="2"/>
  <c r="B222" i="2" s="1"/>
  <c r="B70" i="2"/>
  <c r="B79" i="2" s="1"/>
  <c r="B83" i="2" s="1"/>
  <c r="AL104" i="5"/>
  <c r="AK51" i="5"/>
  <c r="AK74" i="5"/>
  <c r="AL47" i="5"/>
  <c r="AL159" i="5"/>
  <c r="AL134" i="5"/>
  <c r="AL34" i="5"/>
  <c r="AL21" i="5"/>
  <c r="AK112" i="5"/>
  <c r="AL28" i="5"/>
  <c r="AL91" i="5"/>
  <c r="B69" i="5"/>
  <c r="AG167" i="5" s="1"/>
  <c r="AL31" i="5"/>
  <c r="AL88" i="5"/>
  <c r="AK35" i="5"/>
  <c r="AL102" i="5"/>
  <c r="AL126" i="5"/>
  <c r="AL75" i="5"/>
  <c r="AL138" i="5"/>
  <c r="AK136" i="5"/>
  <c r="AK96" i="5"/>
  <c r="AK58" i="5"/>
  <c r="AL110" i="5"/>
  <c r="AL155" i="5"/>
  <c r="AL44" i="5"/>
  <c r="AK147" i="5"/>
  <c r="AK120" i="5"/>
  <c r="AL175" i="5"/>
  <c r="AK65" i="5"/>
  <c r="AL53" i="5"/>
  <c r="AL85" i="5"/>
  <c r="AL42" i="5"/>
  <c r="AL32" i="5"/>
  <c r="AL79" i="5"/>
  <c r="AK48" i="5"/>
  <c r="AL90" i="5"/>
  <c r="AL26" i="5"/>
  <c r="AK69" i="5"/>
  <c r="B68" i="5"/>
  <c r="AF11" i="5" s="1"/>
  <c r="K121" i="2"/>
  <c r="O10" i="5"/>
  <c r="AT10" i="5" s="1"/>
  <c r="B74" i="5"/>
  <c r="AM8" i="5"/>
  <c r="AM7" i="5"/>
  <c r="AM13" i="5"/>
  <c r="AM12" i="5"/>
  <c r="AM21" i="5"/>
  <c r="AM23" i="5"/>
  <c r="AM25" i="5"/>
  <c r="AM27" i="5"/>
  <c r="AM29" i="5"/>
  <c r="AM31" i="5"/>
  <c r="AM33" i="5"/>
  <c r="AM35" i="5"/>
  <c r="AM37" i="5"/>
  <c r="AM20" i="5"/>
  <c r="AM24" i="5"/>
  <c r="AM28" i="5"/>
  <c r="AM32" i="5"/>
  <c r="AM36" i="5"/>
  <c r="AM40" i="5"/>
  <c r="AM44" i="5"/>
  <c r="AM22" i="5"/>
  <c r="AM26" i="5"/>
  <c r="AM30" i="5"/>
  <c r="AM34" i="5"/>
  <c r="AM38" i="5"/>
  <c r="AM42" i="5"/>
  <c r="AM49" i="5"/>
  <c r="AM51" i="5"/>
  <c r="AM46" i="5"/>
  <c r="AM52" i="5"/>
  <c r="AM57" i="5"/>
  <c r="AM61" i="5"/>
  <c r="AM65" i="5"/>
  <c r="AM69" i="5"/>
  <c r="AM73" i="5"/>
  <c r="AM88" i="5"/>
  <c r="AM89" i="5"/>
  <c r="AM93" i="5"/>
  <c r="AM99" i="5"/>
  <c r="AM100" i="5"/>
  <c r="AM106" i="5"/>
  <c r="AM109" i="5"/>
  <c r="AM115" i="5"/>
  <c r="AM116" i="5"/>
  <c r="AM122" i="5"/>
  <c r="AM125" i="5"/>
  <c r="AM127" i="5"/>
  <c r="AM130" i="5"/>
  <c r="AM133" i="5"/>
  <c r="AM137" i="5"/>
  <c r="AM138" i="5"/>
  <c r="AM139" i="5"/>
  <c r="AM141" i="5"/>
  <c r="AM142" i="5"/>
  <c r="AM149" i="5"/>
  <c r="AM152" i="5"/>
  <c r="AM157" i="5"/>
  <c r="AM158" i="5"/>
  <c r="AM168" i="5"/>
  <c r="AM171" i="5"/>
  <c r="AM174" i="5"/>
  <c r="AM175" i="5"/>
  <c r="AM177" i="5"/>
  <c r="AM181" i="5"/>
  <c r="AM184" i="5"/>
  <c r="AM187" i="5"/>
  <c r="AM190" i="5"/>
  <c r="AM197" i="5"/>
  <c r="AM47" i="5"/>
  <c r="AM48" i="5"/>
  <c r="AM53" i="5"/>
  <c r="AM59" i="5"/>
  <c r="AM63" i="5"/>
  <c r="AM67" i="5"/>
  <c r="AM71" i="5"/>
  <c r="AM75" i="5"/>
  <c r="AM78" i="5"/>
  <c r="AM80" i="5"/>
  <c r="AM81" i="5"/>
  <c r="AM83" i="5"/>
  <c r="AM86" i="5"/>
  <c r="AM95" i="5"/>
  <c r="AM96" i="5"/>
  <c r="AM102" i="5"/>
  <c r="AM105" i="5"/>
  <c r="AM111" i="5"/>
  <c r="AM112" i="5"/>
  <c r="AM118" i="5"/>
  <c r="AM121" i="5"/>
  <c r="AM129" i="5"/>
  <c r="AM135" i="5"/>
  <c r="AM140" i="5"/>
  <c r="AM143" i="5"/>
  <c r="AM144" i="5"/>
  <c r="AM145" i="5"/>
  <c r="AM147" i="5"/>
  <c r="AM150" i="5"/>
  <c r="AM153" i="5"/>
  <c r="AM154" i="5"/>
  <c r="AM160" i="5"/>
  <c r="AM162" i="5"/>
  <c r="AM167" i="5"/>
  <c r="AM173" i="5"/>
  <c r="AM180" i="5"/>
  <c r="AM43" i="5"/>
  <c r="AM54" i="5"/>
  <c r="AM84" i="5"/>
  <c r="AM92" i="5"/>
  <c r="AM98" i="5"/>
  <c r="AM101" i="5"/>
  <c r="AM107" i="5"/>
  <c r="AM108" i="5"/>
  <c r="AM114" i="5"/>
  <c r="AM117" i="5"/>
  <c r="AM123" i="5"/>
  <c r="AM124" i="5"/>
  <c r="AM131" i="5"/>
  <c r="AM132" i="5"/>
  <c r="AM136" i="5"/>
  <c r="AM148" i="5"/>
  <c r="AM156" i="5"/>
  <c r="AM159" i="5"/>
  <c r="AM161" i="5"/>
  <c r="AM164" i="5"/>
  <c r="AM169" i="5"/>
  <c r="AM170" i="5"/>
  <c r="AM178" i="5"/>
  <c r="AM182" i="5"/>
  <c r="AM189" i="5"/>
  <c r="AM39" i="5"/>
  <c r="AM41" i="5"/>
  <c r="AM45" i="5"/>
  <c r="AM50" i="5"/>
  <c r="AM55" i="5"/>
  <c r="AM56" i="5"/>
  <c r="AM58" i="5"/>
  <c r="AM60" i="5"/>
  <c r="AM62" i="5"/>
  <c r="AM64" i="5"/>
  <c r="AM66" i="5"/>
  <c r="AM68" i="5"/>
  <c r="AM70" i="5"/>
  <c r="AM72" i="5"/>
  <c r="AM74" i="5"/>
  <c r="AM76" i="5"/>
  <c r="AM77" i="5"/>
  <c r="AM79" i="5"/>
  <c r="AM82" i="5"/>
  <c r="AM85" i="5"/>
  <c r="AM87" i="5"/>
  <c r="AM90" i="5"/>
  <c r="AM91" i="5"/>
  <c r="AM94" i="5"/>
  <c r="AM97" i="5"/>
  <c r="AM103" i="5"/>
  <c r="AM104" i="5"/>
  <c r="AM110" i="5"/>
  <c r="AM113" i="5"/>
  <c r="AM119" i="5"/>
  <c r="AM120" i="5"/>
  <c r="AM126" i="5"/>
  <c r="AM128" i="5"/>
  <c r="AM134" i="5"/>
  <c r="AM146" i="5"/>
  <c r="AM151" i="5"/>
  <c r="AM155" i="5"/>
  <c r="AM163" i="5"/>
  <c r="AM165" i="5"/>
  <c r="AM166" i="5"/>
  <c r="AM172" i="5"/>
  <c r="AM176" i="5"/>
  <c r="AM179" i="5"/>
  <c r="AM185" i="5"/>
  <c r="AM188" i="5"/>
  <c r="AM193" i="5"/>
  <c r="AM195" i="5"/>
  <c r="AM205" i="5"/>
  <c r="AM208" i="5"/>
  <c r="AM211" i="5"/>
  <c r="AM214" i="5"/>
  <c r="AM220" i="5"/>
  <c r="AM224" i="5"/>
  <c r="AM230" i="5"/>
  <c r="AM236" i="5"/>
  <c r="AM239" i="5"/>
  <c r="AM242" i="5"/>
  <c r="AM246" i="5"/>
  <c r="AM250" i="5"/>
  <c r="AM256" i="5"/>
  <c r="AM259" i="5"/>
  <c r="AM261" i="5"/>
  <c r="AM265" i="5"/>
  <c r="AM269" i="5"/>
  <c r="AM273" i="5"/>
  <c r="AM277" i="5"/>
  <c r="AM281" i="5"/>
  <c r="AM285" i="5"/>
  <c r="AM289" i="5"/>
  <c r="AM293" i="5"/>
  <c r="AM295" i="5"/>
  <c r="AM302" i="5"/>
  <c r="AM304" i="5"/>
  <c r="AM308" i="5"/>
  <c r="AM310" i="5"/>
  <c r="AM313" i="5"/>
  <c r="AM316" i="5"/>
  <c r="AM318" i="5"/>
  <c r="AM321" i="5"/>
  <c r="AM323" i="5"/>
  <c r="AM335" i="5"/>
  <c r="AM338" i="5"/>
  <c r="AM340" i="5"/>
  <c r="AM341" i="5"/>
  <c r="AM351" i="5"/>
  <c r="AM354" i="5"/>
  <c r="AM356" i="5"/>
  <c r="AM359" i="5"/>
  <c r="AM361" i="5"/>
  <c r="AM366" i="5"/>
  <c r="AM368" i="5"/>
  <c r="AM371" i="5"/>
  <c r="AM373" i="5"/>
  <c r="AM377" i="5"/>
  <c r="AM382" i="5"/>
  <c r="AM383" i="5"/>
  <c r="AM386" i="5"/>
  <c r="AM389" i="5"/>
  <c r="AM396" i="5"/>
  <c r="AM401" i="5"/>
  <c r="AM407" i="5"/>
  <c r="AM408" i="5"/>
  <c r="AM414" i="5"/>
  <c r="AM417" i="5"/>
  <c r="AM423" i="5"/>
  <c r="AM424" i="5"/>
  <c r="AM430" i="5"/>
  <c r="AM433" i="5"/>
  <c r="AM439" i="5"/>
  <c r="AM440" i="5"/>
  <c r="AM186" i="5"/>
  <c r="AM191" i="5"/>
  <c r="AM198" i="5"/>
  <c r="AM201" i="5"/>
  <c r="AM204" i="5"/>
  <c r="AM207" i="5"/>
  <c r="AM210" i="5"/>
  <c r="AM217" i="5"/>
  <c r="AM219" i="5"/>
  <c r="AM222" i="5"/>
  <c r="AM228" i="5"/>
  <c r="AM231" i="5"/>
  <c r="AM233" i="5"/>
  <c r="AM245" i="5"/>
  <c r="AM248" i="5"/>
  <c r="AM249" i="5"/>
  <c r="AM252" i="5"/>
  <c r="AM255" i="5"/>
  <c r="AM263" i="5"/>
  <c r="AM267" i="5"/>
  <c r="AM271" i="5"/>
  <c r="AM275" i="5"/>
  <c r="AM279" i="5"/>
  <c r="AM283" i="5"/>
  <c r="AM287" i="5"/>
  <c r="AM291" i="5"/>
  <c r="AM298" i="5"/>
  <c r="AM300" i="5"/>
  <c r="AM305" i="5"/>
  <c r="AM307" i="5"/>
  <c r="AM315" i="5"/>
  <c r="AM322" i="5"/>
  <c r="AM329" i="5"/>
  <c r="AM330" i="5"/>
  <c r="AM331" i="5"/>
  <c r="AM333" i="5"/>
  <c r="AM334" i="5"/>
  <c r="AM336" i="5"/>
  <c r="AM337" i="5"/>
  <c r="AM347" i="5"/>
  <c r="AM350" i="5"/>
  <c r="AM352" i="5"/>
  <c r="AM353" i="5"/>
  <c r="AM358" i="5"/>
  <c r="AM360" i="5"/>
  <c r="AM363" i="5"/>
  <c r="AM370" i="5"/>
  <c r="AM372" i="5"/>
  <c r="AM375" i="5"/>
  <c r="AM381" i="5"/>
  <c r="AM384" i="5"/>
  <c r="AM385" i="5"/>
  <c r="AM391" i="5"/>
  <c r="AM392" i="5"/>
  <c r="AM393" i="5"/>
  <c r="AM395" i="5"/>
  <c r="AM397" i="5"/>
  <c r="AM403" i="5"/>
  <c r="AM404" i="5"/>
  <c r="AM410" i="5"/>
  <c r="AM413" i="5"/>
  <c r="AM419" i="5"/>
  <c r="AM420" i="5"/>
  <c r="AM426" i="5"/>
  <c r="AM429" i="5"/>
  <c r="AM435" i="5"/>
  <c r="AM436" i="5"/>
  <c r="AM442" i="5"/>
  <c r="AM445" i="5"/>
  <c r="AM468" i="5"/>
  <c r="AM470" i="5"/>
  <c r="AM475" i="5"/>
  <c r="AM477" i="5"/>
  <c r="AM484" i="5"/>
  <c r="AM486" i="5"/>
  <c r="AM192" i="5"/>
  <c r="AM194" i="5"/>
  <c r="AM196" i="5"/>
  <c r="AM200" i="5"/>
  <c r="AM203" i="5"/>
  <c r="AM206" i="5"/>
  <c r="AM213" i="5"/>
  <c r="AM216" i="5"/>
  <c r="AM223" i="5"/>
  <c r="AM225" i="5"/>
  <c r="AM234" i="5"/>
  <c r="AM235" i="5"/>
  <c r="AM237" i="5"/>
  <c r="AM244" i="5"/>
  <c r="AM247" i="5"/>
  <c r="AM251" i="5"/>
  <c r="AM257" i="5"/>
  <c r="AM258" i="5"/>
  <c r="AM294" i="5"/>
  <c r="AM296" i="5"/>
  <c r="AM301" i="5"/>
  <c r="AM303" i="5"/>
  <c r="AM309" i="5"/>
  <c r="AM312" i="5"/>
  <c r="AM314" i="5"/>
  <c r="AM317" i="5"/>
  <c r="AM320" i="5"/>
  <c r="AM324" i="5"/>
  <c r="AM325" i="5"/>
  <c r="AM327" i="5"/>
  <c r="AM343" i="5"/>
  <c r="AM346" i="5"/>
  <c r="AM348" i="5"/>
  <c r="AM349" i="5"/>
  <c r="AM362" i="5"/>
  <c r="AM364" i="5"/>
  <c r="AM365" i="5"/>
  <c r="AM374" i="5"/>
  <c r="AM376" i="5"/>
  <c r="AM378" i="5"/>
  <c r="AM379" i="5"/>
  <c r="AM388" i="5"/>
  <c r="AM390" i="5"/>
  <c r="AM399" i="5"/>
  <c r="AM400" i="5"/>
  <c r="AM406" i="5"/>
  <c r="AM409" i="5"/>
  <c r="AM415" i="5"/>
  <c r="AM416" i="5"/>
  <c r="AM422" i="5"/>
  <c r="AM425" i="5"/>
  <c r="AM431" i="5"/>
  <c r="AM432" i="5"/>
  <c r="AM438" i="5"/>
  <c r="AM441" i="5"/>
  <c r="AM447" i="5"/>
  <c r="AM448" i="5"/>
  <c r="AM450" i="5"/>
  <c r="AM183" i="5"/>
  <c r="AM199" i="5"/>
  <c r="AM202" i="5"/>
  <c r="AM209" i="5"/>
  <c r="AM212" i="5"/>
  <c r="AM215" i="5"/>
  <c r="AM218" i="5"/>
  <c r="AM221" i="5"/>
  <c r="AM226" i="5"/>
  <c r="AM227" i="5"/>
  <c r="AM229" i="5"/>
  <c r="AM232" i="5"/>
  <c r="AM238" i="5"/>
  <c r="AM240" i="5"/>
  <c r="AM241" i="5"/>
  <c r="AM243" i="5"/>
  <c r="AM253" i="5"/>
  <c r="AM254" i="5"/>
  <c r="AM260" i="5"/>
  <c r="AM262" i="5"/>
  <c r="AM264" i="5"/>
  <c r="AM266" i="5"/>
  <c r="AM268" i="5"/>
  <c r="AM270" i="5"/>
  <c r="AM272" i="5"/>
  <c r="AM274" i="5"/>
  <c r="AM276" i="5"/>
  <c r="AM278" i="5"/>
  <c r="AM280" i="5"/>
  <c r="AM282" i="5"/>
  <c r="AM284" i="5"/>
  <c r="AM286" i="5"/>
  <c r="AM288" i="5"/>
  <c r="AM290" i="5"/>
  <c r="AM292" i="5"/>
  <c r="AM297" i="5"/>
  <c r="AM299" i="5"/>
  <c r="AM306" i="5"/>
  <c r="AM311" i="5"/>
  <c r="AM319" i="5"/>
  <c r="AM326" i="5"/>
  <c r="AM328" i="5"/>
  <c r="AM332" i="5"/>
  <c r="AM339" i="5"/>
  <c r="AM342" i="5"/>
  <c r="AM344" i="5"/>
  <c r="AM345" i="5"/>
  <c r="AM355" i="5"/>
  <c r="AM357" i="5"/>
  <c r="AM367" i="5"/>
  <c r="AM369" i="5"/>
  <c r="AM380" i="5"/>
  <c r="AM387" i="5"/>
  <c r="AM394" i="5"/>
  <c r="AM398" i="5"/>
  <c r="AM402" i="5"/>
  <c r="AM405" i="5"/>
  <c r="AM411" i="5"/>
  <c r="AM412" i="5"/>
  <c r="AM418" i="5"/>
  <c r="AM421" i="5"/>
  <c r="AM427" i="5"/>
  <c r="AM428" i="5"/>
  <c r="AM434" i="5"/>
  <c r="AM437" i="5"/>
  <c r="AM443" i="5"/>
  <c r="AM444" i="5"/>
  <c r="AM451" i="5"/>
  <c r="AM455" i="5"/>
  <c r="AM459" i="5"/>
  <c r="AM463" i="5"/>
  <c r="AM467" i="5"/>
  <c r="AM469" i="5"/>
  <c r="AM476" i="5"/>
  <c r="AM478" i="5"/>
  <c r="AM483" i="5"/>
  <c r="AM485" i="5"/>
  <c r="AM474" i="5"/>
  <c r="AM489" i="5"/>
  <c r="AM496" i="5"/>
  <c r="AM498" i="5"/>
  <c r="AM499" i="5"/>
  <c r="AM501" i="5"/>
  <c r="AM504" i="5"/>
  <c r="AM507" i="5"/>
  <c r="AM518" i="5"/>
  <c r="AM526" i="5"/>
  <c r="AM527" i="5"/>
  <c r="AM529" i="5"/>
  <c r="AM534" i="5"/>
  <c r="AM537" i="5"/>
  <c r="AM540" i="5"/>
  <c r="AM542" i="5"/>
  <c r="AM543" i="5"/>
  <c r="AM553" i="5"/>
  <c r="AM19" i="5"/>
  <c r="AM452" i="5"/>
  <c r="AM453" i="5"/>
  <c r="AM456" i="5"/>
  <c r="AM457" i="5"/>
  <c r="AM460" i="5"/>
  <c r="AM461" i="5"/>
  <c r="AM464" i="5"/>
  <c r="AM465" i="5"/>
  <c r="AM479" i="5"/>
  <c r="AM480" i="5"/>
  <c r="AM481" i="5"/>
  <c r="AM492" i="5"/>
  <c r="AM494" i="5"/>
  <c r="AM502" i="5"/>
  <c r="AM508" i="5"/>
  <c r="AM510" i="5"/>
  <c r="AM511" i="5"/>
  <c r="AM513" i="5"/>
  <c r="AM514" i="5"/>
  <c r="AM521" i="5"/>
  <c r="AM522" i="5"/>
  <c r="AM528" i="5"/>
  <c r="AM530" i="5"/>
  <c r="AM536" i="5"/>
  <c r="AM538" i="5"/>
  <c r="AM539" i="5"/>
  <c r="AM552" i="5"/>
  <c r="AM555" i="5"/>
  <c r="AM446" i="5"/>
  <c r="AM454" i="5"/>
  <c r="AM458" i="5"/>
  <c r="AM462" i="5"/>
  <c r="AM466" i="5"/>
  <c r="AM482" i="5"/>
  <c r="AM490" i="5"/>
  <c r="AM495" i="5"/>
  <c r="AM497" i="5"/>
  <c r="AM500" i="5"/>
  <c r="AM503" i="5"/>
  <c r="AM505" i="5"/>
  <c r="AM512" i="5"/>
  <c r="AM517" i="5"/>
  <c r="AM519" i="5"/>
  <c r="AM523" i="5"/>
  <c r="AM525" i="5"/>
  <c r="AM531" i="5"/>
  <c r="AM532" i="5"/>
  <c r="AM533" i="5"/>
  <c r="AM535" i="5"/>
  <c r="AM545" i="5"/>
  <c r="AM548" i="5"/>
  <c r="AM550" i="5"/>
  <c r="AM551" i="5"/>
  <c r="AM559" i="5"/>
  <c r="AM449" i="5"/>
  <c r="AM471" i="5"/>
  <c r="AM472" i="5"/>
  <c r="AM473" i="5"/>
  <c r="AM487" i="5"/>
  <c r="AM488" i="5"/>
  <c r="AM491" i="5"/>
  <c r="AM493" i="5"/>
  <c r="AM506" i="5"/>
  <c r="AM509" i="5"/>
  <c r="AM515" i="5"/>
  <c r="AM516" i="5"/>
  <c r="AM520" i="5"/>
  <c r="AM524" i="5"/>
  <c r="AM541" i="5"/>
  <c r="AM544" i="5"/>
  <c r="AM546" i="5"/>
  <c r="AM547" i="5"/>
  <c r="AM557" i="5"/>
  <c r="AM560" i="5"/>
  <c r="AM556" i="5"/>
  <c r="AM558" i="5"/>
  <c r="AM549" i="5"/>
  <c r="AM554" i="5"/>
  <c r="B216" i="2"/>
  <c r="B36" i="2"/>
  <c r="H15" i="1"/>
  <c r="B21" i="2"/>
  <c r="H19" i="1" s="1"/>
  <c r="U7" i="5"/>
  <c r="BE7" i="5"/>
  <c r="BD7" i="5"/>
  <c r="Q12" i="5"/>
  <c r="S12" i="5" s="1"/>
  <c r="B36" i="5"/>
  <c r="B263" i="2"/>
  <c r="T17" i="4"/>
  <c r="T22" i="4"/>
  <c r="T25" i="4"/>
  <c r="T30" i="4"/>
  <c r="T33" i="4"/>
  <c r="T38" i="4"/>
  <c r="T41" i="4"/>
  <c r="T43" i="4"/>
  <c r="T45" i="4"/>
  <c r="T47" i="4"/>
  <c r="T49" i="4"/>
  <c r="T51" i="4"/>
  <c r="T53" i="4"/>
  <c r="T55" i="4"/>
  <c r="T57" i="4"/>
  <c r="T59" i="4"/>
  <c r="T61" i="4"/>
  <c r="T63" i="4"/>
  <c r="T65" i="4"/>
  <c r="T67" i="4"/>
  <c r="T69" i="4"/>
  <c r="T71" i="4"/>
  <c r="T73" i="4"/>
  <c r="T75" i="4"/>
  <c r="T77" i="4"/>
  <c r="T79" i="4"/>
  <c r="T81" i="4"/>
  <c r="T83" i="4"/>
  <c r="T85" i="4"/>
  <c r="T87" i="4"/>
  <c r="T89" i="4"/>
  <c r="T91" i="4"/>
  <c r="T93" i="4"/>
  <c r="T95" i="4"/>
  <c r="T97" i="4"/>
  <c r="T99" i="4"/>
  <c r="T101" i="4"/>
  <c r="T103" i="4"/>
  <c r="T105" i="4"/>
  <c r="T107" i="4"/>
  <c r="T109" i="4"/>
  <c r="T111" i="4"/>
  <c r="T113" i="4"/>
  <c r="T115" i="4"/>
  <c r="T117" i="4"/>
  <c r="T119" i="4"/>
  <c r="T121" i="4"/>
  <c r="T123" i="4"/>
  <c r="T125" i="4"/>
  <c r="T127" i="4"/>
  <c r="T129" i="4"/>
  <c r="T131" i="4"/>
  <c r="T133" i="4"/>
  <c r="T135" i="4"/>
  <c r="T137" i="4"/>
  <c r="T139" i="4"/>
  <c r="T141" i="4"/>
  <c r="T143" i="4"/>
  <c r="T145" i="4"/>
  <c r="T147" i="4"/>
  <c r="T149" i="4"/>
  <c r="T151" i="4"/>
  <c r="T153" i="4"/>
  <c r="T155" i="4"/>
  <c r="T157" i="4"/>
  <c r="T9" i="4"/>
  <c r="T11" i="4"/>
  <c r="T13" i="4"/>
  <c r="T19" i="4"/>
  <c r="T23" i="4"/>
  <c r="T26" i="4"/>
  <c r="T37" i="4"/>
  <c r="T40" i="4"/>
  <c r="T46" i="4"/>
  <c r="T54" i="4"/>
  <c r="T62" i="4"/>
  <c r="T70" i="4"/>
  <c r="T78" i="4"/>
  <c r="T86" i="4"/>
  <c r="T94" i="4"/>
  <c r="T102" i="4"/>
  <c r="T110" i="4"/>
  <c r="T118" i="4"/>
  <c r="T126" i="4"/>
  <c r="T134" i="4"/>
  <c r="T142" i="4"/>
  <c r="T150" i="4"/>
  <c r="T8" i="4"/>
  <c r="T16" i="4"/>
  <c r="T20" i="4"/>
  <c r="T27" i="4"/>
  <c r="T31" i="4"/>
  <c r="T34" i="4"/>
  <c r="T44" i="4"/>
  <c r="T52" i="4"/>
  <c r="T60" i="4"/>
  <c r="T68" i="4"/>
  <c r="T76" i="4"/>
  <c r="T84" i="4"/>
  <c r="T92" i="4"/>
  <c r="T100" i="4"/>
  <c r="T108" i="4"/>
  <c r="T116" i="4"/>
  <c r="T124" i="4"/>
  <c r="T132" i="4"/>
  <c r="T140" i="4"/>
  <c r="T148" i="4"/>
  <c r="T156" i="4"/>
  <c r="T14" i="4"/>
  <c r="T21" i="4"/>
  <c r="T24" i="4"/>
  <c r="T28" i="4"/>
  <c r="T35" i="4"/>
  <c r="T39" i="4"/>
  <c r="T42" i="4"/>
  <c r="T50" i="4"/>
  <c r="T58" i="4"/>
  <c r="T66" i="4"/>
  <c r="T74" i="4"/>
  <c r="T82" i="4"/>
  <c r="T90" i="4"/>
  <c r="T98" i="4"/>
  <c r="T106" i="4"/>
  <c r="T114" i="4"/>
  <c r="T122" i="4"/>
  <c r="T130" i="4"/>
  <c r="T138" i="4"/>
  <c r="T146" i="4"/>
  <c r="T154" i="4"/>
  <c r="T12" i="4"/>
  <c r="T15" i="4"/>
  <c r="T18" i="4"/>
  <c r="T29" i="4"/>
  <c r="T32" i="4"/>
  <c r="T36" i="4"/>
  <c r="T48" i="4"/>
  <c r="T56" i="4"/>
  <c r="T64" i="4"/>
  <c r="T72" i="4"/>
  <c r="T80" i="4"/>
  <c r="T88" i="4"/>
  <c r="T96" i="4"/>
  <c r="T104" i="4"/>
  <c r="T112" i="4"/>
  <c r="T120" i="4"/>
  <c r="T128" i="4"/>
  <c r="T136" i="4"/>
  <c r="T144" i="4"/>
  <c r="T152" i="4"/>
  <c r="T10" i="4"/>
  <c r="S15" i="4"/>
  <c r="S63" i="4"/>
  <c r="S64" i="4"/>
  <c r="S16" i="4"/>
  <c r="S17" i="4"/>
  <c r="S18" i="4"/>
  <c r="S19" i="4"/>
  <c r="S20" i="4"/>
  <c r="S21" i="4"/>
  <c r="AS21" i="4" s="1"/>
  <c r="S22" i="4"/>
  <c r="S23" i="4"/>
  <c r="S24" i="4"/>
  <c r="S25" i="4"/>
  <c r="AS25" i="4" s="1"/>
  <c r="S26" i="4"/>
  <c r="AS26" i="4" s="1"/>
  <c r="S27" i="4"/>
  <c r="S28" i="4"/>
  <c r="AS28" i="4" s="1"/>
  <c r="S29" i="4"/>
  <c r="S30" i="4"/>
  <c r="S31" i="4"/>
  <c r="S32" i="4"/>
  <c r="S33" i="4"/>
  <c r="AS33" i="4" s="1"/>
  <c r="S34" i="4"/>
  <c r="S35" i="4"/>
  <c r="S36" i="4"/>
  <c r="S37" i="4"/>
  <c r="S38" i="4"/>
  <c r="S39" i="4"/>
  <c r="S40" i="4"/>
  <c r="AS40" i="4" s="1"/>
  <c r="S41" i="4"/>
  <c r="S42" i="4"/>
  <c r="AS42" i="4" s="1"/>
  <c r="S43" i="4"/>
  <c r="S44" i="4"/>
  <c r="S45" i="4"/>
  <c r="AS45" i="4" s="1"/>
  <c r="S46" i="4"/>
  <c r="AS46" i="4" s="1"/>
  <c r="S47" i="4"/>
  <c r="S48" i="4"/>
  <c r="S49" i="4"/>
  <c r="AS49" i="4" s="1"/>
  <c r="S50" i="4"/>
  <c r="S51" i="4"/>
  <c r="S52" i="4"/>
  <c r="S53" i="4"/>
  <c r="AS53" i="4" s="1"/>
  <c r="S54" i="4"/>
  <c r="S55" i="4"/>
  <c r="S56" i="4"/>
  <c r="S57" i="4"/>
  <c r="S58" i="4"/>
  <c r="S60" i="4"/>
  <c r="S67" i="4"/>
  <c r="S62" i="4"/>
  <c r="AS62" i="4" s="1"/>
  <c r="S69" i="4"/>
  <c r="S87" i="4"/>
  <c r="S99" i="4"/>
  <c r="AS99" i="4" s="1"/>
  <c r="S120" i="4"/>
  <c r="AS120" i="4" s="1"/>
  <c r="S130" i="4"/>
  <c r="S134" i="4"/>
  <c r="S68" i="4"/>
  <c r="S74" i="4"/>
  <c r="S78" i="4"/>
  <c r="S82" i="4"/>
  <c r="S86" i="4"/>
  <c r="S90" i="4"/>
  <c r="S94" i="4"/>
  <c r="S98" i="4"/>
  <c r="S102" i="4"/>
  <c r="AS102" i="4" s="1"/>
  <c r="S109" i="4"/>
  <c r="AS109" i="4" s="1"/>
  <c r="S110" i="4"/>
  <c r="AS110" i="4" s="1"/>
  <c r="S119" i="4"/>
  <c r="S128" i="4"/>
  <c r="S137" i="4"/>
  <c r="S59" i="4"/>
  <c r="S65" i="4"/>
  <c r="S66" i="4"/>
  <c r="S71" i="4"/>
  <c r="AS71" i="4" s="1"/>
  <c r="S72" i="4"/>
  <c r="S76" i="4"/>
  <c r="S80" i="4"/>
  <c r="AS80" i="4" s="1"/>
  <c r="S84" i="4"/>
  <c r="S88" i="4"/>
  <c r="S92" i="4"/>
  <c r="S96" i="4"/>
  <c r="S100" i="4"/>
  <c r="S105" i="4"/>
  <c r="S106" i="4"/>
  <c r="S112" i="4"/>
  <c r="S121" i="4"/>
  <c r="S122" i="4"/>
  <c r="S123" i="4"/>
  <c r="S124" i="4"/>
  <c r="S125" i="4"/>
  <c r="AS125" i="4" s="1"/>
  <c r="S126" i="4"/>
  <c r="S135" i="4"/>
  <c r="S139" i="4"/>
  <c r="AS139" i="4" s="1"/>
  <c r="S140" i="4"/>
  <c r="AS140" i="4" s="1"/>
  <c r="S144" i="4"/>
  <c r="AS144" i="4" s="1"/>
  <c r="S149" i="4"/>
  <c r="S153" i="4"/>
  <c r="AS153" i="4" s="1"/>
  <c r="S8" i="4"/>
  <c r="S61" i="4"/>
  <c r="S70" i="4"/>
  <c r="S75" i="4"/>
  <c r="S79" i="4"/>
  <c r="S83" i="4"/>
  <c r="S91" i="4"/>
  <c r="S95" i="4"/>
  <c r="S103" i="4"/>
  <c r="S104" i="4"/>
  <c r="AS104" i="4" s="1"/>
  <c r="S111" i="4"/>
  <c r="S129" i="4"/>
  <c r="AS129" i="4" s="1"/>
  <c r="S131" i="4"/>
  <c r="S132" i="4"/>
  <c r="S133" i="4"/>
  <c r="S77" i="4"/>
  <c r="S93" i="4"/>
  <c r="S107" i="4"/>
  <c r="S115" i="4"/>
  <c r="S127" i="4"/>
  <c r="S136" i="4"/>
  <c r="S142" i="4"/>
  <c r="S145" i="4"/>
  <c r="S156" i="4"/>
  <c r="S9" i="4"/>
  <c r="S10" i="4"/>
  <c r="S81" i="4"/>
  <c r="S97" i="4"/>
  <c r="S114" i="4"/>
  <c r="S118" i="4"/>
  <c r="S138" i="4"/>
  <c r="S141" i="4"/>
  <c r="S152" i="4"/>
  <c r="S155" i="4"/>
  <c r="S13" i="4"/>
  <c r="S14" i="4"/>
  <c r="S85" i="4"/>
  <c r="S101" i="4"/>
  <c r="S113" i="4"/>
  <c r="S117" i="4"/>
  <c r="S147" i="4"/>
  <c r="S148" i="4"/>
  <c r="S151" i="4"/>
  <c r="S154" i="4"/>
  <c r="S12" i="4"/>
  <c r="AS12" i="4" s="1"/>
  <c r="S73" i="4"/>
  <c r="S89" i="4"/>
  <c r="S108" i="4"/>
  <c r="S116" i="4"/>
  <c r="AS116" i="4" s="1"/>
  <c r="S143" i="4"/>
  <c r="S146" i="4"/>
  <c r="S150" i="4"/>
  <c r="S157" i="4"/>
  <c r="S11" i="4"/>
  <c r="P15" i="5"/>
  <c r="T7" i="4"/>
  <c r="O9" i="4"/>
  <c r="S7" i="4"/>
  <c r="AJ7" i="4" s="1"/>
  <c r="V8" i="5"/>
  <c r="BD8" i="5"/>
  <c r="AY13" i="5"/>
  <c r="AX13" i="5"/>
  <c r="Q8" i="5"/>
  <c r="R8" i="5" s="1"/>
  <c r="BA12" i="5"/>
  <c r="BB12" i="5"/>
  <c r="AV13" i="5"/>
  <c r="AU13" i="5"/>
  <c r="BC13" i="5"/>
  <c r="U13" i="5"/>
  <c r="V13" i="5"/>
  <c r="AV12" i="5"/>
  <c r="AU12" i="5"/>
  <c r="BC12" i="5"/>
  <c r="U12" i="5"/>
  <c r="V12" i="5"/>
  <c r="BB13" i="5"/>
  <c r="BA13" i="5"/>
  <c r="AX12" i="5"/>
  <c r="AY12" i="5"/>
  <c r="Q13" i="5"/>
  <c r="B45" i="5"/>
  <c r="B48" i="5" s="1"/>
  <c r="BE57" i="5"/>
  <c r="BD57" i="5"/>
  <c r="BE101" i="5"/>
  <c r="BD101" i="5"/>
  <c r="BE116" i="5"/>
  <c r="BD116" i="5"/>
  <c r="BD245" i="5"/>
  <c r="BE245" i="5"/>
  <c r="BE244" i="5"/>
  <c r="BD244" i="5"/>
  <c r="BD406" i="5"/>
  <c r="BE406" i="5"/>
  <c r="BD419" i="5"/>
  <c r="BE419" i="5"/>
  <c r="BE448" i="5"/>
  <c r="BD448" i="5"/>
  <c r="BE540" i="5"/>
  <c r="BD540" i="5"/>
  <c r="BD19" i="5"/>
  <c r="BE19" i="5"/>
  <c r="BE425" i="5"/>
  <c r="BD425" i="5"/>
  <c r="BE49" i="5"/>
  <c r="BD49" i="5"/>
  <c r="BE145" i="5"/>
  <c r="BD145" i="5"/>
  <c r="BE155" i="5"/>
  <c r="BD155" i="5"/>
  <c r="BD254" i="5"/>
  <c r="BE254" i="5"/>
  <c r="BD349" i="5"/>
  <c r="BE349" i="5"/>
  <c r="BD371" i="5"/>
  <c r="BE371" i="5"/>
  <c r="BD435" i="5"/>
  <c r="BE435" i="5"/>
  <c r="BE543" i="5"/>
  <c r="BD543" i="5"/>
  <c r="BD486" i="5"/>
  <c r="BE486" i="5"/>
  <c r="V547" i="5"/>
  <c r="U547" i="5"/>
  <c r="V497" i="5"/>
  <c r="U497" i="5"/>
  <c r="V539" i="5"/>
  <c r="U539" i="5"/>
  <c r="V560" i="5"/>
  <c r="U560" i="5"/>
  <c r="U473" i="5"/>
  <c r="V473" i="5"/>
  <c r="U401" i="5"/>
  <c r="V401" i="5"/>
  <c r="U503" i="5"/>
  <c r="V503" i="5"/>
  <c r="U454" i="5"/>
  <c r="V454" i="5"/>
  <c r="V339" i="5"/>
  <c r="U339" i="5"/>
  <c r="U472" i="5"/>
  <c r="V472" i="5"/>
  <c r="V287" i="5"/>
  <c r="U287" i="5"/>
  <c r="V379" i="5"/>
  <c r="U379" i="5"/>
  <c r="U162" i="5"/>
  <c r="V162" i="5"/>
  <c r="U437" i="5"/>
  <c r="V437" i="5"/>
  <c r="U393" i="5"/>
  <c r="V393" i="5"/>
  <c r="U312" i="5"/>
  <c r="V312" i="5"/>
  <c r="V310" i="5"/>
  <c r="U310" i="5"/>
  <c r="U269" i="5"/>
  <c r="V269" i="5"/>
  <c r="V313" i="5"/>
  <c r="U313" i="5"/>
  <c r="U250" i="5"/>
  <c r="V250" i="5"/>
  <c r="U279" i="5"/>
  <c r="V279" i="5"/>
  <c r="U252" i="5"/>
  <c r="V252" i="5"/>
  <c r="U221" i="5"/>
  <c r="V221" i="5"/>
  <c r="U222" i="5"/>
  <c r="V222" i="5"/>
  <c r="V239" i="5"/>
  <c r="U239" i="5"/>
  <c r="V188" i="5"/>
  <c r="U188" i="5"/>
  <c r="V183" i="5"/>
  <c r="U183" i="5"/>
  <c r="V169" i="5"/>
  <c r="U169" i="5"/>
  <c r="V134" i="5"/>
  <c r="U134" i="5"/>
  <c r="V151" i="5"/>
  <c r="U151" i="5"/>
  <c r="U155" i="5"/>
  <c r="V155" i="5"/>
  <c r="U91" i="5"/>
  <c r="V91" i="5"/>
  <c r="U98" i="5"/>
  <c r="V98" i="5"/>
  <c r="V57" i="5"/>
  <c r="U57" i="5"/>
  <c r="U56" i="5"/>
  <c r="V56" i="5"/>
  <c r="U43" i="5"/>
  <c r="V43" i="5"/>
  <c r="V32" i="5"/>
  <c r="U32" i="5"/>
  <c r="BE454" i="5"/>
  <c r="BD454" i="5"/>
  <c r="BE528" i="5"/>
  <c r="BD528" i="5"/>
  <c r="BD35" i="5"/>
  <c r="BE35" i="5"/>
  <c r="BE83" i="5"/>
  <c r="BD83" i="5"/>
  <c r="BD163" i="5"/>
  <c r="BE163" i="5"/>
  <c r="BE224" i="5"/>
  <c r="BD224" i="5"/>
  <c r="BD322" i="5"/>
  <c r="BE322" i="5"/>
  <c r="BD291" i="5"/>
  <c r="BE291" i="5"/>
  <c r="BD433" i="5"/>
  <c r="BE433" i="5"/>
  <c r="BD431" i="5"/>
  <c r="BE431" i="5"/>
  <c r="BE515" i="5"/>
  <c r="BD515" i="5"/>
  <c r="BE546" i="5"/>
  <c r="BD546" i="5"/>
  <c r="BD34" i="5"/>
  <c r="BE34" i="5"/>
  <c r="BE100" i="5"/>
  <c r="BD100" i="5"/>
  <c r="BD218" i="5"/>
  <c r="BE218" i="5"/>
  <c r="BE273" i="5"/>
  <c r="BD273" i="5"/>
  <c r="BD299" i="5"/>
  <c r="BE299" i="5"/>
  <c r="BE436" i="5"/>
  <c r="BD436" i="5"/>
  <c r="BE474" i="5"/>
  <c r="BD474" i="5"/>
  <c r="BD495" i="5"/>
  <c r="BE495" i="5"/>
  <c r="BD37" i="5"/>
  <c r="BE37" i="5"/>
  <c r="BE178" i="5"/>
  <c r="BD178" i="5"/>
  <c r="BD232" i="5"/>
  <c r="BE232" i="5"/>
  <c r="BD318" i="5"/>
  <c r="BE318" i="5"/>
  <c r="BD405" i="5"/>
  <c r="BE405" i="5"/>
  <c r="BD434" i="5"/>
  <c r="BE434" i="5"/>
  <c r="BE392" i="5"/>
  <c r="BD392" i="5"/>
  <c r="BD461" i="5"/>
  <c r="BE461" i="5"/>
  <c r="BE46" i="5"/>
  <c r="BD46" i="5"/>
  <c r="BD76" i="5"/>
  <c r="BE76" i="5"/>
  <c r="BD132" i="5"/>
  <c r="BE132" i="5"/>
  <c r="BE179" i="5"/>
  <c r="BD179" i="5"/>
  <c r="BD188" i="5"/>
  <c r="BE188" i="5"/>
  <c r="BE309" i="5"/>
  <c r="BD309" i="5"/>
  <c r="BE174" i="5"/>
  <c r="BD174" i="5"/>
  <c r="BE391" i="5"/>
  <c r="BD391" i="5"/>
  <c r="BE369" i="5"/>
  <c r="BD369" i="5"/>
  <c r="BD469" i="5"/>
  <c r="BE469" i="5"/>
  <c r="BD554" i="5"/>
  <c r="BE554" i="5"/>
  <c r="U469" i="5"/>
  <c r="V469" i="5"/>
  <c r="U524" i="5"/>
  <c r="V524" i="5"/>
  <c r="V545" i="5"/>
  <c r="U545" i="5"/>
  <c r="V344" i="5"/>
  <c r="U344" i="5"/>
  <c r="U486" i="5"/>
  <c r="V486" i="5"/>
  <c r="U422" i="5"/>
  <c r="V422" i="5"/>
  <c r="U522" i="5"/>
  <c r="V522" i="5"/>
  <c r="U474" i="5"/>
  <c r="V474" i="5"/>
  <c r="U427" i="5"/>
  <c r="V427" i="5"/>
  <c r="V491" i="5"/>
  <c r="U491" i="5"/>
  <c r="U432" i="5"/>
  <c r="V432" i="5"/>
  <c r="V370" i="5"/>
  <c r="U370" i="5"/>
  <c r="U417" i="5"/>
  <c r="V417" i="5"/>
  <c r="U404" i="5"/>
  <c r="V404" i="5"/>
  <c r="U388" i="5"/>
  <c r="V388" i="5"/>
  <c r="V336" i="5"/>
  <c r="U336" i="5"/>
  <c r="U272" i="5"/>
  <c r="V272" i="5"/>
  <c r="V418" i="5"/>
  <c r="U418" i="5"/>
  <c r="U391" i="5"/>
  <c r="V391" i="5"/>
  <c r="V380" i="5"/>
  <c r="U380" i="5"/>
  <c r="V371" i="5"/>
  <c r="U371" i="5"/>
  <c r="V297" i="5"/>
  <c r="U297" i="5"/>
  <c r="U436" i="5"/>
  <c r="V436" i="5"/>
  <c r="U421" i="5"/>
  <c r="V421" i="5"/>
  <c r="U405" i="5"/>
  <c r="V405" i="5"/>
  <c r="V390" i="5"/>
  <c r="U390" i="5"/>
  <c r="V367" i="5"/>
  <c r="U367" i="5"/>
  <c r="U359" i="5"/>
  <c r="V359" i="5"/>
  <c r="V337" i="5"/>
  <c r="U337" i="5"/>
  <c r="V309" i="5"/>
  <c r="U309" i="5"/>
  <c r="U267" i="5"/>
  <c r="V267" i="5"/>
  <c r="U349" i="5"/>
  <c r="V349" i="5"/>
  <c r="U326" i="5"/>
  <c r="V326" i="5"/>
  <c r="U307" i="5"/>
  <c r="V307" i="5"/>
  <c r="V298" i="5"/>
  <c r="U298" i="5"/>
  <c r="V285" i="5"/>
  <c r="U285" i="5"/>
  <c r="U268" i="5"/>
  <c r="V268" i="5"/>
  <c r="U256" i="5"/>
  <c r="V256" i="5"/>
  <c r="U226" i="5"/>
  <c r="V226" i="5"/>
  <c r="U325" i="5"/>
  <c r="V325" i="5"/>
  <c r="V311" i="5"/>
  <c r="U311" i="5"/>
  <c r="V291" i="5"/>
  <c r="U291" i="5"/>
  <c r="U266" i="5"/>
  <c r="V266" i="5"/>
  <c r="U244" i="5"/>
  <c r="V244" i="5"/>
  <c r="V332" i="5"/>
  <c r="U332" i="5"/>
  <c r="U314" i="5"/>
  <c r="V314" i="5"/>
  <c r="U295" i="5"/>
  <c r="V295" i="5"/>
  <c r="U278" i="5"/>
  <c r="V278" i="5"/>
  <c r="U270" i="5"/>
  <c r="V270" i="5"/>
  <c r="V257" i="5"/>
  <c r="U257" i="5"/>
  <c r="U249" i="5"/>
  <c r="V249" i="5"/>
  <c r="V153" i="5"/>
  <c r="U153" i="5"/>
  <c r="U233" i="5"/>
  <c r="V233" i="5"/>
  <c r="U219" i="5"/>
  <c r="V219" i="5"/>
  <c r="U192" i="5"/>
  <c r="V192" i="5"/>
  <c r="U168" i="5"/>
  <c r="V168" i="5"/>
  <c r="U238" i="5"/>
  <c r="V238" i="5"/>
  <c r="U217" i="5"/>
  <c r="V217" i="5"/>
  <c r="U193" i="5"/>
  <c r="V193" i="5"/>
  <c r="U144" i="5"/>
  <c r="V144" i="5"/>
  <c r="U234" i="5"/>
  <c r="V234" i="5"/>
  <c r="U220" i="5"/>
  <c r="V220" i="5"/>
  <c r="U209" i="5"/>
  <c r="V209" i="5"/>
  <c r="U202" i="5"/>
  <c r="V202" i="5"/>
  <c r="U164" i="5"/>
  <c r="V164" i="5"/>
  <c r="U198" i="5"/>
  <c r="V198" i="5"/>
  <c r="V189" i="5"/>
  <c r="U189" i="5"/>
  <c r="V179" i="5"/>
  <c r="U179" i="5"/>
  <c r="U158" i="5"/>
  <c r="V158" i="5"/>
  <c r="U184" i="5"/>
  <c r="V184" i="5"/>
  <c r="U163" i="5"/>
  <c r="V163" i="5"/>
  <c r="V111" i="5"/>
  <c r="U111" i="5"/>
  <c r="U178" i="5"/>
  <c r="V178" i="5"/>
  <c r="U167" i="5"/>
  <c r="V167" i="5"/>
  <c r="V128" i="5"/>
  <c r="U128" i="5"/>
  <c r="U145" i="5"/>
  <c r="V145" i="5"/>
  <c r="U122" i="5"/>
  <c r="V122" i="5"/>
  <c r="V104" i="5"/>
  <c r="U104" i="5"/>
  <c r="U148" i="5"/>
  <c r="V148" i="5"/>
  <c r="U129" i="5"/>
  <c r="V129" i="5"/>
  <c r="U116" i="5"/>
  <c r="V116" i="5"/>
  <c r="U103" i="5"/>
  <c r="V103" i="5"/>
  <c r="U147" i="5"/>
  <c r="V147" i="5"/>
  <c r="U132" i="5"/>
  <c r="V132" i="5"/>
  <c r="U113" i="5"/>
  <c r="V113" i="5"/>
  <c r="U110" i="5"/>
  <c r="V110" i="5"/>
  <c r="U90" i="5"/>
  <c r="V90" i="5"/>
  <c r="U72" i="5"/>
  <c r="V72" i="5"/>
  <c r="U102" i="5"/>
  <c r="V102" i="5"/>
  <c r="U97" i="5"/>
  <c r="V97" i="5"/>
  <c r="V81" i="5"/>
  <c r="U81" i="5"/>
  <c r="U78" i="5"/>
  <c r="V78" i="5"/>
  <c r="U77" i="5"/>
  <c r="V77" i="5"/>
  <c r="U71" i="5"/>
  <c r="V71" i="5"/>
  <c r="V58" i="5"/>
  <c r="U58" i="5"/>
  <c r="U65" i="5"/>
  <c r="V65" i="5"/>
  <c r="U51" i="5"/>
  <c r="V51" i="5"/>
  <c r="U23" i="5"/>
  <c r="V23" i="5"/>
  <c r="U54" i="5"/>
  <c r="V54" i="5"/>
  <c r="U49" i="5"/>
  <c r="V49" i="5"/>
  <c r="U40" i="5"/>
  <c r="V40" i="5"/>
  <c r="U45" i="5"/>
  <c r="V45" i="5"/>
  <c r="U31" i="5"/>
  <c r="V31" i="5"/>
  <c r="U21" i="5"/>
  <c r="V21" i="5"/>
  <c r="U29" i="5"/>
  <c r="V29" i="5"/>
  <c r="BE21" i="5"/>
  <c r="BD21" i="5"/>
  <c r="BE31" i="5"/>
  <c r="BD31" i="5"/>
  <c r="BE63" i="5"/>
  <c r="BD63" i="5"/>
  <c r="BE52" i="5"/>
  <c r="BD52" i="5"/>
  <c r="BD90" i="5"/>
  <c r="BE90" i="5"/>
  <c r="BE88" i="5"/>
  <c r="BD88" i="5"/>
  <c r="BE71" i="5"/>
  <c r="BD71" i="5"/>
  <c r="BD122" i="5"/>
  <c r="BE122" i="5"/>
  <c r="BD138" i="5"/>
  <c r="BE138" i="5"/>
  <c r="BD157" i="5"/>
  <c r="BE157" i="5"/>
  <c r="BE154" i="5"/>
  <c r="BD154" i="5"/>
  <c r="BE215" i="5"/>
  <c r="BD215" i="5"/>
  <c r="BD209" i="5"/>
  <c r="BE209" i="5"/>
  <c r="BD249" i="5"/>
  <c r="BE249" i="5"/>
  <c r="BD255" i="5"/>
  <c r="BE255" i="5"/>
  <c r="BE295" i="5"/>
  <c r="BD295" i="5"/>
  <c r="BD312" i="5"/>
  <c r="BE312" i="5"/>
  <c r="BE246" i="5"/>
  <c r="BD246" i="5"/>
  <c r="BD271" i="5"/>
  <c r="BE271" i="5"/>
  <c r="BD333" i="5"/>
  <c r="BE333" i="5"/>
  <c r="BD409" i="5"/>
  <c r="BE409" i="5"/>
  <c r="BE353" i="5"/>
  <c r="BD353" i="5"/>
  <c r="BD390" i="5"/>
  <c r="BE390" i="5"/>
  <c r="BD379" i="5"/>
  <c r="BE379" i="5"/>
  <c r="BD450" i="5"/>
  <c r="BE450" i="5"/>
  <c r="BD493" i="5"/>
  <c r="BE493" i="5"/>
  <c r="BE491" i="5"/>
  <c r="BD491" i="5"/>
  <c r="BD463" i="5"/>
  <c r="BE463" i="5"/>
  <c r="BD482" i="5"/>
  <c r="BE482" i="5"/>
  <c r="BD441" i="5"/>
  <c r="BE441" i="5"/>
  <c r="BD484" i="5"/>
  <c r="BE484" i="5"/>
  <c r="BD365" i="5"/>
  <c r="BE365" i="5"/>
  <c r="BD432" i="5"/>
  <c r="BE432" i="5"/>
  <c r="BD556" i="5"/>
  <c r="BE556" i="5"/>
  <c r="BD446" i="5"/>
  <c r="BE446" i="5"/>
  <c r="BE42" i="5"/>
  <c r="BD42" i="5"/>
  <c r="BE54" i="5"/>
  <c r="BD54" i="5"/>
  <c r="BE66" i="5"/>
  <c r="BD66" i="5"/>
  <c r="BD93" i="5"/>
  <c r="BE93" i="5"/>
  <c r="BD103" i="5"/>
  <c r="BE103" i="5"/>
  <c r="BD91" i="5"/>
  <c r="BE91" i="5"/>
  <c r="BE89" i="5"/>
  <c r="BD89" i="5"/>
  <c r="BE142" i="5"/>
  <c r="BD142" i="5"/>
  <c r="BE135" i="5"/>
  <c r="BD135" i="5"/>
  <c r="BD131" i="5"/>
  <c r="BE131" i="5"/>
  <c r="BD160" i="5"/>
  <c r="BE160" i="5"/>
  <c r="BD176" i="5"/>
  <c r="BE176" i="5"/>
  <c r="BE211" i="5"/>
  <c r="BD211" i="5"/>
  <c r="BD221" i="5"/>
  <c r="BE221" i="5"/>
  <c r="BD283" i="5"/>
  <c r="BE283" i="5"/>
  <c r="BD314" i="5"/>
  <c r="BE314" i="5"/>
  <c r="BD324" i="5"/>
  <c r="BE324" i="5"/>
  <c r="BE276" i="5"/>
  <c r="BD276" i="5"/>
  <c r="BE286" i="5"/>
  <c r="BD286" i="5"/>
  <c r="BE356" i="5"/>
  <c r="BD356" i="5"/>
  <c r="BE284" i="5"/>
  <c r="BD284" i="5"/>
  <c r="BD397" i="5"/>
  <c r="BE397" i="5"/>
  <c r="BE262" i="5"/>
  <c r="BD262" i="5"/>
  <c r="BE321" i="5"/>
  <c r="BD321" i="5"/>
  <c r="BE396" i="5"/>
  <c r="BD396" i="5"/>
  <c r="BE410" i="5"/>
  <c r="BD410" i="5"/>
  <c r="BD360" i="5"/>
  <c r="BE360" i="5"/>
  <c r="BE375" i="5"/>
  <c r="BD375" i="5"/>
  <c r="BE275" i="5"/>
  <c r="BD275" i="5"/>
  <c r="BE346" i="5"/>
  <c r="BD346" i="5"/>
  <c r="BD530" i="5"/>
  <c r="BE530" i="5"/>
  <c r="BE370" i="5"/>
  <c r="BD370" i="5"/>
  <c r="BD337" i="5"/>
  <c r="BE337" i="5"/>
  <c r="BD459" i="5"/>
  <c r="BE459" i="5"/>
  <c r="BE377" i="5"/>
  <c r="BD377" i="5"/>
  <c r="BD558" i="5"/>
  <c r="BE558" i="5"/>
  <c r="BD45" i="5"/>
  <c r="BE45" i="5"/>
  <c r="BD70" i="5"/>
  <c r="BE70" i="5"/>
  <c r="BD144" i="5"/>
  <c r="BE144" i="5"/>
  <c r="BD166" i="5"/>
  <c r="BE166" i="5"/>
  <c r="BE306" i="5"/>
  <c r="BD306" i="5"/>
  <c r="BD364" i="5"/>
  <c r="BE364" i="5"/>
  <c r="BD418" i="5"/>
  <c r="BE418" i="5"/>
  <c r="BD499" i="5"/>
  <c r="BE499" i="5"/>
  <c r="BD512" i="5"/>
  <c r="BE512" i="5"/>
  <c r="BE428" i="5"/>
  <c r="BD428" i="5"/>
  <c r="BE542" i="5"/>
  <c r="BD542" i="5"/>
  <c r="BE27" i="5"/>
  <c r="BD27" i="5"/>
  <c r="BE86" i="5"/>
  <c r="BD86" i="5"/>
  <c r="BE123" i="5"/>
  <c r="BD123" i="5"/>
  <c r="BD207" i="5"/>
  <c r="BE207" i="5"/>
  <c r="BD203" i="5"/>
  <c r="BE203" i="5"/>
  <c r="BD323" i="5"/>
  <c r="BE323" i="5"/>
  <c r="BD502" i="5"/>
  <c r="BE502" i="5"/>
  <c r="BD453" i="5"/>
  <c r="BE453" i="5"/>
  <c r="BD358" i="5"/>
  <c r="BE358" i="5"/>
  <c r="U509" i="5"/>
  <c r="V509" i="5"/>
  <c r="U449" i="5"/>
  <c r="V449" i="5"/>
  <c r="U412" i="5"/>
  <c r="V412" i="5"/>
  <c r="V546" i="5"/>
  <c r="U546" i="5"/>
  <c r="V531" i="5"/>
  <c r="U531" i="5"/>
  <c r="U461" i="5"/>
  <c r="V461" i="5"/>
  <c r="U425" i="5"/>
  <c r="V425" i="5"/>
  <c r="U517" i="5"/>
  <c r="V517" i="5"/>
  <c r="U464" i="5"/>
  <c r="V464" i="5"/>
  <c r="U525" i="5"/>
  <c r="V525" i="5"/>
  <c r="V451" i="5"/>
  <c r="U451" i="5"/>
  <c r="U408" i="5"/>
  <c r="V408" i="5"/>
  <c r="U361" i="5"/>
  <c r="V361" i="5"/>
  <c r="V396" i="5"/>
  <c r="U396" i="5"/>
  <c r="V317" i="5"/>
  <c r="U317" i="5"/>
  <c r="U410" i="5"/>
  <c r="V410" i="5"/>
  <c r="U342" i="5"/>
  <c r="V342" i="5"/>
  <c r="U330" i="5"/>
  <c r="V330" i="5"/>
  <c r="U290" i="5"/>
  <c r="V290" i="5"/>
  <c r="U328" i="5"/>
  <c r="V328" i="5"/>
  <c r="V334" i="5"/>
  <c r="U334" i="5"/>
  <c r="V301" i="5"/>
  <c r="U301" i="5"/>
  <c r="U260" i="5"/>
  <c r="V260" i="5"/>
  <c r="V207" i="5"/>
  <c r="U207" i="5"/>
  <c r="V199" i="5"/>
  <c r="U199" i="5"/>
  <c r="V223" i="5"/>
  <c r="U223" i="5"/>
  <c r="U201" i="5"/>
  <c r="V201" i="5"/>
  <c r="V161" i="5"/>
  <c r="U161" i="5"/>
  <c r="U118" i="5"/>
  <c r="V118" i="5"/>
  <c r="U146" i="5"/>
  <c r="V146" i="5"/>
  <c r="U114" i="5"/>
  <c r="V114" i="5"/>
  <c r="U106" i="5"/>
  <c r="V106" i="5"/>
  <c r="V37" i="5"/>
  <c r="U37" i="5"/>
  <c r="U105" i="5"/>
  <c r="V105" i="5"/>
  <c r="V89" i="5"/>
  <c r="U89" i="5"/>
  <c r="U67" i="5"/>
  <c r="V67" i="5"/>
  <c r="U41" i="5"/>
  <c r="V41" i="5"/>
  <c r="U24" i="5"/>
  <c r="V24" i="5"/>
  <c r="BE525" i="5"/>
  <c r="BD525" i="5"/>
  <c r="BD544" i="5"/>
  <c r="BE544" i="5"/>
  <c r="BE43" i="5"/>
  <c r="BD43" i="5"/>
  <c r="BD126" i="5"/>
  <c r="BE126" i="5"/>
  <c r="BE173" i="5"/>
  <c r="BD173" i="5"/>
  <c r="BD191" i="5"/>
  <c r="BE191" i="5"/>
  <c r="BD270" i="5"/>
  <c r="BE270" i="5"/>
  <c r="BD374" i="5"/>
  <c r="BE374" i="5"/>
  <c r="BD381" i="5"/>
  <c r="BE381" i="5"/>
  <c r="BE471" i="5"/>
  <c r="BD471" i="5"/>
  <c r="BD533" i="5"/>
  <c r="BE533" i="5"/>
  <c r="BE41" i="5"/>
  <c r="BD41" i="5"/>
  <c r="BD96" i="5"/>
  <c r="BE96" i="5"/>
  <c r="BE165" i="5"/>
  <c r="BD165" i="5"/>
  <c r="BD251" i="5"/>
  <c r="BE251" i="5"/>
  <c r="BD237" i="5"/>
  <c r="BE237" i="5"/>
  <c r="BD403" i="5"/>
  <c r="BE403" i="5"/>
  <c r="BD494" i="5"/>
  <c r="BE494" i="5"/>
  <c r="BE553" i="5"/>
  <c r="BD553" i="5"/>
  <c r="BD521" i="5"/>
  <c r="BE521" i="5"/>
  <c r="BD194" i="5"/>
  <c r="BE194" i="5"/>
  <c r="BD274" i="5"/>
  <c r="BE274" i="5"/>
  <c r="BE319" i="5"/>
  <c r="BD319" i="5"/>
  <c r="BD267" i="5"/>
  <c r="BE267" i="5"/>
  <c r="BD488" i="5"/>
  <c r="BE488" i="5"/>
  <c r="BD452" i="5"/>
  <c r="BE452" i="5"/>
  <c r="BE552" i="5"/>
  <c r="BD552" i="5"/>
  <c r="BE449" i="5"/>
  <c r="BD449" i="5"/>
  <c r="BD33" i="5"/>
  <c r="BE33" i="5"/>
  <c r="BD60" i="5"/>
  <c r="BE60" i="5"/>
  <c r="BE114" i="5"/>
  <c r="BD114" i="5"/>
  <c r="BE152" i="5"/>
  <c r="BD152" i="5"/>
  <c r="BE197" i="5"/>
  <c r="BD197" i="5"/>
  <c r="BD213" i="5"/>
  <c r="BE213" i="5"/>
  <c r="BE196" i="5"/>
  <c r="BD196" i="5"/>
  <c r="BE268" i="5"/>
  <c r="BD268" i="5"/>
  <c r="BE317" i="5"/>
  <c r="BD317" i="5"/>
  <c r="BE334" i="5"/>
  <c r="BD334" i="5"/>
  <c r="BD490" i="5"/>
  <c r="BE490" i="5"/>
  <c r="U19" i="5"/>
  <c r="V19" i="5"/>
  <c r="V559" i="5"/>
  <c r="U559" i="5"/>
  <c r="V552" i="5"/>
  <c r="U552" i="5"/>
  <c r="U406" i="5"/>
  <c r="V406" i="5"/>
  <c r="U465" i="5"/>
  <c r="V465" i="5"/>
  <c r="U493" i="5"/>
  <c r="V493" i="5"/>
  <c r="U457" i="5"/>
  <c r="V457" i="5"/>
  <c r="V368" i="5"/>
  <c r="U368" i="5"/>
  <c r="U501" i="5"/>
  <c r="V501" i="5"/>
  <c r="U462" i="5"/>
  <c r="V462" i="5"/>
  <c r="V537" i="5"/>
  <c r="U537" i="5"/>
  <c r="U466" i="5"/>
  <c r="V466" i="5"/>
  <c r="V355" i="5"/>
  <c r="U355" i="5"/>
  <c r="BE127" i="5"/>
  <c r="BD127" i="5"/>
  <c r="BE58" i="5"/>
  <c r="BD58" i="5"/>
  <c r="BE82" i="5"/>
  <c r="BD82" i="5"/>
  <c r="BE140" i="5"/>
  <c r="BD140" i="5"/>
  <c r="BD223" i="5"/>
  <c r="BE223" i="5"/>
  <c r="BD260" i="5"/>
  <c r="BE260" i="5"/>
  <c r="BE219" i="5"/>
  <c r="BD219" i="5"/>
  <c r="BD304" i="5"/>
  <c r="BE304" i="5"/>
  <c r="BD359" i="5"/>
  <c r="BE359" i="5"/>
  <c r="BD372" i="5"/>
  <c r="BE372" i="5"/>
  <c r="BD466" i="5"/>
  <c r="BE466" i="5"/>
  <c r="BD464" i="5"/>
  <c r="BE464" i="5"/>
  <c r="BD498" i="5"/>
  <c r="BE498" i="5"/>
  <c r="BE547" i="5"/>
  <c r="BD547" i="5"/>
  <c r="BE523" i="5"/>
  <c r="BD523" i="5"/>
  <c r="BE108" i="5"/>
  <c r="BD108" i="5"/>
  <c r="BD171" i="5"/>
  <c r="BE171" i="5"/>
  <c r="BE227" i="5"/>
  <c r="BD227" i="5"/>
  <c r="BE277" i="5"/>
  <c r="BD277" i="5"/>
  <c r="BE292" i="5"/>
  <c r="BD292" i="5"/>
  <c r="BD180" i="5"/>
  <c r="BE180" i="5"/>
  <c r="BE352" i="5"/>
  <c r="BD352" i="5"/>
  <c r="BE331" i="5"/>
  <c r="BD331" i="5"/>
  <c r="BE456" i="5"/>
  <c r="BD456" i="5"/>
  <c r="BD272" i="5"/>
  <c r="BE272" i="5"/>
  <c r="BD504" i="5"/>
  <c r="BE504" i="5"/>
  <c r="BE559" i="5"/>
  <c r="BD559" i="5"/>
  <c r="BD416" i="5"/>
  <c r="BE416" i="5"/>
  <c r="BD509" i="5"/>
  <c r="BE509" i="5"/>
  <c r="BE555" i="5"/>
  <c r="BD555" i="5"/>
  <c r="BD467" i="5"/>
  <c r="BE467" i="5"/>
  <c r="BD500" i="5"/>
  <c r="BE500" i="5"/>
  <c r="BD534" i="5"/>
  <c r="BE534" i="5"/>
  <c r="V523" i="5"/>
  <c r="U523" i="5"/>
  <c r="U488" i="5"/>
  <c r="V488" i="5"/>
  <c r="U445" i="5"/>
  <c r="V445" i="5"/>
  <c r="V558" i="5"/>
  <c r="U558" i="5"/>
  <c r="U530" i="5"/>
  <c r="V530" i="5"/>
  <c r="U419" i="5"/>
  <c r="V419" i="5"/>
  <c r="V551" i="5"/>
  <c r="U551" i="5"/>
  <c r="U518" i="5"/>
  <c r="V518" i="5"/>
  <c r="U450" i="5"/>
  <c r="V450" i="5"/>
  <c r="U394" i="5"/>
  <c r="V394" i="5"/>
  <c r="V550" i="5"/>
  <c r="U550" i="5"/>
  <c r="V542" i="5"/>
  <c r="U542" i="5"/>
  <c r="U534" i="5"/>
  <c r="V534" i="5"/>
  <c r="U444" i="5"/>
  <c r="V444" i="5"/>
  <c r="V338" i="5"/>
  <c r="U338" i="5"/>
  <c r="V556" i="5"/>
  <c r="U556" i="5"/>
  <c r="U510" i="5"/>
  <c r="V510" i="5"/>
  <c r="U492" i="5"/>
  <c r="V492" i="5"/>
  <c r="U482" i="5"/>
  <c r="V482" i="5"/>
  <c r="U467" i="5"/>
  <c r="V467" i="5"/>
  <c r="U455" i="5"/>
  <c r="V455" i="5"/>
  <c r="V435" i="5"/>
  <c r="U435" i="5"/>
  <c r="V416" i="5"/>
  <c r="U416" i="5"/>
  <c r="U395" i="5"/>
  <c r="V395" i="5"/>
  <c r="U360" i="5"/>
  <c r="V360" i="5"/>
  <c r="U521" i="5"/>
  <c r="V521" i="5"/>
  <c r="U511" i="5"/>
  <c r="V511" i="5"/>
  <c r="U500" i="5"/>
  <c r="V500" i="5"/>
  <c r="V483" i="5"/>
  <c r="U483" i="5"/>
  <c r="V471" i="5"/>
  <c r="U471" i="5"/>
  <c r="U459" i="5"/>
  <c r="V459" i="5"/>
  <c r="U442" i="5"/>
  <c r="V442" i="5"/>
  <c r="U351" i="5"/>
  <c r="V351" i="5"/>
  <c r="U533" i="5"/>
  <c r="V533" i="5"/>
  <c r="V515" i="5"/>
  <c r="U515" i="5"/>
  <c r="U505" i="5"/>
  <c r="V505" i="5"/>
  <c r="V481" i="5"/>
  <c r="U481" i="5"/>
  <c r="U460" i="5"/>
  <c r="V460" i="5"/>
  <c r="U447" i="5"/>
  <c r="V447" i="5"/>
  <c r="U430" i="5"/>
  <c r="V430" i="5"/>
  <c r="U357" i="5"/>
  <c r="V357" i="5"/>
  <c r="U414" i="5"/>
  <c r="V414" i="5"/>
  <c r="U402" i="5"/>
  <c r="V402" i="5"/>
  <c r="V383" i="5"/>
  <c r="U383" i="5"/>
  <c r="U365" i="5"/>
  <c r="V365" i="5"/>
  <c r="U353" i="5"/>
  <c r="V353" i="5"/>
  <c r="U319" i="5"/>
  <c r="V319" i="5"/>
  <c r="U228" i="5"/>
  <c r="V228" i="5"/>
  <c r="U409" i="5"/>
  <c r="V409" i="5"/>
  <c r="V389" i="5"/>
  <c r="U389" i="5"/>
  <c r="V376" i="5"/>
  <c r="U376" i="5"/>
  <c r="U369" i="5"/>
  <c r="V369" i="5"/>
  <c r="U247" i="5"/>
  <c r="V247" i="5"/>
  <c r="U433" i="5"/>
  <c r="V433" i="5"/>
  <c r="U420" i="5"/>
  <c r="V420" i="5"/>
  <c r="U403" i="5"/>
  <c r="V403" i="5"/>
  <c r="U387" i="5"/>
  <c r="V387" i="5"/>
  <c r="U366" i="5"/>
  <c r="V366" i="5"/>
  <c r="U350" i="5"/>
  <c r="V350" i="5"/>
  <c r="V329" i="5"/>
  <c r="U329" i="5"/>
  <c r="U286" i="5"/>
  <c r="V286" i="5"/>
  <c r="U262" i="5"/>
  <c r="V262" i="5"/>
  <c r="V343" i="5"/>
  <c r="U343" i="5"/>
  <c r="V321" i="5"/>
  <c r="U321" i="5"/>
  <c r="V305" i="5"/>
  <c r="U305" i="5"/>
  <c r="V296" i="5"/>
  <c r="U296" i="5"/>
  <c r="V281" i="5"/>
  <c r="U281" i="5"/>
  <c r="U264" i="5"/>
  <c r="V264" i="5"/>
  <c r="U253" i="5"/>
  <c r="V253" i="5"/>
  <c r="U160" i="5"/>
  <c r="V160" i="5"/>
  <c r="U323" i="5"/>
  <c r="V323" i="5"/>
  <c r="U302" i="5"/>
  <c r="V302" i="5"/>
  <c r="V288" i="5"/>
  <c r="U288" i="5"/>
  <c r="U258" i="5"/>
  <c r="V258" i="5"/>
  <c r="U237" i="5"/>
  <c r="V237" i="5"/>
  <c r="V327" i="5"/>
  <c r="U327" i="5"/>
  <c r="V308" i="5"/>
  <c r="U308" i="5"/>
  <c r="V289" i="5"/>
  <c r="U289" i="5"/>
  <c r="U277" i="5"/>
  <c r="V277" i="5"/>
  <c r="U265" i="5"/>
  <c r="V265" i="5"/>
  <c r="U255" i="5"/>
  <c r="V255" i="5"/>
  <c r="U248" i="5"/>
  <c r="V248" i="5"/>
  <c r="U240" i="5"/>
  <c r="V240" i="5"/>
  <c r="U230" i="5"/>
  <c r="V230" i="5"/>
  <c r="U213" i="5"/>
  <c r="V213" i="5"/>
  <c r="U191" i="5"/>
  <c r="V191" i="5"/>
  <c r="V157" i="5"/>
  <c r="U157" i="5"/>
  <c r="U232" i="5"/>
  <c r="V232" i="5"/>
  <c r="U216" i="5"/>
  <c r="V216" i="5"/>
  <c r="U166" i="5"/>
  <c r="V166" i="5"/>
  <c r="U120" i="5"/>
  <c r="V120" i="5"/>
  <c r="V227" i="5"/>
  <c r="U227" i="5"/>
  <c r="U218" i="5"/>
  <c r="V218" i="5"/>
  <c r="U208" i="5"/>
  <c r="V208" i="5"/>
  <c r="U200" i="5"/>
  <c r="V200" i="5"/>
  <c r="U206" i="5"/>
  <c r="V206" i="5"/>
  <c r="U197" i="5"/>
  <c r="V197" i="5"/>
  <c r="V186" i="5"/>
  <c r="U186" i="5"/>
  <c r="V175" i="5"/>
  <c r="U175" i="5"/>
  <c r="U154" i="5"/>
  <c r="V154" i="5"/>
  <c r="U182" i="5"/>
  <c r="V182" i="5"/>
  <c r="U140" i="5"/>
  <c r="V140" i="5"/>
  <c r="V86" i="5"/>
  <c r="U86" i="5"/>
  <c r="V177" i="5"/>
  <c r="U177" i="5"/>
  <c r="V165" i="5"/>
  <c r="U165" i="5"/>
  <c r="U125" i="5"/>
  <c r="V125" i="5"/>
  <c r="V143" i="5"/>
  <c r="U143" i="5"/>
  <c r="U119" i="5"/>
  <c r="V119" i="5"/>
  <c r="U75" i="5"/>
  <c r="V75" i="5"/>
  <c r="U142" i="5"/>
  <c r="V142" i="5"/>
  <c r="U124" i="5"/>
  <c r="V124" i="5"/>
  <c r="V112" i="5"/>
  <c r="U112" i="5"/>
  <c r="U99" i="5"/>
  <c r="V99" i="5"/>
  <c r="U141" i="5"/>
  <c r="V141" i="5"/>
  <c r="V127" i="5"/>
  <c r="U127" i="5"/>
  <c r="U93" i="5"/>
  <c r="V93" i="5"/>
  <c r="U108" i="5"/>
  <c r="V108" i="5"/>
  <c r="U88" i="5"/>
  <c r="V88" i="5"/>
  <c r="U60" i="5"/>
  <c r="V60" i="5"/>
  <c r="U95" i="5"/>
  <c r="V95" i="5"/>
  <c r="U96" i="5"/>
  <c r="V96" i="5"/>
  <c r="U25" i="5"/>
  <c r="V25" i="5"/>
  <c r="V73" i="5"/>
  <c r="U73" i="5"/>
  <c r="U74" i="5"/>
  <c r="V74" i="5"/>
  <c r="U68" i="5"/>
  <c r="V68" i="5"/>
  <c r="V55" i="5"/>
  <c r="U55" i="5"/>
  <c r="U62" i="5"/>
  <c r="V62" i="5"/>
  <c r="U50" i="5"/>
  <c r="V50" i="5"/>
  <c r="U20" i="5"/>
  <c r="V20" i="5"/>
  <c r="U53" i="5"/>
  <c r="V53" i="5"/>
  <c r="U48" i="5"/>
  <c r="V48" i="5"/>
  <c r="U36" i="5"/>
  <c r="V36" i="5"/>
  <c r="U42" i="5"/>
  <c r="V42" i="5"/>
  <c r="V27" i="5"/>
  <c r="U27" i="5"/>
  <c r="U46" i="5"/>
  <c r="V46" i="5"/>
  <c r="V28" i="5"/>
  <c r="U28" i="5"/>
  <c r="BD241" i="5"/>
  <c r="BE241" i="5"/>
  <c r="BE483" i="5"/>
  <c r="BD483" i="5"/>
  <c r="BE536" i="5"/>
  <c r="BD536" i="5"/>
  <c r="BE39" i="5"/>
  <c r="BD39" i="5"/>
  <c r="BD53" i="5"/>
  <c r="BE53" i="5"/>
  <c r="BD20" i="5"/>
  <c r="BE20" i="5"/>
  <c r="BE22" i="5"/>
  <c r="BD22" i="5"/>
  <c r="BE77" i="5"/>
  <c r="BD77" i="5"/>
  <c r="BD75" i="5"/>
  <c r="BE75" i="5"/>
  <c r="BD136" i="5"/>
  <c r="BE136" i="5"/>
  <c r="BE129" i="5"/>
  <c r="BD129" i="5"/>
  <c r="BE150" i="5"/>
  <c r="BD150" i="5"/>
  <c r="BE111" i="5"/>
  <c r="BD111" i="5"/>
  <c r="BE198" i="5"/>
  <c r="BD198" i="5"/>
  <c r="BE248" i="5"/>
  <c r="BD248" i="5"/>
  <c r="BD238" i="5"/>
  <c r="BE238" i="5"/>
  <c r="BD280" i="5"/>
  <c r="BE280" i="5"/>
  <c r="BD297" i="5"/>
  <c r="BE297" i="5"/>
  <c r="BD311" i="5"/>
  <c r="BE311" i="5"/>
  <c r="BE259" i="5"/>
  <c r="BD259" i="5"/>
  <c r="BE335" i="5"/>
  <c r="BD335" i="5"/>
  <c r="BD231" i="5"/>
  <c r="BE231" i="5"/>
  <c r="BE330" i="5"/>
  <c r="BD330" i="5"/>
  <c r="BD401" i="5"/>
  <c r="BE401" i="5"/>
  <c r="BE420" i="5"/>
  <c r="BD420" i="5"/>
  <c r="BE298" i="5"/>
  <c r="BD298" i="5"/>
  <c r="BD393" i="5"/>
  <c r="BE393" i="5"/>
  <c r="BD339" i="5"/>
  <c r="BE339" i="5"/>
  <c r="BD344" i="5"/>
  <c r="BE344" i="5"/>
  <c r="BE508" i="5"/>
  <c r="BD508" i="5"/>
  <c r="BD442" i="5"/>
  <c r="BE442" i="5"/>
  <c r="BD475" i="5"/>
  <c r="BE475" i="5"/>
  <c r="BD457" i="5"/>
  <c r="BE457" i="5"/>
  <c r="BD505" i="5"/>
  <c r="BE505" i="5"/>
  <c r="BE524" i="5"/>
  <c r="BD524" i="5"/>
  <c r="BD204" i="5"/>
  <c r="BE204" i="5"/>
  <c r="BD541" i="5"/>
  <c r="BE541" i="5"/>
  <c r="BE532" i="5"/>
  <c r="BD532" i="5"/>
  <c r="BD119" i="5"/>
  <c r="BE119" i="5"/>
  <c r="BD29" i="5"/>
  <c r="BE29" i="5"/>
  <c r="BE24" i="5"/>
  <c r="BD24" i="5"/>
  <c r="BE25" i="5"/>
  <c r="BD25" i="5"/>
  <c r="BE78" i="5"/>
  <c r="BD78" i="5"/>
  <c r="BD79" i="5"/>
  <c r="BE79" i="5"/>
  <c r="BE141" i="5"/>
  <c r="BD141" i="5"/>
  <c r="BD118" i="5"/>
  <c r="BE118" i="5"/>
  <c r="BE110" i="5"/>
  <c r="BD110" i="5"/>
  <c r="BE187" i="5"/>
  <c r="BD187" i="5"/>
  <c r="BD199" i="5"/>
  <c r="BE199" i="5"/>
  <c r="BE164" i="5"/>
  <c r="BD164" i="5"/>
  <c r="BD195" i="5"/>
  <c r="BE195" i="5"/>
  <c r="BD233" i="5"/>
  <c r="BE233" i="5"/>
  <c r="BE250" i="5"/>
  <c r="BD250" i="5"/>
  <c r="BD316" i="5"/>
  <c r="BE316" i="5"/>
  <c r="BD328" i="5"/>
  <c r="BE328" i="5"/>
  <c r="BE281" i="5"/>
  <c r="BD281" i="5"/>
  <c r="BD345" i="5"/>
  <c r="BE345" i="5"/>
  <c r="BD378" i="5"/>
  <c r="BE378" i="5"/>
  <c r="BD438" i="5"/>
  <c r="BE438" i="5"/>
  <c r="BD451" i="5"/>
  <c r="BE451" i="5"/>
  <c r="BE496" i="5"/>
  <c r="BD496" i="5"/>
  <c r="BD439" i="5"/>
  <c r="BE439" i="5"/>
  <c r="BE507" i="5"/>
  <c r="BD507" i="5"/>
  <c r="BE44" i="5"/>
  <c r="BD44" i="5"/>
  <c r="BE26" i="5"/>
  <c r="BD26" i="5"/>
  <c r="BD94" i="5"/>
  <c r="BE94" i="5"/>
  <c r="BE143" i="5"/>
  <c r="BD143" i="5"/>
  <c r="BE112" i="5"/>
  <c r="BD112" i="5"/>
  <c r="BE214" i="5"/>
  <c r="BD214" i="5"/>
  <c r="BE315" i="5"/>
  <c r="BD315" i="5"/>
  <c r="BD285" i="5"/>
  <c r="BE285" i="5"/>
  <c r="BD326" i="5"/>
  <c r="BE326" i="5"/>
  <c r="BE350" i="5"/>
  <c r="BD350" i="5"/>
  <c r="BE443" i="5"/>
  <c r="BD443" i="5"/>
  <c r="BE485" i="5"/>
  <c r="BD485" i="5"/>
  <c r="BE476" i="5"/>
  <c r="BD476" i="5"/>
  <c r="BE389" i="5"/>
  <c r="BD389" i="5"/>
  <c r="BD529" i="5"/>
  <c r="BE529" i="5"/>
  <c r="BD279" i="5"/>
  <c r="BE279" i="5"/>
  <c r="BE545" i="5"/>
  <c r="BD545" i="5"/>
  <c r="BD32" i="5"/>
  <c r="BE32" i="5"/>
  <c r="BE68" i="5"/>
  <c r="BD68" i="5"/>
  <c r="BE107" i="5"/>
  <c r="BD107" i="5"/>
  <c r="BD106" i="5"/>
  <c r="BE106" i="5"/>
  <c r="BE125" i="5"/>
  <c r="BD125" i="5"/>
  <c r="BD206" i="5"/>
  <c r="BE206" i="5"/>
  <c r="BD263" i="5"/>
  <c r="BE263" i="5"/>
  <c r="BE253" i="5"/>
  <c r="BD253" i="5"/>
  <c r="BE411" i="5"/>
  <c r="BD411" i="5"/>
  <c r="BE427" i="5"/>
  <c r="BD427" i="5"/>
  <c r="BD408" i="5"/>
  <c r="BE408" i="5"/>
  <c r="BD468" i="5"/>
  <c r="BE468" i="5"/>
  <c r="BD537" i="5"/>
  <c r="BE537" i="5"/>
  <c r="V476" i="5"/>
  <c r="U476" i="5"/>
  <c r="U397" i="5"/>
  <c r="V397" i="5"/>
  <c r="V553" i="5"/>
  <c r="U553" i="5"/>
  <c r="U527" i="5"/>
  <c r="V527" i="5"/>
  <c r="V541" i="5"/>
  <c r="U541" i="5"/>
  <c r="U484" i="5"/>
  <c r="V484" i="5"/>
  <c r="U346" i="5"/>
  <c r="V346" i="5"/>
  <c r="U495" i="5"/>
  <c r="V495" i="5"/>
  <c r="V487" i="5"/>
  <c r="U487" i="5"/>
  <c r="U446" i="5"/>
  <c r="V446" i="5"/>
  <c r="V374" i="5"/>
  <c r="U374" i="5"/>
  <c r="U333" i="5"/>
  <c r="V333" i="5"/>
  <c r="U496" i="5"/>
  <c r="V496" i="5"/>
  <c r="U475" i="5"/>
  <c r="V475" i="5"/>
  <c r="U431" i="5"/>
  <c r="V431" i="5"/>
  <c r="U508" i="5"/>
  <c r="V508" i="5"/>
  <c r="V494" i="5"/>
  <c r="U494" i="5"/>
  <c r="V441" i="5"/>
  <c r="U441" i="5"/>
  <c r="U384" i="5"/>
  <c r="V384" i="5"/>
  <c r="U392" i="5"/>
  <c r="V392" i="5"/>
  <c r="V340" i="5"/>
  <c r="U340" i="5"/>
  <c r="U275" i="5"/>
  <c r="V275" i="5"/>
  <c r="U385" i="5"/>
  <c r="V385" i="5"/>
  <c r="U372" i="5"/>
  <c r="V372" i="5"/>
  <c r="U424" i="5"/>
  <c r="V424" i="5"/>
  <c r="V378" i="5"/>
  <c r="U378" i="5"/>
  <c r="V362" i="5"/>
  <c r="U362" i="5"/>
  <c r="U280" i="5"/>
  <c r="V280" i="5"/>
  <c r="U354" i="5"/>
  <c r="V354" i="5"/>
  <c r="V300" i="5"/>
  <c r="U300" i="5"/>
  <c r="U259" i="5"/>
  <c r="V259" i="5"/>
  <c r="U231" i="5"/>
  <c r="V231" i="5"/>
  <c r="V292" i="5"/>
  <c r="U292" i="5"/>
  <c r="U276" i="5"/>
  <c r="V276" i="5"/>
  <c r="V318" i="5"/>
  <c r="U318" i="5"/>
  <c r="V273" i="5"/>
  <c r="U273" i="5"/>
  <c r="U176" i="5"/>
  <c r="V176" i="5"/>
  <c r="U235" i="5"/>
  <c r="V235" i="5"/>
  <c r="V174" i="5"/>
  <c r="U174" i="5"/>
  <c r="U242" i="5"/>
  <c r="V242" i="5"/>
  <c r="U150" i="5"/>
  <c r="V150" i="5"/>
  <c r="U211" i="5"/>
  <c r="V211" i="5"/>
  <c r="U203" i="5"/>
  <c r="V203" i="5"/>
  <c r="U190" i="5"/>
  <c r="V190" i="5"/>
  <c r="U79" i="5"/>
  <c r="V79" i="5"/>
  <c r="V181" i="5"/>
  <c r="U181" i="5"/>
  <c r="V171" i="5"/>
  <c r="U171" i="5"/>
  <c r="U130" i="5"/>
  <c r="V130" i="5"/>
  <c r="U131" i="5"/>
  <c r="V131" i="5"/>
  <c r="U117" i="5"/>
  <c r="V117" i="5"/>
  <c r="U136" i="5"/>
  <c r="V136" i="5"/>
  <c r="U121" i="5"/>
  <c r="V121" i="5"/>
  <c r="U83" i="5"/>
  <c r="V83" i="5"/>
  <c r="U82" i="5"/>
  <c r="V82" i="5"/>
  <c r="U76" i="5"/>
  <c r="V76" i="5"/>
  <c r="V63" i="5"/>
  <c r="U63" i="5"/>
  <c r="U30" i="5"/>
  <c r="V30" i="5"/>
  <c r="U64" i="5"/>
  <c r="V64" i="5"/>
  <c r="U22" i="5"/>
  <c r="V22" i="5"/>
  <c r="V38" i="5"/>
  <c r="U38" i="5"/>
  <c r="BD492" i="5"/>
  <c r="BE492" i="5"/>
  <c r="BD444" i="5"/>
  <c r="BE444" i="5"/>
  <c r="BE87" i="5"/>
  <c r="BD87" i="5"/>
  <c r="BE115" i="5"/>
  <c r="BD115" i="5"/>
  <c r="BE109" i="5"/>
  <c r="BD109" i="5"/>
  <c r="BE172" i="5"/>
  <c r="BD172" i="5"/>
  <c r="BE234" i="5"/>
  <c r="BD234" i="5"/>
  <c r="BE265" i="5"/>
  <c r="BD265" i="5"/>
  <c r="BE327" i="5"/>
  <c r="BD327" i="5"/>
  <c r="BE307" i="5"/>
  <c r="BD307" i="5"/>
  <c r="BD394" i="5"/>
  <c r="BE394" i="5"/>
  <c r="BD367" i="5"/>
  <c r="BE367" i="5"/>
  <c r="BD414" i="5"/>
  <c r="BE414" i="5"/>
  <c r="BE302" i="5"/>
  <c r="BD302" i="5"/>
  <c r="BE551" i="5"/>
  <c r="BD551" i="5"/>
  <c r="BE413" i="5"/>
  <c r="BD413" i="5"/>
  <c r="BE38" i="5"/>
  <c r="BD38" i="5"/>
  <c r="BD23" i="5"/>
  <c r="BE23" i="5"/>
  <c r="BD69" i="5"/>
  <c r="BE69" i="5"/>
  <c r="BE153" i="5"/>
  <c r="BD153" i="5"/>
  <c r="BD175" i="5"/>
  <c r="BE175" i="5"/>
  <c r="BE229" i="5"/>
  <c r="BD229" i="5"/>
  <c r="BE301" i="5"/>
  <c r="BD301" i="5"/>
  <c r="BD313" i="5"/>
  <c r="BE313" i="5"/>
  <c r="BD341" i="5"/>
  <c r="BE341" i="5"/>
  <c r="BE487" i="5"/>
  <c r="BD487" i="5"/>
  <c r="BD516" i="5"/>
  <c r="BE516" i="5"/>
  <c r="BD380" i="5"/>
  <c r="BE380" i="5"/>
  <c r="BE426" i="5"/>
  <c r="BD426" i="5"/>
  <c r="BD81" i="5"/>
  <c r="BE81" i="5"/>
  <c r="BD146" i="5"/>
  <c r="BE146" i="5"/>
  <c r="BE184" i="5"/>
  <c r="BD184" i="5"/>
  <c r="BD201" i="5"/>
  <c r="BE201" i="5"/>
  <c r="BE235" i="5"/>
  <c r="BD235" i="5"/>
  <c r="BD258" i="5"/>
  <c r="BE258" i="5"/>
  <c r="BD290" i="5"/>
  <c r="BE290" i="5"/>
  <c r="BD398" i="5"/>
  <c r="BE398" i="5"/>
  <c r="BD383" i="5"/>
  <c r="BE383" i="5"/>
  <c r="BD384" i="5"/>
  <c r="BE384" i="5"/>
  <c r="BE363" i="5"/>
  <c r="BD363" i="5"/>
  <c r="BD557" i="5"/>
  <c r="BE557" i="5"/>
  <c r="BD535" i="5"/>
  <c r="BE535" i="5"/>
  <c r="BE527" i="5"/>
  <c r="BD527" i="5"/>
  <c r="BE193" i="5"/>
  <c r="BD193" i="5"/>
  <c r="BD473" i="5"/>
  <c r="BE473" i="5"/>
  <c r="BE40" i="5"/>
  <c r="BD40" i="5"/>
  <c r="BD73" i="5"/>
  <c r="BE73" i="5"/>
  <c r="BE98" i="5"/>
  <c r="BD98" i="5"/>
  <c r="BE151" i="5"/>
  <c r="BD151" i="5"/>
  <c r="BD95" i="5"/>
  <c r="BE95" i="5"/>
  <c r="BE247" i="5"/>
  <c r="BD247" i="5"/>
  <c r="BD228" i="5"/>
  <c r="BE228" i="5"/>
  <c r="BE303" i="5"/>
  <c r="BD303" i="5"/>
  <c r="BD415" i="5"/>
  <c r="BE415" i="5"/>
  <c r="BD407" i="5"/>
  <c r="BE407" i="5"/>
  <c r="BE385" i="5"/>
  <c r="BD385" i="5"/>
  <c r="BD489" i="5"/>
  <c r="BE489" i="5"/>
  <c r="BD472" i="5"/>
  <c r="BE472" i="5"/>
  <c r="BD440" i="5"/>
  <c r="BE440" i="5"/>
  <c r="U502" i="5"/>
  <c r="V502" i="5"/>
  <c r="V535" i="5"/>
  <c r="U535" i="5"/>
  <c r="U440" i="5"/>
  <c r="V440" i="5"/>
  <c r="U490" i="5"/>
  <c r="V490" i="5"/>
  <c r="V554" i="5"/>
  <c r="U554" i="5"/>
  <c r="U536" i="5"/>
  <c r="V536" i="5"/>
  <c r="V557" i="5"/>
  <c r="U557" i="5"/>
  <c r="U526" i="5"/>
  <c r="V526" i="5"/>
  <c r="U470" i="5"/>
  <c r="V470" i="5"/>
  <c r="U439" i="5"/>
  <c r="V439" i="5"/>
  <c r="U398" i="5"/>
  <c r="V398" i="5"/>
  <c r="U512" i="5"/>
  <c r="V512" i="5"/>
  <c r="U485" i="5"/>
  <c r="V485" i="5"/>
  <c r="U453" i="5"/>
  <c r="V453" i="5"/>
  <c r="U516" i="5"/>
  <c r="V516" i="5"/>
  <c r="V507" i="5"/>
  <c r="U507" i="5"/>
  <c r="U448" i="5"/>
  <c r="V448" i="5"/>
  <c r="V373" i="5"/>
  <c r="U373" i="5"/>
  <c r="BD67" i="5"/>
  <c r="BE67" i="5"/>
  <c r="BE72" i="5"/>
  <c r="BD72" i="5"/>
  <c r="BD105" i="5"/>
  <c r="BE105" i="5"/>
  <c r="BD148" i="5"/>
  <c r="BE148" i="5"/>
  <c r="BD169" i="5"/>
  <c r="BE169" i="5"/>
  <c r="BE185" i="5"/>
  <c r="BD185" i="5"/>
  <c r="BD216" i="5"/>
  <c r="BE216" i="5"/>
  <c r="BD222" i="5"/>
  <c r="BE222" i="5"/>
  <c r="BE287" i="5"/>
  <c r="BD287" i="5"/>
  <c r="BD332" i="5"/>
  <c r="BE332" i="5"/>
  <c r="BD278" i="5"/>
  <c r="BE278" i="5"/>
  <c r="BD289" i="5"/>
  <c r="BE289" i="5"/>
  <c r="BD348" i="5"/>
  <c r="BE348" i="5"/>
  <c r="BD382" i="5"/>
  <c r="BE382" i="5"/>
  <c r="BE387" i="5"/>
  <c r="BD387" i="5"/>
  <c r="BD305" i="5"/>
  <c r="BE305" i="5"/>
  <c r="BD513" i="5"/>
  <c r="BE513" i="5"/>
  <c r="BD517" i="5"/>
  <c r="BE517" i="5"/>
  <c r="BE477" i="5"/>
  <c r="BD477" i="5"/>
  <c r="BD549" i="5"/>
  <c r="BE549" i="5"/>
  <c r="BD519" i="5"/>
  <c r="BE519" i="5"/>
  <c r="BD470" i="5"/>
  <c r="BE470" i="5"/>
  <c r="BE128" i="5"/>
  <c r="BD128" i="5"/>
  <c r="BE548" i="5"/>
  <c r="BD548" i="5"/>
  <c r="BD343" i="5"/>
  <c r="BE343" i="5"/>
  <c r="BE61" i="5"/>
  <c r="BD61" i="5"/>
  <c r="BD74" i="5"/>
  <c r="BE74" i="5"/>
  <c r="BD124" i="5"/>
  <c r="BE124" i="5"/>
  <c r="BD137" i="5"/>
  <c r="BE137" i="5"/>
  <c r="BD170" i="5"/>
  <c r="BE170" i="5"/>
  <c r="BE186" i="5"/>
  <c r="BD186" i="5"/>
  <c r="BE242" i="5"/>
  <c r="BD242" i="5"/>
  <c r="BD236" i="5"/>
  <c r="BE236" i="5"/>
  <c r="BD293" i="5"/>
  <c r="BE293" i="5"/>
  <c r="BD325" i="5"/>
  <c r="BE325" i="5"/>
  <c r="BD310" i="5"/>
  <c r="BE310" i="5"/>
  <c r="BD400" i="5"/>
  <c r="BE400" i="5"/>
  <c r="BD329" i="5"/>
  <c r="BE329" i="5"/>
  <c r="BE168" i="5"/>
  <c r="BD168" i="5"/>
  <c r="BD445" i="5"/>
  <c r="BE445" i="5"/>
  <c r="BE514" i="5"/>
  <c r="BD514" i="5"/>
  <c r="BE30" i="5"/>
  <c r="BD30" i="5"/>
  <c r="BE28" i="5"/>
  <c r="BD28" i="5"/>
  <c r="BD36" i="5"/>
  <c r="BE36" i="5"/>
  <c r="BE48" i="5"/>
  <c r="BD48" i="5"/>
  <c r="BE56" i="5"/>
  <c r="BD56" i="5"/>
  <c r="BD97" i="5"/>
  <c r="BE97" i="5"/>
  <c r="BE113" i="5"/>
  <c r="BD113" i="5"/>
  <c r="BE104" i="5"/>
  <c r="BD104" i="5"/>
  <c r="BE99" i="5"/>
  <c r="BD99" i="5"/>
  <c r="BD134" i="5"/>
  <c r="BE134" i="5"/>
  <c r="BE158" i="5"/>
  <c r="BD158" i="5"/>
  <c r="BE149" i="5"/>
  <c r="BD149" i="5"/>
  <c r="BE162" i="5"/>
  <c r="BD162" i="5"/>
  <c r="BE192" i="5"/>
  <c r="BD192" i="5"/>
  <c r="BE212" i="5"/>
  <c r="BD212" i="5"/>
  <c r="BD252" i="5"/>
  <c r="BE252" i="5"/>
  <c r="BD264" i="5"/>
  <c r="BE264" i="5"/>
  <c r="BD300" i="5"/>
  <c r="BE300" i="5"/>
  <c r="BD338" i="5"/>
  <c r="BE338" i="5"/>
  <c r="BD424" i="5"/>
  <c r="BE424" i="5"/>
  <c r="BD437" i="5"/>
  <c r="BE437" i="5"/>
  <c r="BE355" i="5"/>
  <c r="BD355" i="5"/>
  <c r="BD202" i="5"/>
  <c r="BE202" i="5"/>
  <c r="BD351" i="5"/>
  <c r="BE351" i="5"/>
  <c r="BD361" i="5"/>
  <c r="BE361" i="5"/>
  <c r="BD404" i="5"/>
  <c r="BE404" i="5"/>
  <c r="BD294" i="5"/>
  <c r="BE294" i="5"/>
  <c r="BD497" i="5"/>
  <c r="BE497" i="5"/>
  <c r="BD462" i="5"/>
  <c r="BE462" i="5"/>
  <c r="BD531" i="5"/>
  <c r="BE531" i="5"/>
  <c r="BD506" i="5"/>
  <c r="BE506" i="5"/>
  <c r="BD455" i="5"/>
  <c r="BE455" i="5"/>
  <c r="BD560" i="5"/>
  <c r="BE560" i="5"/>
  <c r="Q21" i="5"/>
  <c r="Q26" i="5"/>
  <c r="Q31" i="5"/>
  <c r="Q32" i="5"/>
  <c r="Q39" i="5"/>
  <c r="Q42" i="5"/>
  <c r="Q45" i="5"/>
  <c r="Q47" i="5"/>
  <c r="Q49" i="5"/>
  <c r="Q20" i="5"/>
  <c r="Q22" i="5"/>
  <c r="Q23" i="5"/>
  <c r="Q34" i="5"/>
  <c r="Q36" i="5"/>
  <c r="Q40" i="5"/>
  <c r="Q43" i="5"/>
  <c r="Q25" i="5"/>
  <c r="Q29" i="5"/>
  <c r="Q30" i="5"/>
  <c r="Q33" i="5"/>
  <c r="Q35" i="5"/>
  <c r="Q37" i="5"/>
  <c r="Q41" i="5"/>
  <c r="Q46" i="5"/>
  <c r="Q50" i="5"/>
  <c r="Q52" i="5"/>
  <c r="Q24" i="5"/>
  <c r="Q27" i="5"/>
  <c r="Q48" i="5"/>
  <c r="Q51" i="5"/>
  <c r="Q56" i="5"/>
  <c r="Q59" i="5"/>
  <c r="Q62" i="5"/>
  <c r="Q67" i="5"/>
  <c r="Q72" i="5"/>
  <c r="Q38" i="5"/>
  <c r="Q54" i="5"/>
  <c r="Q55" i="5"/>
  <c r="Q58" i="5"/>
  <c r="Q60" i="5"/>
  <c r="Q63" i="5"/>
  <c r="Q66" i="5"/>
  <c r="Q57" i="5"/>
  <c r="Q61" i="5"/>
  <c r="Q68" i="5"/>
  <c r="Q69" i="5"/>
  <c r="Q65" i="5"/>
  <c r="Q70" i="5"/>
  <c r="Q74" i="5"/>
  <c r="Q78" i="5"/>
  <c r="Q81" i="5"/>
  <c r="Q28" i="5"/>
  <c r="Q64" i="5"/>
  <c r="Q73" i="5"/>
  <c r="Q71" i="5"/>
  <c r="Q75" i="5"/>
  <c r="Q77" i="5"/>
  <c r="Q79" i="5"/>
  <c r="Q84" i="5"/>
  <c r="Q91" i="5"/>
  <c r="Q76" i="5"/>
  <c r="Q80" i="5"/>
  <c r="Q86" i="5"/>
  <c r="Q95" i="5"/>
  <c r="Q85" i="5"/>
  <c r="Q87" i="5"/>
  <c r="Q88" i="5"/>
  <c r="Q90" i="5"/>
  <c r="Q93" i="5"/>
  <c r="Q104" i="5"/>
  <c r="Q110" i="5"/>
  <c r="Q111" i="5"/>
  <c r="Q44" i="5"/>
  <c r="Q82" i="5"/>
  <c r="Q94" i="5"/>
  <c r="Q103" i="5"/>
  <c r="Q106" i="5"/>
  <c r="Q109" i="5"/>
  <c r="Q89" i="5"/>
  <c r="Q99" i="5"/>
  <c r="Q108" i="5"/>
  <c r="Q116" i="5"/>
  <c r="Q117" i="5"/>
  <c r="Q119" i="5"/>
  <c r="Q123" i="5"/>
  <c r="Q131" i="5"/>
  <c r="Q133" i="5"/>
  <c r="Q135" i="5"/>
  <c r="Q137" i="5"/>
  <c r="Q142" i="5"/>
  <c r="Q144" i="5"/>
  <c r="Q151" i="5"/>
  <c r="Q153" i="5"/>
  <c r="Q154" i="5"/>
  <c r="Q158" i="5"/>
  <c r="Q160" i="5"/>
  <c r="Q53" i="5"/>
  <c r="Q98" i="5"/>
  <c r="Q100" i="5"/>
  <c r="Q114" i="5"/>
  <c r="Q120" i="5"/>
  <c r="Q125" i="5"/>
  <c r="Q128" i="5"/>
  <c r="Q138" i="5"/>
  <c r="Q140" i="5"/>
  <c r="Q143" i="5"/>
  <c r="Q146" i="5"/>
  <c r="Q149" i="5"/>
  <c r="Q157" i="5"/>
  <c r="Q159" i="5"/>
  <c r="Q83" i="5"/>
  <c r="Q96" i="5"/>
  <c r="Q102" i="5"/>
  <c r="Q105" i="5"/>
  <c r="Q112" i="5"/>
  <c r="Q113" i="5"/>
  <c r="Q118" i="5"/>
  <c r="Q121" i="5"/>
  <c r="Q124" i="5"/>
  <c r="Q126" i="5"/>
  <c r="Q127" i="5"/>
  <c r="Q129" i="5"/>
  <c r="Q134" i="5"/>
  <c r="Q136" i="5"/>
  <c r="Q139" i="5"/>
  <c r="Q147" i="5"/>
  <c r="Q148" i="5"/>
  <c r="Q150" i="5"/>
  <c r="Q155" i="5"/>
  <c r="Q156" i="5"/>
  <c r="Q92" i="5"/>
  <c r="Q115" i="5"/>
  <c r="Q122" i="5"/>
  <c r="Q152" i="5"/>
  <c r="Q163" i="5"/>
  <c r="Q169" i="5"/>
  <c r="Q174" i="5"/>
  <c r="Q184" i="5"/>
  <c r="Q188" i="5"/>
  <c r="Q130" i="5"/>
  <c r="Q145" i="5"/>
  <c r="Q161" i="5"/>
  <c r="Q162" i="5"/>
  <c r="Q166" i="5"/>
  <c r="Q172" i="5"/>
  <c r="Q175" i="5"/>
  <c r="Q179" i="5"/>
  <c r="Q180" i="5"/>
  <c r="Q183" i="5"/>
  <c r="Q185" i="5"/>
  <c r="Q132" i="5"/>
  <c r="Q164" i="5"/>
  <c r="Q168" i="5"/>
  <c r="Q170" i="5"/>
  <c r="Q176" i="5"/>
  <c r="Q178" i="5"/>
  <c r="Q182" i="5"/>
  <c r="Q200" i="5"/>
  <c r="Q202" i="5"/>
  <c r="Q207" i="5"/>
  <c r="Q208" i="5"/>
  <c r="Q181" i="5"/>
  <c r="Q190" i="5"/>
  <c r="Q193" i="5"/>
  <c r="Q198" i="5"/>
  <c r="Q199" i="5"/>
  <c r="Q201" i="5"/>
  <c r="Q216" i="5"/>
  <c r="Q232" i="5"/>
  <c r="Q235" i="5"/>
  <c r="Q236" i="5"/>
  <c r="Q238" i="5"/>
  <c r="Q241" i="5"/>
  <c r="Q250" i="5"/>
  <c r="Q251" i="5"/>
  <c r="Q107" i="5"/>
  <c r="Q177" i="5"/>
  <c r="Q186" i="5"/>
  <c r="Q189" i="5"/>
  <c r="Q191" i="5"/>
  <c r="Q192" i="5"/>
  <c r="Q194" i="5"/>
  <c r="Q210" i="5"/>
  <c r="Q219" i="5"/>
  <c r="Q221" i="5"/>
  <c r="Q225" i="5"/>
  <c r="Q228" i="5"/>
  <c r="Q230" i="5"/>
  <c r="Q233" i="5"/>
  <c r="Q240" i="5"/>
  <c r="Q97" i="5"/>
  <c r="Q165" i="5"/>
  <c r="Q171" i="5"/>
  <c r="Q195" i="5"/>
  <c r="Q204" i="5"/>
  <c r="Q205" i="5"/>
  <c r="Q206" i="5"/>
  <c r="Q209" i="5"/>
  <c r="Q214" i="5"/>
  <c r="Q217" i="5"/>
  <c r="Q222" i="5"/>
  <c r="Q224" i="5"/>
  <c r="Q226" i="5"/>
  <c r="Q231" i="5"/>
  <c r="Q234" i="5"/>
  <c r="Q237" i="5"/>
  <c r="Q242" i="5"/>
  <c r="Q244" i="5"/>
  <c r="Q101" i="5"/>
  <c r="Q187" i="5"/>
  <c r="Q203" i="5"/>
  <c r="Q213" i="5"/>
  <c r="Q227" i="5"/>
  <c r="Q246" i="5"/>
  <c r="Q256" i="5"/>
  <c r="Q258" i="5"/>
  <c r="Q264" i="5"/>
  <c r="Q266" i="5"/>
  <c r="Q269" i="5"/>
  <c r="Q276" i="5"/>
  <c r="Q284" i="5"/>
  <c r="Q288" i="5"/>
  <c r="Q291" i="5"/>
  <c r="Q292" i="5"/>
  <c r="Q299" i="5"/>
  <c r="Q302" i="5"/>
  <c r="Q311" i="5"/>
  <c r="Q313" i="5"/>
  <c r="Q316" i="5"/>
  <c r="Q323" i="5"/>
  <c r="Q325" i="5"/>
  <c r="Q328" i="5"/>
  <c r="Q331" i="5"/>
  <c r="Q333" i="5"/>
  <c r="Q196" i="5"/>
  <c r="Q212" i="5"/>
  <c r="Q215" i="5"/>
  <c r="Q218" i="5"/>
  <c r="Q229" i="5"/>
  <c r="Q247" i="5"/>
  <c r="Q253" i="5"/>
  <c r="Q255" i="5"/>
  <c r="Q259" i="5"/>
  <c r="Q261" i="5"/>
  <c r="Q271" i="5"/>
  <c r="Q281" i="5"/>
  <c r="Q285" i="5"/>
  <c r="Q290" i="5"/>
  <c r="Q293" i="5"/>
  <c r="Q296" i="5"/>
  <c r="Q298" i="5"/>
  <c r="Q300" i="5"/>
  <c r="Q303" i="5"/>
  <c r="Q305" i="5"/>
  <c r="Q307" i="5"/>
  <c r="Q310" i="5"/>
  <c r="Q320" i="5"/>
  <c r="Q321" i="5"/>
  <c r="Q326" i="5"/>
  <c r="Q330" i="5"/>
  <c r="Q141" i="5"/>
  <c r="Q167" i="5"/>
  <c r="Q173" i="5"/>
  <c r="Q211" i="5"/>
  <c r="Q220" i="5"/>
  <c r="Q223" i="5"/>
  <c r="Q239" i="5"/>
  <c r="Q243" i="5"/>
  <c r="Q248" i="5"/>
  <c r="Q260" i="5"/>
  <c r="Q262" i="5"/>
  <c r="Q265" i="5"/>
  <c r="Q267" i="5"/>
  <c r="Q272" i="5"/>
  <c r="Q274" i="5"/>
  <c r="Q275" i="5"/>
  <c r="Q277" i="5"/>
  <c r="Q278" i="5"/>
  <c r="Q280" i="5"/>
  <c r="Q283" i="5"/>
  <c r="Q286" i="5"/>
  <c r="Q287" i="5"/>
  <c r="Q294" i="5"/>
  <c r="Q297" i="5"/>
  <c r="Q304" i="5"/>
  <c r="Q309" i="5"/>
  <c r="Q312" i="5"/>
  <c r="Q315" i="5"/>
  <c r="Q317" i="5"/>
  <c r="Q319" i="5"/>
  <c r="Q324" i="5"/>
  <c r="Q329" i="5"/>
  <c r="Q336" i="5"/>
  <c r="Q339" i="5"/>
  <c r="Q341" i="5"/>
  <c r="Q346" i="5"/>
  <c r="Q348" i="5"/>
  <c r="Q350" i="5"/>
  <c r="Q352" i="5"/>
  <c r="Q357" i="5"/>
  <c r="Q360" i="5"/>
  <c r="Q254" i="5"/>
  <c r="Q257" i="5"/>
  <c r="Q273" i="5"/>
  <c r="Q289" i="5"/>
  <c r="Q295" i="5"/>
  <c r="Q306" i="5"/>
  <c r="Q332" i="5"/>
  <c r="Q334" i="5"/>
  <c r="Q355" i="5"/>
  <c r="Q356" i="5"/>
  <c r="Q371" i="5"/>
  <c r="Q372" i="5"/>
  <c r="Q375" i="5"/>
  <c r="Q376" i="5"/>
  <c r="Q380" i="5"/>
  <c r="Q385" i="5"/>
  <c r="Q386" i="5"/>
  <c r="Q389" i="5"/>
  <c r="Q391" i="5"/>
  <c r="Q396" i="5"/>
  <c r="Q407" i="5"/>
  <c r="Q409" i="5"/>
  <c r="Q411" i="5"/>
  <c r="Q418" i="5"/>
  <c r="Q423" i="5"/>
  <c r="Q428" i="5"/>
  <c r="Q431" i="5"/>
  <c r="Q438" i="5"/>
  <c r="Q439" i="5"/>
  <c r="Q440" i="5"/>
  <c r="Q441" i="5"/>
  <c r="Q442" i="5"/>
  <c r="Q245" i="5"/>
  <c r="Q249" i="5"/>
  <c r="Q270" i="5"/>
  <c r="Q279" i="5"/>
  <c r="Q282" i="5"/>
  <c r="Q308" i="5"/>
  <c r="Q314" i="5"/>
  <c r="Q340" i="5"/>
  <c r="Q343" i="5"/>
  <c r="Q349" i="5"/>
  <c r="Q353" i="5"/>
  <c r="Q354" i="5"/>
  <c r="Q361" i="5"/>
  <c r="Q363" i="5"/>
  <c r="Q365" i="5"/>
  <c r="Q373" i="5"/>
  <c r="Q379" i="5"/>
  <c r="Q382" i="5"/>
  <c r="Q383" i="5"/>
  <c r="Q388" i="5"/>
  <c r="Q392" i="5"/>
  <c r="Q399" i="5"/>
  <c r="Q402" i="5"/>
  <c r="Q404" i="5"/>
  <c r="Q408" i="5"/>
  <c r="Q413" i="5"/>
  <c r="Q414" i="5"/>
  <c r="Q417" i="5"/>
  <c r="Q419" i="5"/>
  <c r="Q263" i="5"/>
  <c r="Q322" i="5"/>
  <c r="Q327" i="5"/>
  <c r="Q338" i="5"/>
  <c r="Q344" i="5"/>
  <c r="Q347" i="5"/>
  <c r="Q351" i="5"/>
  <c r="Q358" i="5"/>
  <c r="Q367" i="5"/>
  <c r="Q368" i="5"/>
  <c r="Q370" i="5"/>
  <c r="Q374" i="5"/>
  <c r="Q377" i="5"/>
  <c r="Q384" i="5"/>
  <c r="Q394" i="5"/>
  <c r="Q395" i="5"/>
  <c r="Q397" i="5"/>
  <c r="Q398" i="5"/>
  <c r="Q401" i="5"/>
  <c r="Q405" i="5"/>
  <c r="Q406" i="5"/>
  <c r="Q412" i="5"/>
  <c r="Q415" i="5"/>
  <c r="Q416" i="5"/>
  <c r="Q421" i="5"/>
  <c r="Q318" i="5"/>
  <c r="Q359" i="5"/>
  <c r="Q366" i="5"/>
  <c r="Q378" i="5"/>
  <c r="Q381" i="5"/>
  <c r="Q387" i="5"/>
  <c r="Q390" i="5"/>
  <c r="Q393" i="5"/>
  <c r="Q433" i="5"/>
  <c r="Q453" i="5"/>
  <c r="Q454" i="5"/>
  <c r="Q455" i="5"/>
  <c r="Q456" i="5"/>
  <c r="Q461" i="5"/>
  <c r="Q462" i="5"/>
  <c r="Q463" i="5"/>
  <c r="Q464" i="5"/>
  <c r="Q468" i="5"/>
  <c r="Q471" i="5"/>
  <c r="Q473" i="5"/>
  <c r="Q474" i="5"/>
  <c r="Q475" i="5"/>
  <c r="Q480" i="5"/>
  <c r="Q483" i="5"/>
  <c r="Q485" i="5"/>
  <c r="Q496" i="5"/>
  <c r="Q500" i="5"/>
  <c r="Q501" i="5"/>
  <c r="Q503" i="5"/>
  <c r="Q504" i="5"/>
  <c r="Q511" i="5"/>
  <c r="Q512" i="5"/>
  <c r="Q517" i="5"/>
  <c r="Q519" i="5"/>
  <c r="Q521" i="5"/>
  <c r="Q523" i="5"/>
  <c r="Q524" i="5"/>
  <c r="Q526" i="5"/>
  <c r="Q527" i="5"/>
  <c r="Q252" i="5"/>
  <c r="Q301" i="5"/>
  <c r="Q335" i="5"/>
  <c r="Q337" i="5"/>
  <c r="Q345" i="5"/>
  <c r="Q369" i="5"/>
  <c r="Q410" i="5"/>
  <c r="Q420" i="5"/>
  <c r="Q422" i="5"/>
  <c r="Q425" i="5"/>
  <c r="Q434" i="5"/>
  <c r="Q435" i="5"/>
  <c r="Q436" i="5"/>
  <c r="Q446" i="5"/>
  <c r="Q452" i="5"/>
  <c r="Q457" i="5"/>
  <c r="Q467" i="5"/>
  <c r="Q469" i="5"/>
  <c r="Q470" i="5"/>
  <c r="Q477" i="5"/>
  <c r="Q482" i="5"/>
  <c r="Q486" i="5"/>
  <c r="Q487" i="5"/>
  <c r="Q488" i="5"/>
  <c r="Q489" i="5"/>
  <c r="Q490" i="5"/>
  <c r="Q492" i="5"/>
  <c r="Q493" i="5"/>
  <c r="Q495" i="5"/>
  <c r="Q506" i="5"/>
  <c r="Q510" i="5"/>
  <c r="Q514" i="5"/>
  <c r="Q520" i="5"/>
  <c r="Q197" i="5"/>
  <c r="Q342" i="5"/>
  <c r="Q362" i="5"/>
  <c r="Q424" i="5"/>
  <c r="Q426" i="5"/>
  <c r="Q437" i="5"/>
  <c r="Q444" i="5"/>
  <c r="Q445" i="5"/>
  <c r="Q449" i="5"/>
  <c r="Q450" i="5"/>
  <c r="Q465" i="5"/>
  <c r="Q476" i="5"/>
  <c r="Q479" i="5"/>
  <c r="Q484" i="5"/>
  <c r="Q494" i="5"/>
  <c r="Q497" i="5"/>
  <c r="Q502" i="5"/>
  <c r="Q509" i="5"/>
  <c r="Q518" i="5"/>
  <c r="Q528" i="5"/>
  <c r="Q529" i="5"/>
  <c r="Q530" i="5"/>
  <c r="Q535" i="5"/>
  <c r="Q536" i="5"/>
  <c r="Q537" i="5"/>
  <c r="Q541" i="5"/>
  <c r="Q542" i="5"/>
  <c r="Q543" i="5"/>
  <c r="Q545" i="5"/>
  <c r="Q546" i="5"/>
  <c r="Q548" i="5"/>
  <c r="Q553" i="5"/>
  <c r="Q559" i="5"/>
  <c r="Q268" i="5"/>
  <c r="Q447" i="5"/>
  <c r="Q451" i="5"/>
  <c r="Q478" i="5"/>
  <c r="Q481" i="5"/>
  <c r="Q491" i="5"/>
  <c r="Q498" i="5"/>
  <c r="Q508" i="5"/>
  <c r="Q515" i="5"/>
  <c r="Q532" i="5"/>
  <c r="Q547" i="5"/>
  <c r="Q551" i="5"/>
  <c r="Q552" i="5"/>
  <c r="Q555" i="5"/>
  <c r="Q550" i="5"/>
  <c r="Q364" i="5"/>
  <c r="Q400" i="5"/>
  <c r="Q430" i="5"/>
  <c r="Q432" i="5"/>
  <c r="Q443" i="5"/>
  <c r="Q460" i="5"/>
  <c r="Q507" i="5"/>
  <c r="Q522" i="5"/>
  <c r="Q538" i="5"/>
  <c r="Q549" i="5"/>
  <c r="Q558" i="5"/>
  <c r="Q560" i="5"/>
  <c r="Q554" i="5"/>
  <c r="Q557" i="5"/>
  <c r="Q459" i="5"/>
  <c r="Q466" i="5"/>
  <c r="Q513" i="5"/>
  <c r="Q525" i="5"/>
  <c r="Q533" i="5"/>
  <c r="Q544" i="5"/>
  <c r="Q556" i="5"/>
  <c r="Q403" i="5"/>
  <c r="Q427" i="5"/>
  <c r="Q429" i="5"/>
  <c r="Q448" i="5"/>
  <c r="Q458" i="5"/>
  <c r="Q472" i="5"/>
  <c r="Q499" i="5"/>
  <c r="Q505" i="5"/>
  <c r="Q516" i="5"/>
  <c r="Q531" i="5"/>
  <c r="Q534" i="5"/>
  <c r="Q539" i="5"/>
  <c r="Q540" i="5"/>
  <c r="Q19" i="5"/>
  <c r="BD50" i="5"/>
  <c r="BE50" i="5"/>
  <c r="BD59" i="5"/>
  <c r="BE59" i="5"/>
  <c r="BE80" i="5"/>
  <c r="BD80" i="5"/>
  <c r="BE85" i="5"/>
  <c r="BD85" i="5"/>
  <c r="BE120" i="5"/>
  <c r="BD120" i="5"/>
  <c r="BE147" i="5"/>
  <c r="BD147" i="5"/>
  <c r="BD161" i="5"/>
  <c r="BE161" i="5"/>
  <c r="BD167" i="5"/>
  <c r="BE167" i="5"/>
  <c r="BD208" i="5"/>
  <c r="BE208" i="5"/>
  <c r="BD220" i="5"/>
  <c r="BE220" i="5"/>
  <c r="BE225" i="5"/>
  <c r="BD225" i="5"/>
  <c r="BD320" i="5"/>
  <c r="BE320" i="5"/>
  <c r="BE266" i="5"/>
  <c r="BD266" i="5"/>
  <c r="BE308" i="5"/>
  <c r="BD308" i="5"/>
  <c r="BD269" i="5"/>
  <c r="BE269" i="5"/>
  <c r="BE288" i="5"/>
  <c r="BD288" i="5"/>
  <c r="BE342" i="5"/>
  <c r="BD342" i="5"/>
  <c r="BE366" i="5"/>
  <c r="BD366" i="5"/>
  <c r="BD388" i="5"/>
  <c r="BE388" i="5"/>
  <c r="BD429" i="5"/>
  <c r="BE429" i="5"/>
  <c r="BD362" i="5"/>
  <c r="BE362" i="5"/>
  <c r="BE376" i="5"/>
  <c r="BD376" i="5"/>
  <c r="BD518" i="5"/>
  <c r="BE518" i="5"/>
  <c r="BE501" i="5"/>
  <c r="BD501" i="5"/>
  <c r="BD399" i="5"/>
  <c r="BE399" i="5"/>
  <c r="BD478" i="5"/>
  <c r="BE478" i="5"/>
  <c r="BE550" i="5"/>
  <c r="BD550" i="5"/>
  <c r="BE479" i="5"/>
  <c r="BD479" i="5"/>
  <c r="BD539" i="5"/>
  <c r="BE539" i="5"/>
  <c r="BD465" i="5"/>
  <c r="BE465" i="5"/>
  <c r="BD526" i="5"/>
  <c r="BE526" i="5"/>
  <c r="BD395" i="5"/>
  <c r="BE395" i="5"/>
  <c r="BD430" i="5"/>
  <c r="BE430" i="5"/>
  <c r="U520" i="5"/>
  <c r="V520" i="5"/>
  <c r="U479" i="5"/>
  <c r="V479" i="5"/>
  <c r="U423" i="5"/>
  <c r="V423" i="5"/>
  <c r="V549" i="5"/>
  <c r="U549" i="5"/>
  <c r="U528" i="5"/>
  <c r="V528" i="5"/>
  <c r="V555" i="5"/>
  <c r="U555" i="5"/>
  <c r="V543" i="5"/>
  <c r="U543" i="5"/>
  <c r="U514" i="5"/>
  <c r="V514" i="5"/>
  <c r="U426" i="5"/>
  <c r="V426" i="5"/>
  <c r="V544" i="5"/>
  <c r="U544" i="5"/>
  <c r="V548" i="5"/>
  <c r="U548" i="5"/>
  <c r="V540" i="5"/>
  <c r="U540" i="5"/>
  <c r="V529" i="5"/>
  <c r="U529" i="5"/>
  <c r="U352" i="5"/>
  <c r="V352" i="5"/>
  <c r="V304" i="5"/>
  <c r="U304" i="5"/>
  <c r="V538" i="5"/>
  <c r="U538" i="5"/>
  <c r="U506" i="5"/>
  <c r="V506" i="5"/>
  <c r="V489" i="5"/>
  <c r="U489" i="5"/>
  <c r="U477" i="5"/>
  <c r="V477" i="5"/>
  <c r="U463" i="5"/>
  <c r="V463" i="5"/>
  <c r="U452" i="5"/>
  <c r="V452" i="5"/>
  <c r="U434" i="5"/>
  <c r="V434" i="5"/>
  <c r="U413" i="5"/>
  <c r="V413" i="5"/>
  <c r="U377" i="5"/>
  <c r="V377" i="5"/>
  <c r="U358" i="5"/>
  <c r="V358" i="5"/>
  <c r="U519" i="5"/>
  <c r="V519" i="5"/>
  <c r="U504" i="5"/>
  <c r="V504" i="5"/>
  <c r="U498" i="5"/>
  <c r="V498" i="5"/>
  <c r="U480" i="5"/>
  <c r="V480" i="5"/>
  <c r="U468" i="5"/>
  <c r="V468" i="5"/>
  <c r="V456" i="5"/>
  <c r="U456" i="5"/>
  <c r="U438" i="5"/>
  <c r="V438" i="5"/>
  <c r="U347" i="5"/>
  <c r="V347" i="5"/>
  <c r="U532" i="5"/>
  <c r="V532" i="5"/>
  <c r="V513" i="5"/>
  <c r="U513" i="5"/>
  <c r="V499" i="5"/>
  <c r="U499" i="5"/>
  <c r="U478" i="5"/>
  <c r="V478" i="5"/>
  <c r="U458" i="5"/>
  <c r="V458" i="5"/>
  <c r="U443" i="5"/>
  <c r="V443" i="5"/>
  <c r="V428" i="5"/>
  <c r="U428" i="5"/>
  <c r="U324" i="5"/>
  <c r="V324" i="5"/>
  <c r="U411" i="5"/>
  <c r="V411" i="5"/>
  <c r="U399" i="5"/>
  <c r="V399" i="5"/>
  <c r="V382" i="5"/>
  <c r="U382" i="5"/>
  <c r="U363" i="5"/>
  <c r="V363" i="5"/>
  <c r="V348" i="5"/>
  <c r="U348" i="5"/>
  <c r="V294" i="5"/>
  <c r="U294" i="5"/>
  <c r="U195" i="5"/>
  <c r="V195" i="5"/>
  <c r="V407" i="5"/>
  <c r="U407" i="5"/>
  <c r="V386" i="5"/>
  <c r="U386" i="5"/>
  <c r="U375" i="5"/>
  <c r="V375" i="5"/>
  <c r="U341" i="5"/>
  <c r="V341" i="5"/>
  <c r="U214" i="5"/>
  <c r="V214" i="5"/>
  <c r="V429" i="5"/>
  <c r="U429" i="5"/>
  <c r="V415" i="5"/>
  <c r="U415" i="5"/>
  <c r="U400" i="5"/>
  <c r="V400" i="5"/>
  <c r="V381" i="5"/>
  <c r="U381" i="5"/>
  <c r="V364" i="5"/>
  <c r="U364" i="5"/>
  <c r="U345" i="5"/>
  <c r="V345" i="5"/>
  <c r="V315" i="5"/>
  <c r="U315" i="5"/>
  <c r="V283" i="5"/>
  <c r="U283" i="5"/>
  <c r="V356" i="5"/>
  <c r="U356" i="5"/>
  <c r="U335" i="5"/>
  <c r="V335" i="5"/>
  <c r="V320" i="5"/>
  <c r="U320" i="5"/>
  <c r="V303" i="5"/>
  <c r="U303" i="5"/>
  <c r="V293" i="5"/>
  <c r="U293" i="5"/>
  <c r="U271" i="5"/>
  <c r="V271" i="5"/>
  <c r="U261" i="5"/>
  <c r="V261" i="5"/>
  <c r="U246" i="5"/>
  <c r="V246" i="5"/>
  <c r="U331" i="5"/>
  <c r="V331" i="5"/>
  <c r="V316" i="5"/>
  <c r="U316" i="5"/>
  <c r="V299" i="5"/>
  <c r="U299" i="5"/>
  <c r="V284" i="5"/>
  <c r="U284" i="5"/>
  <c r="U251" i="5"/>
  <c r="V251" i="5"/>
  <c r="U135" i="5"/>
  <c r="V135" i="5"/>
  <c r="V322" i="5"/>
  <c r="U322" i="5"/>
  <c r="V306" i="5"/>
  <c r="U306" i="5"/>
  <c r="V282" i="5"/>
  <c r="U282" i="5"/>
  <c r="U274" i="5"/>
  <c r="V274" i="5"/>
  <c r="V263" i="5"/>
  <c r="U263" i="5"/>
  <c r="U254" i="5"/>
  <c r="V254" i="5"/>
  <c r="U241" i="5"/>
  <c r="V241" i="5"/>
  <c r="U236" i="5"/>
  <c r="V236" i="5"/>
  <c r="U225" i="5"/>
  <c r="V225" i="5"/>
  <c r="U210" i="5"/>
  <c r="V210" i="5"/>
  <c r="U180" i="5"/>
  <c r="V180" i="5"/>
  <c r="U243" i="5"/>
  <c r="V243" i="5"/>
  <c r="U229" i="5"/>
  <c r="V229" i="5"/>
  <c r="U212" i="5"/>
  <c r="V212" i="5"/>
  <c r="V159" i="5"/>
  <c r="U159" i="5"/>
  <c r="U245" i="5"/>
  <c r="V245" i="5"/>
  <c r="U224" i="5"/>
  <c r="V224" i="5"/>
  <c r="V215" i="5"/>
  <c r="U215" i="5"/>
  <c r="U205" i="5"/>
  <c r="V205" i="5"/>
  <c r="U196" i="5"/>
  <c r="V196" i="5"/>
  <c r="U204" i="5"/>
  <c r="V204" i="5"/>
  <c r="U194" i="5"/>
  <c r="V194" i="5"/>
  <c r="V185" i="5"/>
  <c r="U185" i="5"/>
  <c r="U172" i="5"/>
  <c r="V172" i="5"/>
  <c r="U100" i="5"/>
  <c r="V100" i="5"/>
  <c r="U170" i="5"/>
  <c r="V170" i="5"/>
  <c r="U133" i="5"/>
  <c r="V133" i="5"/>
  <c r="U187" i="5"/>
  <c r="V187" i="5"/>
  <c r="V173" i="5"/>
  <c r="U173" i="5"/>
  <c r="V149" i="5"/>
  <c r="U149" i="5"/>
  <c r="U152" i="5"/>
  <c r="V152" i="5"/>
  <c r="U138" i="5"/>
  <c r="V138" i="5"/>
  <c r="U115" i="5"/>
  <c r="V115" i="5"/>
  <c r="V156" i="5"/>
  <c r="U156" i="5"/>
  <c r="V137" i="5"/>
  <c r="U137" i="5"/>
  <c r="U123" i="5"/>
  <c r="V123" i="5"/>
  <c r="U109" i="5"/>
  <c r="V109" i="5"/>
  <c r="U84" i="5"/>
  <c r="V84" i="5"/>
  <c r="U139" i="5"/>
  <c r="V139" i="5"/>
  <c r="U126" i="5"/>
  <c r="V126" i="5"/>
  <c r="U87" i="5"/>
  <c r="V87" i="5"/>
  <c r="U101" i="5"/>
  <c r="V101" i="5"/>
  <c r="U85" i="5"/>
  <c r="V85" i="5"/>
  <c r="U107" i="5"/>
  <c r="V107" i="5"/>
  <c r="U69" i="5"/>
  <c r="V69" i="5"/>
  <c r="U94" i="5"/>
  <c r="V94" i="5"/>
  <c r="U92" i="5"/>
  <c r="V92" i="5"/>
  <c r="V61" i="5"/>
  <c r="U61" i="5"/>
  <c r="U80" i="5"/>
  <c r="V80" i="5"/>
  <c r="U66" i="5"/>
  <c r="V66" i="5"/>
  <c r="V35" i="5"/>
  <c r="U35" i="5"/>
  <c r="V59" i="5"/>
  <c r="U59" i="5"/>
  <c r="U33" i="5"/>
  <c r="V33" i="5"/>
  <c r="U70" i="5"/>
  <c r="V70" i="5"/>
  <c r="U52" i="5"/>
  <c r="V52" i="5"/>
  <c r="U47" i="5"/>
  <c r="V47" i="5"/>
  <c r="U34" i="5"/>
  <c r="V34" i="5"/>
  <c r="U39" i="5"/>
  <c r="V39" i="5"/>
  <c r="V26" i="5"/>
  <c r="U26" i="5"/>
  <c r="V44" i="5"/>
  <c r="U44" i="5"/>
  <c r="BD130" i="5"/>
  <c r="BE130" i="5"/>
  <c r="BD51" i="5"/>
  <c r="BE51" i="5"/>
  <c r="BD62" i="5"/>
  <c r="BE62" i="5"/>
  <c r="BE102" i="5"/>
  <c r="BD102" i="5"/>
  <c r="BD156" i="5"/>
  <c r="BE156" i="5"/>
  <c r="BD84" i="5"/>
  <c r="BE84" i="5"/>
  <c r="BD183" i="5"/>
  <c r="BE183" i="5"/>
  <c r="BE181" i="5"/>
  <c r="BD181" i="5"/>
  <c r="BD189" i="5"/>
  <c r="BE189" i="5"/>
  <c r="BE243" i="5"/>
  <c r="BD243" i="5"/>
  <c r="BD230" i="5"/>
  <c r="BE230" i="5"/>
  <c r="BD205" i="5"/>
  <c r="BE205" i="5"/>
  <c r="BD282" i="5"/>
  <c r="BE282" i="5"/>
  <c r="BD200" i="5"/>
  <c r="BE200" i="5"/>
  <c r="BD354" i="5"/>
  <c r="BE354" i="5"/>
  <c r="BD226" i="5"/>
  <c r="BE226" i="5"/>
  <c r="BD373" i="5"/>
  <c r="BE373" i="5"/>
  <c r="BD256" i="5"/>
  <c r="BE256" i="5"/>
  <c r="BD481" i="5"/>
  <c r="BE481" i="5"/>
  <c r="BE522" i="5"/>
  <c r="BD522" i="5"/>
  <c r="BD357" i="5"/>
  <c r="BE357" i="5"/>
  <c r="BE422" i="5"/>
  <c r="BD422" i="5"/>
  <c r="BD458" i="5"/>
  <c r="BE458" i="5"/>
  <c r="BD423" i="5"/>
  <c r="BE423" i="5"/>
  <c r="BD480" i="5"/>
  <c r="BE480" i="5"/>
  <c r="BD520" i="5"/>
  <c r="BE520" i="5"/>
  <c r="BD511" i="5"/>
  <c r="BE511" i="5"/>
  <c r="BE503" i="5"/>
  <c r="BD503" i="5"/>
  <c r="BD538" i="5"/>
  <c r="BE538" i="5"/>
  <c r="BD64" i="5"/>
  <c r="BE64" i="5"/>
  <c r="BD217" i="5"/>
  <c r="BE217" i="5"/>
  <c r="BE47" i="5"/>
  <c r="BD47" i="5"/>
  <c r="BD65" i="5"/>
  <c r="BE65" i="5"/>
  <c r="BD55" i="5"/>
  <c r="BE55" i="5"/>
  <c r="BE121" i="5"/>
  <c r="BD121" i="5"/>
  <c r="BD92" i="5"/>
  <c r="BE92" i="5"/>
  <c r="BD139" i="5"/>
  <c r="BE139" i="5"/>
  <c r="BE177" i="5"/>
  <c r="BD177" i="5"/>
  <c r="BE182" i="5"/>
  <c r="BD182" i="5"/>
  <c r="BE133" i="5"/>
  <c r="BD133" i="5"/>
  <c r="BE190" i="5"/>
  <c r="BD190" i="5"/>
  <c r="BE239" i="5"/>
  <c r="BD239" i="5"/>
  <c r="BE159" i="5"/>
  <c r="BD159" i="5"/>
  <c r="BE240" i="5"/>
  <c r="BD240" i="5"/>
  <c r="BE257" i="5"/>
  <c r="BD257" i="5"/>
  <c r="BE210" i="5"/>
  <c r="BD210" i="5"/>
  <c r="BD261" i="5"/>
  <c r="BE261" i="5"/>
  <c r="BD296" i="5"/>
  <c r="BE296" i="5"/>
  <c r="BD336" i="5"/>
  <c r="BE336" i="5"/>
  <c r="BE421" i="5"/>
  <c r="BD421" i="5"/>
  <c r="BD340" i="5"/>
  <c r="BE340" i="5"/>
  <c r="BD368" i="5"/>
  <c r="BE368" i="5"/>
  <c r="BD386" i="5"/>
  <c r="BE386" i="5"/>
  <c r="BE347" i="5"/>
  <c r="BD347" i="5"/>
  <c r="BD402" i="5"/>
  <c r="BE402" i="5"/>
  <c r="BD417" i="5"/>
  <c r="BE417" i="5"/>
  <c r="BD412" i="5"/>
  <c r="BE412" i="5"/>
  <c r="BD510" i="5"/>
  <c r="BE510" i="5"/>
  <c r="BD447" i="5"/>
  <c r="BE447" i="5"/>
  <c r="BD460" i="5"/>
  <c r="BE460" i="5"/>
  <c r="BD117" i="5"/>
  <c r="BE117" i="5"/>
  <c r="AG515" i="5" l="1"/>
  <c r="AG469" i="5"/>
  <c r="AI469" i="5" s="1"/>
  <c r="AG254" i="5"/>
  <c r="AI254" i="5" s="1"/>
  <c r="AG253" i="5"/>
  <c r="AI253" i="5" s="1"/>
  <c r="AG500" i="5"/>
  <c r="AH500" i="5" s="1"/>
  <c r="AG488" i="5"/>
  <c r="AI488" i="5" s="1"/>
  <c r="AL108" i="4"/>
  <c r="AJ108" i="4"/>
  <c r="AL117" i="4"/>
  <c r="AJ117" i="4"/>
  <c r="AJ156" i="4"/>
  <c r="AL156" i="4"/>
  <c r="AL77" i="4"/>
  <c r="AJ77" i="4"/>
  <c r="AJ75" i="4"/>
  <c r="AL75" i="4"/>
  <c r="AJ124" i="4"/>
  <c r="AL124" i="4"/>
  <c r="AL96" i="4"/>
  <c r="AJ96" i="4"/>
  <c r="AL66" i="4"/>
  <c r="AJ66" i="4"/>
  <c r="AJ86" i="4"/>
  <c r="AL86" i="4"/>
  <c r="AJ67" i="4"/>
  <c r="AL67" i="4"/>
  <c r="AJ52" i="4"/>
  <c r="AL52" i="4"/>
  <c r="AJ44" i="4"/>
  <c r="AL44" i="4"/>
  <c r="AJ32" i="4"/>
  <c r="AL32" i="4"/>
  <c r="AJ16" i="4"/>
  <c r="AL16" i="4"/>
  <c r="AL146" i="4"/>
  <c r="AJ146" i="4"/>
  <c r="AL89" i="4"/>
  <c r="AJ89" i="4"/>
  <c r="AJ151" i="4"/>
  <c r="AL151" i="4"/>
  <c r="AJ113" i="4"/>
  <c r="AL113" i="4"/>
  <c r="AJ13" i="4"/>
  <c r="AL13" i="4"/>
  <c r="AL138" i="4"/>
  <c r="AJ138" i="4"/>
  <c r="AL81" i="4"/>
  <c r="AJ81" i="4"/>
  <c r="AJ145" i="4"/>
  <c r="AL145" i="4"/>
  <c r="AJ115" i="4"/>
  <c r="AL115" i="4"/>
  <c r="AJ133" i="4"/>
  <c r="AL133" i="4"/>
  <c r="AJ111" i="4"/>
  <c r="AL111" i="4"/>
  <c r="AJ91" i="4"/>
  <c r="AL91" i="4"/>
  <c r="AJ70" i="4"/>
  <c r="AL70" i="4"/>
  <c r="AJ149" i="4"/>
  <c r="AL149" i="4"/>
  <c r="AJ135" i="4"/>
  <c r="AL135" i="4"/>
  <c r="AJ123" i="4"/>
  <c r="AL123" i="4"/>
  <c r="AJ106" i="4"/>
  <c r="AL106" i="4"/>
  <c r="AL92" i="4"/>
  <c r="AJ92" i="4"/>
  <c r="AJ76" i="4"/>
  <c r="AL76" i="4"/>
  <c r="AL65" i="4"/>
  <c r="AJ65" i="4"/>
  <c r="AJ119" i="4"/>
  <c r="AL119" i="4"/>
  <c r="AJ98" i="4"/>
  <c r="AL98" i="4"/>
  <c r="AL82" i="4"/>
  <c r="AJ82" i="4"/>
  <c r="AL134" i="4"/>
  <c r="AJ134" i="4"/>
  <c r="AJ87" i="4"/>
  <c r="AL87" i="4"/>
  <c r="AJ60" i="4"/>
  <c r="AL60" i="4"/>
  <c r="AJ55" i="4"/>
  <c r="AL55" i="4"/>
  <c r="AJ51" i="4"/>
  <c r="AL51" i="4"/>
  <c r="AJ47" i="4"/>
  <c r="AL47" i="4"/>
  <c r="AJ43" i="4"/>
  <c r="AL43" i="4"/>
  <c r="AJ39" i="4"/>
  <c r="AL39" i="4"/>
  <c r="AJ35" i="4"/>
  <c r="AL35" i="4"/>
  <c r="AJ31" i="4"/>
  <c r="AL31" i="4"/>
  <c r="AJ27" i="4"/>
  <c r="AL27" i="4"/>
  <c r="AJ23" i="4"/>
  <c r="AL23" i="4"/>
  <c r="AJ19" i="4"/>
  <c r="AL19" i="4"/>
  <c r="AJ64" i="4"/>
  <c r="AL64" i="4"/>
  <c r="AS113" i="4"/>
  <c r="AS106" i="4"/>
  <c r="AS32" i="4"/>
  <c r="AS13" i="4"/>
  <c r="AS27" i="4"/>
  <c r="AS52" i="4"/>
  <c r="AS47" i="4"/>
  <c r="AS111" i="4"/>
  <c r="AS89" i="4"/>
  <c r="AS82" i="4"/>
  <c r="AS146" i="4"/>
  <c r="AS75" i="4"/>
  <c r="AS31" i="4"/>
  <c r="AS60" i="4"/>
  <c r="AS124" i="4"/>
  <c r="AS55" i="4"/>
  <c r="AS119" i="4"/>
  <c r="AS117" i="4"/>
  <c r="AL150" i="4"/>
  <c r="AJ150" i="4"/>
  <c r="AL14" i="4"/>
  <c r="AJ14" i="4"/>
  <c r="AJ97" i="4"/>
  <c r="AL97" i="4"/>
  <c r="AJ127" i="4"/>
  <c r="AL127" i="4"/>
  <c r="AJ95" i="4"/>
  <c r="AL95" i="4"/>
  <c r="AJ153" i="4"/>
  <c r="AL153" i="4"/>
  <c r="AL112" i="4"/>
  <c r="AJ112" i="4"/>
  <c r="AJ80" i="4"/>
  <c r="AL80" i="4"/>
  <c r="AJ102" i="4"/>
  <c r="AL102" i="4"/>
  <c r="AJ68" i="4"/>
  <c r="AL68" i="4"/>
  <c r="AJ56" i="4"/>
  <c r="AL56" i="4"/>
  <c r="AJ40" i="4"/>
  <c r="AL40" i="4"/>
  <c r="AJ28" i="4"/>
  <c r="AL28" i="4"/>
  <c r="AJ24" i="4"/>
  <c r="AL24" i="4"/>
  <c r="AJ11" i="4"/>
  <c r="AL11" i="4"/>
  <c r="AJ143" i="4"/>
  <c r="AL143" i="4"/>
  <c r="AL73" i="4"/>
  <c r="AJ73" i="4"/>
  <c r="AJ148" i="4"/>
  <c r="AL148" i="4"/>
  <c r="AL101" i="4"/>
  <c r="AJ101" i="4"/>
  <c r="AJ155" i="4"/>
  <c r="AL155" i="4"/>
  <c r="AJ118" i="4"/>
  <c r="AL118" i="4"/>
  <c r="AL10" i="4"/>
  <c r="AJ10" i="4"/>
  <c r="AL142" i="4"/>
  <c r="AJ142" i="4"/>
  <c r="AJ107" i="4"/>
  <c r="AL107" i="4"/>
  <c r="AJ132" i="4"/>
  <c r="AL132" i="4"/>
  <c r="AL104" i="4"/>
  <c r="AJ104" i="4"/>
  <c r="AJ83" i="4"/>
  <c r="AL83" i="4"/>
  <c r="AL61" i="4"/>
  <c r="AJ61" i="4"/>
  <c r="AJ144" i="4"/>
  <c r="AL144" i="4"/>
  <c r="AL126" i="4"/>
  <c r="AJ126" i="4"/>
  <c r="AL122" i="4"/>
  <c r="AJ122" i="4"/>
  <c r="AJ105" i="4"/>
  <c r="AL105" i="4"/>
  <c r="AJ88" i="4"/>
  <c r="AL88" i="4"/>
  <c r="AJ72" i="4"/>
  <c r="AL72" i="4"/>
  <c r="AJ59" i="4"/>
  <c r="AL59" i="4"/>
  <c r="AL110" i="4"/>
  <c r="AJ110" i="4"/>
  <c r="AL94" i="4"/>
  <c r="AJ94" i="4"/>
  <c r="AJ78" i="4"/>
  <c r="AL78" i="4"/>
  <c r="AL130" i="4"/>
  <c r="AJ130" i="4"/>
  <c r="AL69" i="4"/>
  <c r="AJ69" i="4"/>
  <c r="AL58" i="4"/>
  <c r="AJ58" i="4"/>
  <c r="AJ54" i="4"/>
  <c r="AL54" i="4"/>
  <c r="AL50" i="4"/>
  <c r="AJ50" i="4"/>
  <c r="AJ46" i="4"/>
  <c r="AL46" i="4"/>
  <c r="AL42" i="4"/>
  <c r="AJ42" i="4"/>
  <c r="AJ38" i="4"/>
  <c r="AL38" i="4"/>
  <c r="AL34" i="4"/>
  <c r="AJ34" i="4"/>
  <c r="AL30" i="4"/>
  <c r="AJ30" i="4"/>
  <c r="AL26" i="4"/>
  <c r="AJ26" i="4"/>
  <c r="AL22" i="4"/>
  <c r="AJ22" i="4"/>
  <c r="AL18" i="4"/>
  <c r="AJ18" i="4"/>
  <c r="AJ63" i="4"/>
  <c r="AL63" i="4"/>
  <c r="AS65" i="4"/>
  <c r="AS58" i="4"/>
  <c r="AS122" i="4"/>
  <c r="AS56" i="4"/>
  <c r="AS51" i="4"/>
  <c r="AS115" i="4"/>
  <c r="AS35" i="4"/>
  <c r="AS68" i="4"/>
  <c r="AS132" i="4"/>
  <c r="AS63" i="4"/>
  <c r="AS127" i="4"/>
  <c r="AS61" i="4"/>
  <c r="AS54" i="4"/>
  <c r="AS118" i="4"/>
  <c r="AS34" i="4"/>
  <c r="AS105" i="4"/>
  <c r="AS24" i="4"/>
  <c r="AS98" i="4"/>
  <c r="AS96" i="4"/>
  <c r="AS10" i="4"/>
  <c r="AS91" i="4"/>
  <c r="AS155" i="4"/>
  <c r="AS39" i="4"/>
  <c r="AS76" i="4"/>
  <c r="AS135" i="4"/>
  <c r="AS69" i="4"/>
  <c r="AS133" i="4"/>
  <c r="AS126" i="4"/>
  <c r="AL154" i="4"/>
  <c r="AJ154" i="4"/>
  <c r="AJ141" i="4"/>
  <c r="AL141" i="4"/>
  <c r="AJ129" i="4"/>
  <c r="AL129" i="4"/>
  <c r="AJ139" i="4"/>
  <c r="AL139" i="4"/>
  <c r="AJ128" i="4"/>
  <c r="AL128" i="4"/>
  <c r="AJ99" i="4"/>
  <c r="AL99" i="4"/>
  <c r="AJ48" i="4"/>
  <c r="AL48" i="4"/>
  <c r="AJ36" i="4"/>
  <c r="AL36" i="4"/>
  <c r="AJ20" i="4"/>
  <c r="AL20" i="4"/>
  <c r="AJ157" i="4"/>
  <c r="AL157" i="4"/>
  <c r="AL116" i="4"/>
  <c r="AJ116" i="4"/>
  <c r="AJ12" i="4"/>
  <c r="AL12" i="4"/>
  <c r="AJ147" i="4"/>
  <c r="AL147" i="4"/>
  <c r="AL85" i="4"/>
  <c r="AJ85" i="4"/>
  <c r="AJ152" i="4"/>
  <c r="AL152" i="4"/>
  <c r="AJ114" i="4"/>
  <c r="AL114" i="4"/>
  <c r="AJ9" i="4"/>
  <c r="AL9" i="4"/>
  <c r="AJ136" i="4"/>
  <c r="AL136" i="4"/>
  <c r="AJ93" i="4"/>
  <c r="AL93" i="4"/>
  <c r="AJ131" i="4"/>
  <c r="AL131" i="4"/>
  <c r="AJ103" i="4"/>
  <c r="AL103" i="4"/>
  <c r="AJ79" i="4"/>
  <c r="AL79" i="4"/>
  <c r="AJ8" i="4"/>
  <c r="AL8" i="4"/>
  <c r="AJ140" i="4"/>
  <c r="AL140" i="4"/>
  <c r="AJ125" i="4"/>
  <c r="AL125" i="4"/>
  <c r="AJ121" i="4"/>
  <c r="AL121" i="4"/>
  <c r="AL100" i="4"/>
  <c r="AJ100" i="4"/>
  <c r="AJ84" i="4"/>
  <c r="AL84" i="4"/>
  <c r="AJ71" i="4"/>
  <c r="AL71" i="4"/>
  <c r="AJ137" i="4"/>
  <c r="AL137" i="4"/>
  <c r="AJ109" i="4"/>
  <c r="AL109" i="4"/>
  <c r="AL90" i="4"/>
  <c r="AJ90" i="4"/>
  <c r="AL74" i="4"/>
  <c r="AJ74" i="4"/>
  <c r="AL120" i="4"/>
  <c r="AJ120" i="4"/>
  <c r="AJ62" i="4"/>
  <c r="AL62" i="4"/>
  <c r="AL57" i="4"/>
  <c r="AJ57" i="4"/>
  <c r="AL53" i="4"/>
  <c r="AJ53" i="4"/>
  <c r="AL49" i="4"/>
  <c r="AJ49" i="4"/>
  <c r="AL45" i="4"/>
  <c r="AJ45" i="4"/>
  <c r="AL41" i="4"/>
  <c r="AJ41" i="4"/>
  <c r="AL37" i="4"/>
  <c r="AJ37" i="4"/>
  <c r="AL33" i="4"/>
  <c r="AJ33" i="4"/>
  <c r="AJ29" i="4"/>
  <c r="AL29" i="4"/>
  <c r="AJ25" i="4"/>
  <c r="AL25" i="4"/>
  <c r="AJ21" i="4"/>
  <c r="AL21" i="4"/>
  <c r="AJ17" i="4"/>
  <c r="AL17" i="4"/>
  <c r="AJ15" i="4"/>
  <c r="AL15" i="4"/>
  <c r="AS41" i="4"/>
  <c r="AS81" i="4"/>
  <c r="AS145" i="4"/>
  <c r="AS74" i="4"/>
  <c r="AS138" i="4"/>
  <c r="AS72" i="4"/>
  <c r="AS136" i="4"/>
  <c r="AS67" i="4"/>
  <c r="AS131" i="4"/>
  <c r="AS20" i="4"/>
  <c r="AS84" i="4"/>
  <c r="AS148" i="4"/>
  <c r="AS79" i="4"/>
  <c r="AS143" i="4"/>
  <c r="AS77" i="4"/>
  <c r="AS141" i="4"/>
  <c r="AS70" i="4"/>
  <c r="AS134" i="4"/>
  <c r="AS29" i="4"/>
  <c r="AS57" i="4"/>
  <c r="AS121" i="4"/>
  <c r="AS50" i="4"/>
  <c r="AS114" i="4"/>
  <c r="AS48" i="4"/>
  <c r="AS112" i="4"/>
  <c r="AS43" i="4"/>
  <c r="AS107" i="4"/>
  <c r="AS15" i="4"/>
  <c r="AS36" i="4"/>
  <c r="AS92" i="4"/>
  <c r="AS156" i="4"/>
  <c r="AS87" i="4"/>
  <c r="AS151" i="4"/>
  <c r="AS85" i="4"/>
  <c r="AS149" i="4"/>
  <c r="AS78" i="4"/>
  <c r="AS142" i="4"/>
  <c r="AS17" i="4"/>
  <c r="AS16" i="4"/>
  <c r="AS97" i="4"/>
  <c r="AS11" i="4"/>
  <c r="AS90" i="4"/>
  <c r="AS154" i="4"/>
  <c r="AS88" i="4"/>
  <c r="AS152" i="4"/>
  <c r="AS83" i="4"/>
  <c r="AS147" i="4"/>
  <c r="AS19" i="4"/>
  <c r="AS30" i="4"/>
  <c r="AS100" i="4"/>
  <c r="AS14" i="4"/>
  <c r="AS95" i="4"/>
  <c r="AS9" i="4"/>
  <c r="AS93" i="4"/>
  <c r="AS157" i="4"/>
  <c r="AS86" i="4"/>
  <c r="AS150" i="4"/>
  <c r="AS37" i="4"/>
  <c r="AS73" i="4"/>
  <c r="AS137" i="4"/>
  <c r="AS66" i="4"/>
  <c r="AS130" i="4"/>
  <c r="AS64" i="4"/>
  <c r="AS128" i="4"/>
  <c r="AS59" i="4"/>
  <c r="AS123" i="4"/>
  <c r="AS23" i="4"/>
  <c r="AS44" i="4"/>
  <c r="AS108" i="4"/>
  <c r="AS38" i="4"/>
  <c r="AS103" i="4"/>
  <c r="AS18" i="4"/>
  <c r="AS101" i="4"/>
  <c r="AS22" i="4"/>
  <c r="AS94" i="4"/>
  <c r="AS8" i="4"/>
  <c r="B206" i="2"/>
  <c r="B208" i="2" s="1"/>
  <c r="B139" i="2"/>
  <c r="B142" i="2" s="1"/>
  <c r="H41" i="1" s="1"/>
  <c r="AM136" i="4"/>
  <c r="AQ136" i="4"/>
  <c r="V136" i="4"/>
  <c r="AM104" i="4"/>
  <c r="AQ104" i="4"/>
  <c r="V104" i="4"/>
  <c r="AM72" i="4"/>
  <c r="AQ72" i="4"/>
  <c r="V72" i="4"/>
  <c r="AM36" i="4"/>
  <c r="AQ36" i="4"/>
  <c r="V36" i="4"/>
  <c r="AM15" i="4"/>
  <c r="AQ15" i="4"/>
  <c r="V15" i="4"/>
  <c r="AM138" i="4"/>
  <c r="V138" i="4"/>
  <c r="AQ138" i="4"/>
  <c r="AM106" i="4"/>
  <c r="AQ106" i="4"/>
  <c r="V106" i="4"/>
  <c r="AM74" i="4"/>
  <c r="AN74" i="4" s="1"/>
  <c r="AQ74" i="4"/>
  <c r="V74" i="4"/>
  <c r="AM42" i="4"/>
  <c r="AN42" i="4" s="1"/>
  <c r="AQ42" i="4"/>
  <c r="V42" i="4"/>
  <c r="AM24" i="4"/>
  <c r="AQ24" i="4"/>
  <c r="V24" i="4"/>
  <c r="AM148" i="4"/>
  <c r="AQ148" i="4"/>
  <c r="V148" i="4"/>
  <c r="AM116" i="4"/>
  <c r="AQ116" i="4"/>
  <c r="V116" i="4"/>
  <c r="AM84" i="4"/>
  <c r="AQ84" i="4"/>
  <c r="V84" i="4"/>
  <c r="AM52" i="4"/>
  <c r="AQ52" i="4"/>
  <c r="V52" i="4"/>
  <c r="AM27" i="4"/>
  <c r="AQ27" i="4"/>
  <c r="V27" i="4"/>
  <c r="AM150" i="4"/>
  <c r="AN150" i="4" s="1"/>
  <c r="AQ150" i="4"/>
  <c r="V150" i="4"/>
  <c r="AM118" i="4"/>
  <c r="V118" i="4"/>
  <c r="AQ118" i="4"/>
  <c r="AM86" i="4"/>
  <c r="AQ86" i="4"/>
  <c r="V86" i="4"/>
  <c r="AQ54" i="4"/>
  <c r="AM54" i="4"/>
  <c r="AN54" i="4" s="1"/>
  <c r="V54" i="4"/>
  <c r="AM26" i="4"/>
  <c r="AN26" i="4" s="1"/>
  <c r="AQ26" i="4"/>
  <c r="V26" i="4"/>
  <c r="AM11" i="4"/>
  <c r="AQ11" i="4"/>
  <c r="V11" i="4"/>
  <c r="AM153" i="4"/>
  <c r="AQ153" i="4"/>
  <c r="V153" i="4"/>
  <c r="AM145" i="4"/>
  <c r="AQ145" i="4"/>
  <c r="V145" i="4"/>
  <c r="AM137" i="4"/>
  <c r="AQ137" i="4"/>
  <c r="V137" i="4"/>
  <c r="AM129" i="4"/>
  <c r="AQ129" i="4"/>
  <c r="V129" i="4"/>
  <c r="AM121" i="4"/>
  <c r="AN121" i="4" s="1"/>
  <c r="AQ121" i="4"/>
  <c r="V121" i="4"/>
  <c r="AM113" i="4"/>
  <c r="AQ113" i="4"/>
  <c r="V113" i="4"/>
  <c r="AM105" i="4"/>
  <c r="AQ105" i="4"/>
  <c r="V105" i="4"/>
  <c r="AM97" i="4"/>
  <c r="AQ97" i="4"/>
  <c r="V97" i="4"/>
  <c r="AM89" i="4"/>
  <c r="AQ89" i="4"/>
  <c r="V89" i="4"/>
  <c r="AM81" i="4"/>
  <c r="AN81" i="4" s="1"/>
  <c r="AQ81" i="4"/>
  <c r="V81" i="4"/>
  <c r="AM73" i="4"/>
  <c r="AN73" i="4" s="1"/>
  <c r="AQ73" i="4"/>
  <c r="V73" i="4"/>
  <c r="AM65" i="4"/>
  <c r="AQ65" i="4"/>
  <c r="V65" i="4"/>
  <c r="AM57" i="4"/>
  <c r="AQ57" i="4"/>
  <c r="V57" i="4"/>
  <c r="AM49" i="4"/>
  <c r="AQ49" i="4"/>
  <c r="V49" i="4"/>
  <c r="AM41" i="4"/>
  <c r="AQ41" i="4"/>
  <c r="V41" i="4"/>
  <c r="AM25" i="4"/>
  <c r="AQ25" i="4"/>
  <c r="V25" i="4"/>
  <c r="AM7" i="4"/>
  <c r="V7" i="4"/>
  <c r="AM10" i="4"/>
  <c r="AQ10" i="4"/>
  <c r="V10" i="4"/>
  <c r="AM128" i="4"/>
  <c r="AQ128" i="4"/>
  <c r="V128" i="4"/>
  <c r="AM96" i="4"/>
  <c r="AN96" i="4" s="1"/>
  <c r="AQ96" i="4"/>
  <c r="V96" i="4"/>
  <c r="AM64" i="4"/>
  <c r="AQ64" i="4"/>
  <c r="V64" i="4"/>
  <c r="AM32" i="4"/>
  <c r="AN32" i="4" s="1"/>
  <c r="AQ32" i="4"/>
  <c r="V32" i="4"/>
  <c r="AM12" i="4"/>
  <c r="AQ12" i="4"/>
  <c r="V12" i="4"/>
  <c r="AM130" i="4"/>
  <c r="AQ130" i="4"/>
  <c r="V130" i="4"/>
  <c r="AM98" i="4"/>
  <c r="AQ98" i="4"/>
  <c r="V98" i="4"/>
  <c r="AM66" i="4"/>
  <c r="AQ66" i="4"/>
  <c r="V66" i="4"/>
  <c r="AM39" i="4"/>
  <c r="AQ39" i="4"/>
  <c r="V39" i="4"/>
  <c r="AM21" i="4"/>
  <c r="AQ21" i="4"/>
  <c r="V21" i="4"/>
  <c r="AM140" i="4"/>
  <c r="V140" i="4"/>
  <c r="AQ140" i="4"/>
  <c r="AM108" i="4"/>
  <c r="AQ108" i="4"/>
  <c r="V108" i="4"/>
  <c r="AM76" i="4"/>
  <c r="AQ76" i="4"/>
  <c r="V76" i="4"/>
  <c r="AM44" i="4"/>
  <c r="AN44" i="4" s="1"/>
  <c r="AQ44" i="4"/>
  <c r="V44" i="4"/>
  <c r="AM20" i="4"/>
  <c r="AQ20" i="4"/>
  <c r="V20" i="4"/>
  <c r="AM142" i="4"/>
  <c r="AQ142" i="4"/>
  <c r="V142" i="4"/>
  <c r="AM110" i="4"/>
  <c r="AQ110" i="4"/>
  <c r="V110" i="4"/>
  <c r="AM78" i="4"/>
  <c r="AQ78" i="4"/>
  <c r="V78" i="4"/>
  <c r="AM46" i="4"/>
  <c r="AQ46" i="4"/>
  <c r="V46" i="4"/>
  <c r="AM23" i="4"/>
  <c r="AN23" i="4" s="1"/>
  <c r="AQ23" i="4"/>
  <c r="V23" i="4"/>
  <c r="AM9" i="4"/>
  <c r="AQ9" i="4"/>
  <c r="V9" i="4"/>
  <c r="AM151" i="4"/>
  <c r="V151" i="4"/>
  <c r="AQ151" i="4"/>
  <c r="AM143" i="4"/>
  <c r="AQ143" i="4"/>
  <c r="V143" i="4"/>
  <c r="AM135" i="4"/>
  <c r="V135" i="4"/>
  <c r="AQ135" i="4"/>
  <c r="AM127" i="4"/>
  <c r="AQ127" i="4"/>
  <c r="V127" i="4"/>
  <c r="AM119" i="4"/>
  <c r="AQ119" i="4"/>
  <c r="V119" i="4"/>
  <c r="AM111" i="4"/>
  <c r="AQ111" i="4"/>
  <c r="V111" i="4"/>
  <c r="AM103" i="4"/>
  <c r="AQ103" i="4"/>
  <c r="V103" i="4"/>
  <c r="AM95" i="4"/>
  <c r="AQ95" i="4"/>
  <c r="V95" i="4"/>
  <c r="AM87" i="4"/>
  <c r="AQ87" i="4"/>
  <c r="V87" i="4"/>
  <c r="AM79" i="4"/>
  <c r="AQ79" i="4"/>
  <c r="V79" i="4"/>
  <c r="AM71" i="4"/>
  <c r="AQ71" i="4"/>
  <c r="V71" i="4"/>
  <c r="AM63" i="4"/>
  <c r="AQ63" i="4"/>
  <c r="V63" i="4"/>
  <c r="AM55" i="4"/>
  <c r="AQ55" i="4"/>
  <c r="V55" i="4"/>
  <c r="AM47" i="4"/>
  <c r="AQ47" i="4"/>
  <c r="V47" i="4"/>
  <c r="AM38" i="4"/>
  <c r="AQ38" i="4"/>
  <c r="V38" i="4"/>
  <c r="AM22" i="4"/>
  <c r="AQ22" i="4"/>
  <c r="V22" i="4"/>
  <c r="AM152" i="4"/>
  <c r="AQ152" i="4"/>
  <c r="V152" i="4"/>
  <c r="AM120" i="4"/>
  <c r="AN120" i="4" s="1"/>
  <c r="V120" i="4"/>
  <c r="AQ120" i="4"/>
  <c r="AM88" i="4"/>
  <c r="AQ88" i="4"/>
  <c r="V88" i="4"/>
  <c r="AM56" i="4"/>
  <c r="AQ56" i="4"/>
  <c r="V56" i="4"/>
  <c r="AM29" i="4"/>
  <c r="AQ29" i="4"/>
  <c r="V29" i="4"/>
  <c r="AM154" i="4"/>
  <c r="AN154" i="4" s="1"/>
  <c r="AQ154" i="4"/>
  <c r="V154" i="4"/>
  <c r="AM122" i="4"/>
  <c r="V122" i="4"/>
  <c r="AQ122" i="4"/>
  <c r="AM90" i="4"/>
  <c r="AQ90" i="4"/>
  <c r="V90" i="4"/>
  <c r="AM58" i="4"/>
  <c r="AN58" i="4" s="1"/>
  <c r="AQ58" i="4"/>
  <c r="V58" i="4"/>
  <c r="AM35" i="4"/>
  <c r="AQ35" i="4"/>
  <c r="V35" i="4"/>
  <c r="AM14" i="4"/>
  <c r="AQ14" i="4"/>
  <c r="V14" i="4"/>
  <c r="AM132" i="4"/>
  <c r="AQ132" i="4"/>
  <c r="V132" i="4"/>
  <c r="AM100" i="4"/>
  <c r="AQ100" i="4"/>
  <c r="V100" i="4"/>
  <c r="AM68" i="4"/>
  <c r="AQ68" i="4"/>
  <c r="V68" i="4"/>
  <c r="AM34" i="4"/>
  <c r="AN34" i="4" s="1"/>
  <c r="AQ34" i="4"/>
  <c r="V34" i="4"/>
  <c r="AM16" i="4"/>
  <c r="AQ16" i="4"/>
  <c r="V16" i="4"/>
  <c r="AM134" i="4"/>
  <c r="AQ134" i="4"/>
  <c r="V134" i="4"/>
  <c r="AM102" i="4"/>
  <c r="AQ102" i="4"/>
  <c r="V102" i="4"/>
  <c r="AM70" i="4"/>
  <c r="AQ70" i="4"/>
  <c r="V70" i="4"/>
  <c r="AM40" i="4"/>
  <c r="AQ40" i="4"/>
  <c r="V40" i="4"/>
  <c r="AM19" i="4"/>
  <c r="AQ19" i="4"/>
  <c r="V19" i="4"/>
  <c r="AM157" i="4"/>
  <c r="AQ157" i="4"/>
  <c r="V157" i="4"/>
  <c r="AM149" i="4"/>
  <c r="AQ149" i="4"/>
  <c r="V149" i="4"/>
  <c r="AM141" i="4"/>
  <c r="AQ141" i="4"/>
  <c r="V141" i="4"/>
  <c r="AM133" i="4"/>
  <c r="AN133" i="4" s="1"/>
  <c r="AQ133" i="4"/>
  <c r="V133" i="4"/>
  <c r="AM125" i="4"/>
  <c r="V125" i="4"/>
  <c r="AQ125" i="4"/>
  <c r="AM117" i="4"/>
  <c r="AQ117" i="4"/>
  <c r="V117" i="4"/>
  <c r="AM109" i="4"/>
  <c r="AQ109" i="4"/>
  <c r="V109" i="4"/>
  <c r="AM101" i="4"/>
  <c r="AN101" i="4" s="1"/>
  <c r="AQ101" i="4"/>
  <c r="V101" i="4"/>
  <c r="AM93" i="4"/>
  <c r="AQ93" i="4"/>
  <c r="V93" i="4"/>
  <c r="AM85" i="4"/>
  <c r="AQ85" i="4"/>
  <c r="V85" i="4"/>
  <c r="AM77" i="4"/>
  <c r="AQ77" i="4"/>
  <c r="V77" i="4"/>
  <c r="AM69" i="4"/>
  <c r="AQ69" i="4"/>
  <c r="V69" i="4"/>
  <c r="AM61" i="4"/>
  <c r="AN61" i="4" s="1"/>
  <c r="AQ61" i="4"/>
  <c r="V61" i="4"/>
  <c r="AM53" i="4"/>
  <c r="AQ53" i="4"/>
  <c r="V53" i="4"/>
  <c r="AM45" i="4"/>
  <c r="AN45" i="4" s="1"/>
  <c r="AQ45" i="4"/>
  <c r="V45" i="4"/>
  <c r="AM33" i="4"/>
  <c r="AQ33" i="4"/>
  <c r="V33" i="4"/>
  <c r="AM17" i="4"/>
  <c r="AQ17" i="4"/>
  <c r="V17" i="4"/>
  <c r="AM144" i="4"/>
  <c r="AQ144" i="4"/>
  <c r="V144" i="4"/>
  <c r="AM112" i="4"/>
  <c r="AQ112" i="4"/>
  <c r="V112" i="4"/>
  <c r="AM80" i="4"/>
  <c r="AN80" i="4" s="1"/>
  <c r="AQ80" i="4"/>
  <c r="V80" i="4"/>
  <c r="AM48" i="4"/>
  <c r="AQ48" i="4"/>
  <c r="V48" i="4"/>
  <c r="AM18" i="4"/>
  <c r="AN18" i="4" s="1"/>
  <c r="AQ18" i="4"/>
  <c r="V18" i="4"/>
  <c r="AM146" i="4"/>
  <c r="AN146" i="4" s="1"/>
  <c r="AQ146" i="4"/>
  <c r="V146" i="4"/>
  <c r="AM114" i="4"/>
  <c r="AN114" i="4" s="1"/>
  <c r="AQ114" i="4"/>
  <c r="V114" i="4"/>
  <c r="AM82" i="4"/>
  <c r="AN82" i="4" s="1"/>
  <c r="AQ82" i="4"/>
  <c r="V82" i="4"/>
  <c r="AM50" i="4"/>
  <c r="AN50" i="4" s="1"/>
  <c r="AQ50" i="4"/>
  <c r="V50" i="4"/>
  <c r="AM28" i="4"/>
  <c r="AQ28" i="4"/>
  <c r="V28" i="4"/>
  <c r="AM156" i="4"/>
  <c r="AQ156" i="4"/>
  <c r="V156" i="4"/>
  <c r="AM124" i="4"/>
  <c r="AQ124" i="4"/>
  <c r="V124" i="4"/>
  <c r="AM92" i="4"/>
  <c r="AQ92" i="4"/>
  <c r="V92" i="4"/>
  <c r="AM60" i="4"/>
  <c r="AQ60" i="4"/>
  <c r="V60" i="4"/>
  <c r="AM31" i="4"/>
  <c r="AQ31" i="4"/>
  <c r="V31" i="4"/>
  <c r="AM8" i="4"/>
  <c r="AQ8" i="4"/>
  <c r="V8" i="4"/>
  <c r="AM126" i="4"/>
  <c r="AQ126" i="4"/>
  <c r="V126" i="4"/>
  <c r="AM94" i="4"/>
  <c r="AN94" i="4" s="1"/>
  <c r="AQ94" i="4"/>
  <c r="V94" i="4"/>
  <c r="AM62" i="4"/>
  <c r="AQ62" i="4"/>
  <c r="V62" i="4"/>
  <c r="AM37" i="4"/>
  <c r="AN37" i="4" s="1"/>
  <c r="AQ37" i="4"/>
  <c r="V37" i="4"/>
  <c r="AM13" i="4"/>
  <c r="AQ13" i="4"/>
  <c r="V13" i="4"/>
  <c r="AM155" i="4"/>
  <c r="AQ155" i="4"/>
  <c r="V155" i="4"/>
  <c r="AM147" i="4"/>
  <c r="AQ147" i="4"/>
  <c r="V147" i="4"/>
  <c r="AM139" i="4"/>
  <c r="AQ139" i="4"/>
  <c r="V139" i="4"/>
  <c r="AM131" i="4"/>
  <c r="AQ131" i="4"/>
  <c r="V131" i="4"/>
  <c r="AM123" i="4"/>
  <c r="AQ123" i="4"/>
  <c r="V123" i="4"/>
  <c r="AM115" i="4"/>
  <c r="AQ115" i="4"/>
  <c r="V115" i="4"/>
  <c r="AM107" i="4"/>
  <c r="AQ107" i="4"/>
  <c r="V107" i="4"/>
  <c r="AM99" i="4"/>
  <c r="AQ99" i="4"/>
  <c r="V99" i="4"/>
  <c r="AM91" i="4"/>
  <c r="AQ91" i="4"/>
  <c r="V91" i="4"/>
  <c r="AM83" i="4"/>
  <c r="AQ83" i="4"/>
  <c r="V83" i="4"/>
  <c r="AM75" i="4"/>
  <c r="AQ75" i="4"/>
  <c r="V75" i="4"/>
  <c r="AM67" i="4"/>
  <c r="AQ67" i="4"/>
  <c r="V67" i="4"/>
  <c r="AM59" i="4"/>
  <c r="AQ59" i="4"/>
  <c r="V59" i="4"/>
  <c r="AM51" i="4"/>
  <c r="AQ51" i="4"/>
  <c r="V51" i="4"/>
  <c r="AM43" i="4"/>
  <c r="AQ43" i="4"/>
  <c r="V43" i="4"/>
  <c r="AQ30" i="4"/>
  <c r="AM30" i="4"/>
  <c r="AN30" i="4" s="1"/>
  <c r="V30" i="4"/>
  <c r="B195" i="2"/>
  <c r="Z7" i="5" s="1"/>
  <c r="B180" i="2"/>
  <c r="B186" i="2"/>
  <c r="B178" i="2"/>
  <c r="P7" i="5" s="1"/>
  <c r="AG541" i="5"/>
  <c r="AH541" i="5" s="1"/>
  <c r="AG496" i="5"/>
  <c r="AI496" i="5" s="1"/>
  <c r="AG434" i="5"/>
  <c r="AH434" i="5" s="1"/>
  <c r="AG438" i="5"/>
  <c r="AG373" i="5"/>
  <c r="AI373" i="5" s="1"/>
  <c r="AG149" i="5"/>
  <c r="AH149" i="5" s="1"/>
  <c r="AG551" i="5"/>
  <c r="AG499" i="5"/>
  <c r="AG558" i="5"/>
  <c r="AI558" i="5" s="1"/>
  <c r="AG386" i="5"/>
  <c r="AI386" i="5" s="1"/>
  <c r="AG364" i="5"/>
  <c r="AG241" i="5"/>
  <c r="AG156" i="5"/>
  <c r="AH156" i="5" s="1"/>
  <c r="AG524" i="5"/>
  <c r="AH524" i="5" s="1"/>
  <c r="AG466" i="5"/>
  <c r="AH466" i="5" s="1"/>
  <c r="AG521" i="5"/>
  <c r="AH521" i="5" s="1"/>
  <c r="AG309" i="5"/>
  <c r="AI309" i="5" s="1"/>
  <c r="AG293" i="5"/>
  <c r="AI293" i="5" s="1"/>
  <c r="AG363" i="5"/>
  <c r="B70" i="5"/>
  <c r="O11" i="5" s="1"/>
  <c r="Z11" i="5" s="1"/>
  <c r="AG8" i="5"/>
  <c r="AH8" i="5" s="1"/>
  <c r="AG35" i="5"/>
  <c r="AH35" i="5" s="1"/>
  <c r="AG26" i="5"/>
  <c r="AI26" i="5" s="1"/>
  <c r="AG34" i="5"/>
  <c r="AG42" i="5"/>
  <c r="AH42" i="5" s="1"/>
  <c r="AG32" i="5"/>
  <c r="AI32" i="5" s="1"/>
  <c r="AG48" i="5"/>
  <c r="AI48" i="5" s="1"/>
  <c r="AG46" i="5"/>
  <c r="AI46" i="5" s="1"/>
  <c r="AG63" i="5"/>
  <c r="AI63" i="5" s="1"/>
  <c r="AG71" i="5"/>
  <c r="AH71" i="5" s="1"/>
  <c r="AG83" i="5"/>
  <c r="AI83" i="5" s="1"/>
  <c r="AG105" i="5"/>
  <c r="AG121" i="5"/>
  <c r="AI121" i="5" s="1"/>
  <c r="AG137" i="5"/>
  <c r="AI137" i="5" s="1"/>
  <c r="AG152" i="5"/>
  <c r="AI152" i="5" s="1"/>
  <c r="AG168" i="5"/>
  <c r="AG193" i="5"/>
  <c r="AH193" i="5" s="1"/>
  <c r="AG57" i="5"/>
  <c r="AH57" i="5" s="1"/>
  <c r="AG91" i="5"/>
  <c r="AI91" i="5" s="1"/>
  <c r="AG102" i="5"/>
  <c r="AG118" i="5"/>
  <c r="AI118" i="5" s="1"/>
  <c r="AG144" i="5"/>
  <c r="AI144" i="5" s="1"/>
  <c r="AG154" i="5"/>
  <c r="AI154" i="5" s="1"/>
  <c r="AG162" i="5"/>
  <c r="AH162" i="5" s="1"/>
  <c r="AG182" i="5"/>
  <c r="AH182" i="5" s="1"/>
  <c r="AG61" i="5"/>
  <c r="AH61" i="5" s="1"/>
  <c r="AG78" i="5"/>
  <c r="AI78" i="5" s="1"/>
  <c r="AG87" i="5"/>
  <c r="AG97" i="5"/>
  <c r="AI97" i="5" s="1"/>
  <c r="AG113" i="5"/>
  <c r="AH113" i="5" s="1"/>
  <c r="AG136" i="5"/>
  <c r="AI136" i="5" s="1"/>
  <c r="AG163" i="5"/>
  <c r="AG180" i="5"/>
  <c r="AH180" i="5" s="1"/>
  <c r="AG49" i="5"/>
  <c r="AH49" i="5" s="1"/>
  <c r="AG12" i="5"/>
  <c r="AI12" i="5" s="1"/>
  <c r="AG23" i="5"/>
  <c r="AG21" i="5"/>
  <c r="AH21" i="5" s="1"/>
  <c r="AG29" i="5"/>
  <c r="AH29" i="5" s="1"/>
  <c r="AG37" i="5"/>
  <c r="AI37" i="5" s="1"/>
  <c r="AG20" i="5"/>
  <c r="AH20" i="5" s="1"/>
  <c r="AG36" i="5"/>
  <c r="AH36" i="5" s="1"/>
  <c r="AG51" i="5"/>
  <c r="AI51" i="5" s="1"/>
  <c r="AG58" i="5"/>
  <c r="AI58" i="5" s="1"/>
  <c r="AG66" i="5"/>
  <c r="AG74" i="5"/>
  <c r="AH74" i="5" s="1"/>
  <c r="AG88" i="5"/>
  <c r="AI88" i="5" s="1"/>
  <c r="AG106" i="5"/>
  <c r="AI106" i="5" s="1"/>
  <c r="AG122" i="5"/>
  <c r="AG148" i="5"/>
  <c r="AH148" i="5" s="1"/>
  <c r="AG158" i="5"/>
  <c r="AH158" i="5" s="1"/>
  <c r="AG186" i="5"/>
  <c r="AH186" i="5" s="1"/>
  <c r="AG45" i="5"/>
  <c r="AG77" i="5"/>
  <c r="AI77" i="5" s="1"/>
  <c r="AG96" i="5"/>
  <c r="AH96" i="5" s="1"/>
  <c r="AG112" i="5"/>
  <c r="AI112" i="5" s="1"/>
  <c r="AG127" i="5"/>
  <c r="AI127" i="5" s="1"/>
  <c r="AG145" i="5"/>
  <c r="AH145" i="5" s="1"/>
  <c r="AG157" i="5"/>
  <c r="AI157" i="5" s="1"/>
  <c r="AG174" i="5"/>
  <c r="AI174" i="5" s="1"/>
  <c r="AG43" i="5"/>
  <c r="AG65" i="5"/>
  <c r="AH65" i="5" s="1"/>
  <c r="AG79" i="5"/>
  <c r="AI79" i="5" s="1"/>
  <c r="AG89" i="5"/>
  <c r="AH89" i="5" s="1"/>
  <c r="AG98" i="5"/>
  <c r="AG114" i="5"/>
  <c r="AI114" i="5" s="1"/>
  <c r="AG146" i="5"/>
  <c r="AH146" i="5" s="1"/>
  <c r="AG164" i="5"/>
  <c r="AI164" i="5" s="1"/>
  <c r="AG183" i="5"/>
  <c r="AG55" i="5"/>
  <c r="AI55" i="5" s="1"/>
  <c r="AG72" i="5"/>
  <c r="AI72" i="5" s="1"/>
  <c r="AG93" i="5"/>
  <c r="AI93" i="5" s="1"/>
  <c r="AG109" i="5"/>
  <c r="AH109" i="5" s="1"/>
  <c r="AG125" i="5"/>
  <c r="AH125" i="5" s="1"/>
  <c r="AG133" i="5"/>
  <c r="AI133" i="5" s="1"/>
  <c r="AG141" i="5"/>
  <c r="AI141" i="5" s="1"/>
  <c r="AG161" i="5"/>
  <c r="AG172" i="5"/>
  <c r="AH172" i="5" s="1"/>
  <c r="AG181" i="5"/>
  <c r="AH181" i="5" s="1"/>
  <c r="AG192" i="5"/>
  <c r="AI192" i="5" s="1"/>
  <c r="AG201" i="5"/>
  <c r="AG217" i="5"/>
  <c r="AH217" i="5" s="1"/>
  <c r="AG232" i="5"/>
  <c r="AI232" i="5" s="1"/>
  <c r="AG243" i="5"/>
  <c r="AH243" i="5" s="1"/>
  <c r="AG255" i="5"/>
  <c r="AG266" i="5"/>
  <c r="AH266" i="5" s="1"/>
  <c r="AG274" i="5"/>
  <c r="AH274" i="5" s="1"/>
  <c r="AG282" i="5"/>
  <c r="AI282" i="5" s="1"/>
  <c r="AG290" i="5"/>
  <c r="AH290" i="5" s="1"/>
  <c r="AG306" i="5"/>
  <c r="AH306" i="5" s="1"/>
  <c r="AG338" i="5"/>
  <c r="AI338" i="5" s="1"/>
  <c r="AG354" i="5"/>
  <c r="AI354" i="5" s="1"/>
  <c r="AG366" i="5"/>
  <c r="AG382" i="5"/>
  <c r="AH382" i="5" s="1"/>
  <c r="AG411" i="5"/>
  <c r="AI411" i="5" s="1"/>
  <c r="AG427" i="5"/>
  <c r="AH427" i="5" s="1"/>
  <c r="AG443" i="5"/>
  <c r="AG195" i="5"/>
  <c r="AI195" i="5" s="1"/>
  <c r="AG213" i="5"/>
  <c r="AI213" i="5" s="1"/>
  <c r="AG227" i="5"/>
  <c r="AI227" i="5" s="1"/>
  <c r="AG248" i="5"/>
  <c r="AG300" i="5"/>
  <c r="AH300" i="5" s="1"/>
  <c r="AG312" i="5"/>
  <c r="AI312" i="5" s="1"/>
  <c r="AG321" i="5"/>
  <c r="AH321" i="5" s="1"/>
  <c r="AG327" i="5"/>
  <c r="AH327" i="5" s="1"/>
  <c r="AG334" i="5"/>
  <c r="AH334" i="5" s="1"/>
  <c r="AG350" i="5"/>
  <c r="AI350" i="5" s="1"/>
  <c r="AG361" i="5"/>
  <c r="AI361" i="5" s="1"/>
  <c r="AG377" i="5"/>
  <c r="AG384" i="5"/>
  <c r="AI384" i="5" s="1"/>
  <c r="AG393" i="5"/>
  <c r="AH393" i="5" s="1"/>
  <c r="AG410" i="5"/>
  <c r="AI410" i="5" s="1"/>
  <c r="AG426" i="5"/>
  <c r="AG442" i="5"/>
  <c r="AH442" i="5" s="1"/>
  <c r="AG463" i="5"/>
  <c r="AH463" i="5" s="1"/>
  <c r="AG473" i="5"/>
  <c r="AH473" i="5" s="1"/>
  <c r="AG489" i="5"/>
  <c r="AG207" i="5"/>
  <c r="AH207" i="5" s="1"/>
  <c r="AG221" i="5"/>
  <c r="AI221" i="5" s="1"/>
  <c r="AG239" i="5"/>
  <c r="AH239" i="5" s="1"/>
  <c r="AG7" i="5"/>
  <c r="AG27" i="5"/>
  <c r="AI27" i="5" s="1"/>
  <c r="AG22" i="5"/>
  <c r="AH22" i="5" s="1"/>
  <c r="AG30" i="5"/>
  <c r="AI30" i="5" s="1"/>
  <c r="AG38" i="5"/>
  <c r="AG24" i="5"/>
  <c r="AI24" i="5" s="1"/>
  <c r="AG40" i="5"/>
  <c r="AH40" i="5" s="1"/>
  <c r="AG53" i="5"/>
  <c r="AI53" i="5" s="1"/>
  <c r="AG59" i="5"/>
  <c r="AG67" i="5"/>
  <c r="AH67" i="5" s="1"/>
  <c r="AG75" i="5"/>
  <c r="AH75" i="5" s="1"/>
  <c r="AG100" i="5"/>
  <c r="AI100" i="5" s="1"/>
  <c r="AG116" i="5"/>
  <c r="AG129" i="5"/>
  <c r="AH129" i="5" s="1"/>
  <c r="AG150" i="5"/>
  <c r="AI150" i="5" s="1"/>
  <c r="AG165" i="5"/>
  <c r="AH165" i="5" s="1"/>
  <c r="AG188" i="5"/>
  <c r="AG47" i="5"/>
  <c r="AH47" i="5" s="1"/>
  <c r="AG80" i="5"/>
  <c r="AI80" i="5" s="1"/>
  <c r="AG99" i="5"/>
  <c r="AH99" i="5" s="1"/>
  <c r="AG115" i="5"/>
  <c r="AG135" i="5"/>
  <c r="AH135" i="5" s="1"/>
  <c r="AG147" i="5"/>
  <c r="AI147" i="5" s="1"/>
  <c r="AG159" i="5"/>
  <c r="AG176" i="5"/>
  <c r="AG50" i="5"/>
  <c r="AI50" i="5" s="1"/>
  <c r="AG69" i="5"/>
  <c r="AI69" i="5" s="1"/>
  <c r="AG84" i="5"/>
  <c r="AG92" i="5"/>
  <c r="AG108" i="5"/>
  <c r="AH108" i="5" s="1"/>
  <c r="AG124" i="5"/>
  <c r="AH124" i="5" s="1"/>
  <c r="AG155" i="5"/>
  <c r="AG170" i="5"/>
  <c r="AG185" i="5"/>
  <c r="AI185" i="5" s="1"/>
  <c r="AG60" i="5"/>
  <c r="AI60" i="5" s="1"/>
  <c r="AG76" i="5"/>
  <c r="AI76" i="5" s="1"/>
  <c r="AG94" i="5"/>
  <c r="AG110" i="5"/>
  <c r="AH110" i="5" s="1"/>
  <c r="AG126" i="5"/>
  <c r="AH126" i="5" s="1"/>
  <c r="AG134" i="5"/>
  <c r="AH134" i="5" s="1"/>
  <c r="AG142" i="5"/>
  <c r="AG166" i="5"/>
  <c r="AH166" i="5" s="1"/>
  <c r="AG175" i="5"/>
  <c r="AH175" i="5" s="1"/>
  <c r="AG184" i="5"/>
  <c r="AI184" i="5" s="1"/>
  <c r="AG197" i="5"/>
  <c r="AG210" i="5"/>
  <c r="AI210" i="5" s="1"/>
  <c r="AG222" i="5"/>
  <c r="AI222" i="5" s="1"/>
  <c r="AG233" i="5"/>
  <c r="AI233" i="5" s="1"/>
  <c r="AG247" i="5"/>
  <c r="AG256" i="5"/>
  <c r="AH256" i="5" s="1"/>
  <c r="AG267" i="5"/>
  <c r="AH267" i="5" s="1"/>
  <c r="AG275" i="5"/>
  <c r="AI275" i="5" s="1"/>
  <c r="AG283" i="5"/>
  <c r="AG291" i="5"/>
  <c r="AH291" i="5" s="1"/>
  <c r="AG307" i="5"/>
  <c r="AH307" i="5" s="1"/>
  <c r="AG340" i="5"/>
  <c r="AH340" i="5" s="1"/>
  <c r="AG356" i="5"/>
  <c r="AG368" i="5"/>
  <c r="AH368" i="5" s="1"/>
  <c r="AG391" i="5"/>
  <c r="AH391" i="5" s="1"/>
  <c r="AG413" i="5"/>
  <c r="AI413" i="5" s="1"/>
  <c r="AG429" i="5"/>
  <c r="AG445" i="5"/>
  <c r="AH445" i="5" s="1"/>
  <c r="AG206" i="5"/>
  <c r="AI206" i="5" s="1"/>
  <c r="AG220" i="5"/>
  <c r="AI220" i="5" s="1"/>
  <c r="AG236" i="5"/>
  <c r="AG251" i="5"/>
  <c r="AH251" i="5" s="1"/>
  <c r="AG302" i="5"/>
  <c r="AH302" i="5" s="1"/>
  <c r="AG313" i="5"/>
  <c r="AH313" i="5" s="1"/>
  <c r="AG322" i="5"/>
  <c r="AG330" i="5"/>
  <c r="AH330" i="5" s="1"/>
  <c r="AG336" i="5"/>
  <c r="AI336" i="5" s="1"/>
  <c r="AG352" i="5"/>
  <c r="AH352" i="5" s="1"/>
  <c r="AG370" i="5"/>
  <c r="AG378" i="5"/>
  <c r="AH378" i="5" s="1"/>
  <c r="AG385" i="5"/>
  <c r="AH385" i="5" s="1"/>
  <c r="AG404" i="5"/>
  <c r="AI404" i="5" s="1"/>
  <c r="AG420" i="5"/>
  <c r="AG436" i="5"/>
  <c r="AH436" i="5" s="1"/>
  <c r="AG451" i="5"/>
  <c r="AI451" i="5" s="1"/>
  <c r="AG467" i="5"/>
  <c r="AH467" i="5" s="1"/>
  <c r="AG483" i="5"/>
  <c r="AG187" i="5"/>
  <c r="AH187" i="5" s="1"/>
  <c r="AG209" i="5"/>
  <c r="AI209" i="5" s="1"/>
  <c r="AG228" i="5"/>
  <c r="AI228" i="5" s="1"/>
  <c r="AG244" i="5"/>
  <c r="AG13" i="5"/>
  <c r="AH13" i="5" s="1"/>
  <c r="AG41" i="5"/>
  <c r="AH41" i="5" s="1"/>
  <c r="AG62" i="5"/>
  <c r="AG119" i="5"/>
  <c r="AG191" i="5"/>
  <c r="AH191" i="5" s="1"/>
  <c r="AG117" i="5"/>
  <c r="AH117" i="5" s="1"/>
  <c r="AG177" i="5"/>
  <c r="AH177" i="5" s="1"/>
  <c r="AG95" i="5"/>
  <c r="AH95" i="5" s="1"/>
  <c r="AG173" i="5"/>
  <c r="AI173" i="5" s="1"/>
  <c r="AG81" i="5"/>
  <c r="AH81" i="5" s="1"/>
  <c r="AG120" i="5"/>
  <c r="AG138" i="5"/>
  <c r="AG169" i="5"/>
  <c r="AH169" i="5" s="1"/>
  <c r="AG189" i="5"/>
  <c r="AH189" i="5" s="1"/>
  <c r="AG212" i="5"/>
  <c r="AI212" i="5" s="1"/>
  <c r="AG235" i="5"/>
  <c r="AG262" i="5"/>
  <c r="AI262" i="5" s="1"/>
  <c r="AG278" i="5"/>
  <c r="AH278" i="5" s="1"/>
  <c r="AG301" i="5"/>
  <c r="AI301" i="5" s="1"/>
  <c r="AG345" i="5"/>
  <c r="AG369" i="5"/>
  <c r="AH369" i="5" s="1"/>
  <c r="AG414" i="5"/>
  <c r="AH414" i="5" s="1"/>
  <c r="AG446" i="5"/>
  <c r="AG224" i="5"/>
  <c r="AG252" i="5"/>
  <c r="AH252" i="5" s="1"/>
  <c r="AG318" i="5"/>
  <c r="AH318" i="5" s="1"/>
  <c r="AG331" i="5"/>
  <c r="AI331" i="5" s="1"/>
  <c r="AG358" i="5"/>
  <c r="AG379" i="5"/>
  <c r="AH379" i="5" s="1"/>
  <c r="AG407" i="5"/>
  <c r="AH407" i="5" s="1"/>
  <c r="AG439" i="5"/>
  <c r="AI439" i="5" s="1"/>
  <c r="AG470" i="5"/>
  <c r="AG202" i="5"/>
  <c r="AH202" i="5" s="1"/>
  <c r="AG229" i="5"/>
  <c r="AI229" i="5" s="1"/>
  <c r="AG265" i="5"/>
  <c r="AG281" i="5"/>
  <c r="AG296" i="5"/>
  <c r="AI296" i="5" s="1"/>
  <c r="AG319" i="5"/>
  <c r="AH319" i="5" s="1"/>
  <c r="AG337" i="5"/>
  <c r="AI337" i="5" s="1"/>
  <c r="AG353" i="5"/>
  <c r="AG367" i="5"/>
  <c r="AH367" i="5" s="1"/>
  <c r="AG400" i="5"/>
  <c r="AH400" i="5" s="1"/>
  <c r="AG416" i="5"/>
  <c r="AG432" i="5"/>
  <c r="AH432" i="5" s="1"/>
  <c r="AG448" i="5"/>
  <c r="AH448" i="5" s="1"/>
  <c r="AG203" i="5"/>
  <c r="AH203" i="5" s="1"/>
  <c r="AG226" i="5"/>
  <c r="AI226" i="5" s="1"/>
  <c r="AG245" i="5"/>
  <c r="AG257" i="5"/>
  <c r="AI257" i="5" s="1"/>
  <c r="AG268" i="5"/>
  <c r="AH268" i="5" s="1"/>
  <c r="AG284" i="5"/>
  <c r="AG295" i="5"/>
  <c r="AG314" i="5"/>
  <c r="AH314" i="5" s="1"/>
  <c r="AG335" i="5"/>
  <c r="AH335" i="5" s="1"/>
  <c r="AG351" i="5"/>
  <c r="AH351" i="5" s="1"/>
  <c r="AG376" i="5"/>
  <c r="AG387" i="5"/>
  <c r="AI387" i="5" s="1"/>
  <c r="AG397" i="5"/>
  <c r="AH397" i="5" s="1"/>
  <c r="AG412" i="5"/>
  <c r="AG428" i="5"/>
  <c r="AH428" i="5" s="1"/>
  <c r="AG444" i="5"/>
  <c r="AI444" i="5" s="1"/>
  <c r="AG453" i="5"/>
  <c r="AI453" i="5" s="1"/>
  <c r="AG461" i="5"/>
  <c r="AI461" i="5" s="1"/>
  <c r="AG478" i="5"/>
  <c r="AG474" i="5"/>
  <c r="AI474" i="5" s="1"/>
  <c r="AG498" i="5"/>
  <c r="AI498" i="5" s="1"/>
  <c r="AG513" i="5"/>
  <c r="AI513" i="5" s="1"/>
  <c r="AG530" i="5"/>
  <c r="AG547" i="5"/>
  <c r="AI547" i="5" s="1"/>
  <c r="AG554" i="5"/>
  <c r="AI554" i="5" s="1"/>
  <c r="AG491" i="5"/>
  <c r="AG502" i="5"/>
  <c r="AG508" i="5"/>
  <c r="AH508" i="5" s="1"/>
  <c r="AG536" i="5"/>
  <c r="AH536" i="5" s="1"/>
  <c r="AG458" i="5"/>
  <c r="AG477" i="5"/>
  <c r="AH477" i="5" s="1"/>
  <c r="AG492" i="5"/>
  <c r="AH492" i="5" s="1"/>
  <c r="AG519" i="5"/>
  <c r="AI519" i="5" s="1"/>
  <c r="AG535" i="5"/>
  <c r="AH535" i="5" s="1"/>
  <c r="AG550" i="5"/>
  <c r="AG552" i="5"/>
  <c r="AH552" i="5" s="1"/>
  <c r="AG506" i="5"/>
  <c r="AI506" i="5" s="1"/>
  <c r="AG522" i="5"/>
  <c r="AG528" i="5"/>
  <c r="AG544" i="5"/>
  <c r="AH544" i="5" s="1"/>
  <c r="AG31" i="5"/>
  <c r="AI31" i="5" s="1"/>
  <c r="AG28" i="5"/>
  <c r="AI28" i="5" s="1"/>
  <c r="AG70" i="5"/>
  <c r="AI70" i="5" s="1"/>
  <c r="AG130" i="5"/>
  <c r="AH130" i="5" s="1"/>
  <c r="AG56" i="5"/>
  <c r="AI56" i="5" s="1"/>
  <c r="AG139" i="5"/>
  <c r="AG52" i="5"/>
  <c r="AH52" i="5" s="1"/>
  <c r="AG111" i="5"/>
  <c r="AI111" i="5" s="1"/>
  <c r="AG39" i="5"/>
  <c r="AH39" i="5" s="1"/>
  <c r="AG90" i="5"/>
  <c r="AI90" i="5" s="1"/>
  <c r="AG123" i="5"/>
  <c r="AG140" i="5"/>
  <c r="AI140" i="5" s="1"/>
  <c r="AG171" i="5"/>
  <c r="AH171" i="5" s="1"/>
  <c r="AG190" i="5"/>
  <c r="AG215" i="5"/>
  <c r="AG242" i="5"/>
  <c r="AI242" i="5" s="1"/>
  <c r="AG263" i="5"/>
  <c r="AI263" i="5" s="1"/>
  <c r="AG279" i="5"/>
  <c r="AI279" i="5" s="1"/>
  <c r="AG304" i="5"/>
  <c r="AG347" i="5"/>
  <c r="AI347" i="5" s="1"/>
  <c r="AG375" i="5"/>
  <c r="AH375" i="5" s="1"/>
  <c r="AG424" i="5"/>
  <c r="AH424" i="5" s="1"/>
  <c r="AG194" i="5"/>
  <c r="AG225" i="5"/>
  <c r="AH225" i="5" s="1"/>
  <c r="AG297" i="5"/>
  <c r="AI297" i="5" s="1"/>
  <c r="AG320" i="5"/>
  <c r="AH320" i="5" s="1"/>
  <c r="AG333" i="5"/>
  <c r="AG360" i="5"/>
  <c r="AH360" i="5" s="1"/>
  <c r="AG381" i="5"/>
  <c r="AH381" i="5" s="1"/>
  <c r="AG409" i="5"/>
  <c r="AH409" i="5" s="1"/>
  <c r="AG441" i="5"/>
  <c r="AG472" i="5"/>
  <c r="AH472" i="5" s="1"/>
  <c r="AG204" i="5"/>
  <c r="AI204" i="5" s="1"/>
  <c r="AG234" i="5"/>
  <c r="AH234" i="5" s="1"/>
  <c r="AG269" i="5"/>
  <c r="AI269" i="5" s="1"/>
  <c r="AG285" i="5"/>
  <c r="AI285" i="5" s="1"/>
  <c r="AG298" i="5"/>
  <c r="AH298" i="5" s="1"/>
  <c r="AG324" i="5"/>
  <c r="AI324" i="5" s="1"/>
  <c r="AG339" i="5"/>
  <c r="AH339" i="5" s="1"/>
  <c r="AG355" i="5"/>
  <c r="AI355" i="5" s="1"/>
  <c r="AG374" i="5"/>
  <c r="AH374" i="5" s="1"/>
  <c r="AG403" i="5"/>
  <c r="AG419" i="5"/>
  <c r="AI419" i="5" s="1"/>
  <c r="AG435" i="5"/>
  <c r="AH435" i="5" s="1"/>
  <c r="AG450" i="5"/>
  <c r="AI450" i="5" s="1"/>
  <c r="AG205" i="5"/>
  <c r="AH205" i="5" s="1"/>
  <c r="AG231" i="5"/>
  <c r="AI231" i="5" s="1"/>
  <c r="AG246" i="5"/>
  <c r="AI246" i="5" s="1"/>
  <c r="AG259" i="5"/>
  <c r="AI259" i="5" s="1"/>
  <c r="AG272" i="5"/>
  <c r="AI272" i="5" s="1"/>
  <c r="AG288" i="5"/>
  <c r="AH288" i="5" s="1"/>
  <c r="AG305" i="5"/>
  <c r="AI305" i="5" s="1"/>
  <c r="AG316" i="5"/>
  <c r="AH316" i="5" s="1"/>
  <c r="AG342" i="5"/>
  <c r="AG359" i="5"/>
  <c r="AH359" i="5" s="1"/>
  <c r="AG380" i="5"/>
  <c r="AH380" i="5" s="1"/>
  <c r="AG392" i="5"/>
  <c r="AI392" i="5" s="1"/>
  <c r="AG399" i="5"/>
  <c r="AI399" i="5" s="1"/>
  <c r="AG415" i="5"/>
  <c r="AI415" i="5" s="1"/>
  <c r="AG431" i="5"/>
  <c r="AI431" i="5" s="1"/>
  <c r="AG447" i="5"/>
  <c r="AI447" i="5" s="1"/>
  <c r="AG456" i="5"/>
  <c r="AG464" i="5"/>
  <c r="AH464" i="5" s="1"/>
  <c r="AG480" i="5"/>
  <c r="AH480" i="5" s="1"/>
  <c r="AG476" i="5"/>
  <c r="AH476" i="5" s="1"/>
  <c r="AG503" i="5"/>
  <c r="AI503" i="5" s="1"/>
  <c r="AG514" i="5"/>
  <c r="AH514" i="5" s="1"/>
  <c r="AG531" i="5"/>
  <c r="AI531" i="5" s="1"/>
  <c r="AG549" i="5"/>
  <c r="AH549" i="5" s="1"/>
  <c r="AG559" i="5"/>
  <c r="AG494" i="5"/>
  <c r="AI494" i="5" s="1"/>
  <c r="AG504" i="5"/>
  <c r="AI504" i="5" s="1"/>
  <c r="AG510" i="5"/>
  <c r="AI510" i="5" s="1"/>
  <c r="AG538" i="5"/>
  <c r="AH538" i="5" s="1"/>
  <c r="AG462" i="5"/>
  <c r="AG482" i="5"/>
  <c r="AH482" i="5" s="1"/>
  <c r="AG493" i="5"/>
  <c r="AH493" i="5" s="1"/>
  <c r="AG525" i="5"/>
  <c r="AI525" i="5" s="1"/>
  <c r="AG539" i="5"/>
  <c r="AH539" i="5" s="1"/>
  <c r="AG555" i="5"/>
  <c r="AH555" i="5" s="1"/>
  <c r="AG479" i="5"/>
  <c r="AH479" i="5" s="1"/>
  <c r="AG509" i="5"/>
  <c r="AG523" i="5"/>
  <c r="AI523" i="5" s="1"/>
  <c r="AG529" i="5"/>
  <c r="AH529" i="5" s="1"/>
  <c r="AG546" i="5"/>
  <c r="AH546" i="5" s="1"/>
  <c r="AG25" i="5"/>
  <c r="AH25" i="5" s="1"/>
  <c r="AG44" i="5"/>
  <c r="AI44" i="5" s="1"/>
  <c r="AG82" i="5"/>
  <c r="AH82" i="5" s="1"/>
  <c r="AG151" i="5"/>
  <c r="AH151" i="5" s="1"/>
  <c r="AG85" i="5"/>
  <c r="AH85" i="5" s="1"/>
  <c r="AG153" i="5"/>
  <c r="AG73" i="5"/>
  <c r="AI73" i="5" s="1"/>
  <c r="AG132" i="5"/>
  <c r="AH132" i="5" s="1"/>
  <c r="AG64" i="5"/>
  <c r="AG104" i="5"/>
  <c r="AI104" i="5" s="1"/>
  <c r="AG128" i="5"/>
  <c r="AH128" i="5" s="1"/>
  <c r="AG143" i="5"/>
  <c r="AI143" i="5" s="1"/>
  <c r="AG178" i="5"/>
  <c r="AG198" i="5"/>
  <c r="AH198" i="5" s="1"/>
  <c r="AG223" i="5"/>
  <c r="AH223" i="5" s="1"/>
  <c r="AG250" i="5"/>
  <c r="AI250" i="5" s="1"/>
  <c r="AG270" i="5"/>
  <c r="AG286" i="5"/>
  <c r="AI286" i="5" s="1"/>
  <c r="AG315" i="5"/>
  <c r="AH315" i="5" s="1"/>
  <c r="AG357" i="5"/>
  <c r="AI357" i="5" s="1"/>
  <c r="AG395" i="5"/>
  <c r="AH395" i="5" s="1"/>
  <c r="AG430" i="5"/>
  <c r="AI430" i="5" s="1"/>
  <c r="AG208" i="5"/>
  <c r="AH208" i="5" s="1"/>
  <c r="AG237" i="5"/>
  <c r="AI237" i="5" s="1"/>
  <c r="AG303" i="5"/>
  <c r="AG325" i="5"/>
  <c r="AH325" i="5" s="1"/>
  <c r="AG341" i="5"/>
  <c r="AI341" i="5" s="1"/>
  <c r="AG372" i="5"/>
  <c r="AH372" i="5" s="1"/>
  <c r="AG389" i="5"/>
  <c r="AI389" i="5" s="1"/>
  <c r="AG423" i="5"/>
  <c r="AH423" i="5" s="1"/>
  <c r="AG455" i="5"/>
  <c r="AH455" i="5" s="1"/>
  <c r="AG486" i="5"/>
  <c r="AH486" i="5" s="1"/>
  <c r="AG218" i="5"/>
  <c r="AH218" i="5" s="1"/>
  <c r="AG258" i="5"/>
  <c r="AI258" i="5" s="1"/>
  <c r="AG273" i="5"/>
  <c r="AH273" i="5" s="1"/>
  <c r="AG289" i="5"/>
  <c r="AH289" i="5" s="1"/>
  <c r="AG299" i="5"/>
  <c r="AI299" i="5" s="1"/>
  <c r="AG328" i="5"/>
  <c r="AH328" i="5" s="1"/>
  <c r="AG346" i="5"/>
  <c r="AH346" i="5" s="1"/>
  <c r="AG362" i="5"/>
  <c r="AI362" i="5" s="1"/>
  <c r="AG388" i="5"/>
  <c r="AI388" i="5" s="1"/>
  <c r="AG405" i="5"/>
  <c r="AH405" i="5" s="1"/>
  <c r="AG421" i="5"/>
  <c r="AI421" i="5" s="1"/>
  <c r="AG437" i="5"/>
  <c r="AH437" i="5" s="1"/>
  <c r="AG196" i="5"/>
  <c r="AH196" i="5" s="1"/>
  <c r="AG214" i="5"/>
  <c r="AG238" i="5"/>
  <c r="AI238" i="5" s="1"/>
  <c r="AG249" i="5"/>
  <c r="AI249" i="5" s="1"/>
  <c r="AG260" i="5"/>
  <c r="AH260" i="5" s="1"/>
  <c r="AG276" i="5"/>
  <c r="AG292" i="5"/>
  <c r="AH292" i="5" s="1"/>
  <c r="AG308" i="5"/>
  <c r="AH308" i="5" s="1"/>
  <c r="AG317" i="5"/>
  <c r="AI317" i="5" s="1"/>
  <c r="AG344" i="5"/>
  <c r="AG365" i="5"/>
  <c r="AI365" i="5" s="1"/>
  <c r="AG383" i="5"/>
  <c r="AI383" i="5" s="1"/>
  <c r="AG394" i="5"/>
  <c r="AH394" i="5" s="1"/>
  <c r="AG401" i="5"/>
  <c r="AI401" i="5" s="1"/>
  <c r="AG417" i="5"/>
  <c r="AH417" i="5" s="1"/>
  <c r="AG433" i="5"/>
  <c r="AI433" i="5" s="1"/>
  <c r="AG449" i="5"/>
  <c r="AG457" i="5"/>
  <c r="AG465" i="5"/>
  <c r="AI465" i="5" s="1"/>
  <c r="AG481" i="5"/>
  <c r="AH481" i="5" s="1"/>
  <c r="AG485" i="5"/>
  <c r="AG19" i="5"/>
  <c r="AG537" i="5"/>
  <c r="AI537" i="5" s="1"/>
  <c r="AG518" i="5"/>
  <c r="AI518" i="5" s="1"/>
  <c r="AG556" i="5"/>
  <c r="AI556" i="5" s="1"/>
  <c r="AG533" i="5"/>
  <c r="AI533" i="5" s="1"/>
  <c r="AG490" i="5"/>
  <c r="AI490" i="5" s="1"/>
  <c r="AG454" i="5"/>
  <c r="AI454" i="5" s="1"/>
  <c r="AG507" i="5"/>
  <c r="AI507" i="5" s="1"/>
  <c r="AG487" i="5"/>
  <c r="AG542" i="5"/>
  <c r="AI542" i="5" s="1"/>
  <c r="AG512" i="5"/>
  <c r="AI512" i="5" s="1"/>
  <c r="AG475" i="5"/>
  <c r="AH475" i="5" s="1"/>
  <c r="AG418" i="5"/>
  <c r="AH418" i="5" s="1"/>
  <c r="AG371" i="5"/>
  <c r="AH371" i="5" s="1"/>
  <c r="AG294" i="5"/>
  <c r="AI294" i="5" s="1"/>
  <c r="AG240" i="5"/>
  <c r="AH240" i="5" s="1"/>
  <c r="AG422" i="5"/>
  <c r="AG348" i="5"/>
  <c r="AI348" i="5" s="1"/>
  <c r="AG277" i="5"/>
  <c r="AI277" i="5" s="1"/>
  <c r="AG459" i="5"/>
  <c r="AI459" i="5" s="1"/>
  <c r="AG343" i="5"/>
  <c r="AG211" i="5"/>
  <c r="AH211" i="5" s="1"/>
  <c r="AG323" i="5"/>
  <c r="AH323" i="5" s="1"/>
  <c r="AG230" i="5"/>
  <c r="AI230" i="5" s="1"/>
  <c r="AG131" i="5"/>
  <c r="AG86" i="5"/>
  <c r="AH86" i="5" s="1"/>
  <c r="AG103" i="5"/>
  <c r="AH103" i="5" s="1"/>
  <c r="AG560" i="5"/>
  <c r="AH560" i="5" s="1"/>
  <c r="AG534" i="5"/>
  <c r="AG516" i="5"/>
  <c r="AH516" i="5" s="1"/>
  <c r="AG557" i="5"/>
  <c r="AH557" i="5" s="1"/>
  <c r="AG532" i="5"/>
  <c r="AH532" i="5" s="1"/>
  <c r="AG484" i="5"/>
  <c r="AI484" i="5" s="1"/>
  <c r="AG543" i="5"/>
  <c r="AH543" i="5" s="1"/>
  <c r="AG505" i="5"/>
  <c r="AI505" i="5" s="1"/>
  <c r="AG471" i="5"/>
  <c r="AI471" i="5" s="1"/>
  <c r="AG540" i="5"/>
  <c r="AG511" i="5"/>
  <c r="AI511" i="5" s="1"/>
  <c r="AG460" i="5"/>
  <c r="AI460" i="5" s="1"/>
  <c r="AG402" i="5"/>
  <c r="AG349" i="5"/>
  <c r="AG280" i="5"/>
  <c r="AH280" i="5" s="1"/>
  <c r="AG216" i="5"/>
  <c r="AH216" i="5" s="1"/>
  <c r="AG406" i="5"/>
  <c r="AH406" i="5" s="1"/>
  <c r="AG332" i="5"/>
  <c r="AG261" i="5"/>
  <c r="AI261" i="5" s="1"/>
  <c r="AG425" i="5"/>
  <c r="AI425" i="5" s="1"/>
  <c r="AG326" i="5"/>
  <c r="AH326" i="5" s="1"/>
  <c r="AG440" i="5"/>
  <c r="AH440" i="5" s="1"/>
  <c r="AG287" i="5"/>
  <c r="AH287" i="5" s="1"/>
  <c r="AG199" i="5"/>
  <c r="AI199" i="5" s="1"/>
  <c r="AG107" i="5"/>
  <c r="AI107" i="5" s="1"/>
  <c r="AG160" i="5"/>
  <c r="AH160" i="5" s="1"/>
  <c r="AG54" i="5"/>
  <c r="AH54" i="5" s="1"/>
  <c r="AG553" i="5"/>
  <c r="AH553" i="5" s="1"/>
  <c r="AG527" i="5"/>
  <c r="AI527" i="5" s="1"/>
  <c r="AG501" i="5"/>
  <c r="AG548" i="5"/>
  <c r="AI548" i="5" s="1"/>
  <c r="AG517" i="5"/>
  <c r="AI517" i="5" s="1"/>
  <c r="AG468" i="5"/>
  <c r="AH468" i="5" s="1"/>
  <c r="AG520" i="5"/>
  <c r="AI520" i="5" s="1"/>
  <c r="AG497" i="5"/>
  <c r="AH497" i="5" s="1"/>
  <c r="AG545" i="5"/>
  <c r="AH545" i="5" s="1"/>
  <c r="AG526" i="5"/>
  <c r="AI526" i="5" s="1"/>
  <c r="AG495" i="5"/>
  <c r="AG452" i="5"/>
  <c r="AH452" i="5" s="1"/>
  <c r="AG396" i="5"/>
  <c r="AH396" i="5" s="1"/>
  <c r="AG329" i="5"/>
  <c r="AH329" i="5" s="1"/>
  <c r="AG264" i="5"/>
  <c r="AG200" i="5"/>
  <c r="AH200" i="5" s="1"/>
  <c r="AG398" i="5"/>
  <c r="AI398" i="5" s="1"/>
  <c r="AG311" i="5"/>
  <c r="AI311" i="5" s="1"/>
  <c r="AG219" i="5"/>
  <c r="AH219" i="5" s="1"/>
  <c r="AG390" i="5"/>
  <c r="AH390" i="5" s="1"/>
  <c r="AG310" i="5"/>
  <c r="AH310" i="5" s="1"/>
  <c r="AG408" i="5"/>
  <c r="AG271" i="5"/>
  <c r="AG179" i="5"/>
  <c r="AH179" i="5" s="1"/>
  <c r="AG68" i="5"/>
  <c r="AI68" i="5" s="1"/>
  <c r="AG101" i="5"/>
  <c r="AH101" i="5" s="1"/>
  <c r="AG33" i="5"/>
  <c r="B131" i="2"/>
  <c r="H35" i="1" s="1"/>
  <c r="B133" i="2"/>
  <c r="B97" i="2"/>
  <c r="B57" i="2"/>
  <c r="B62" i="2"/>
  <c r="AF546" i="5"/>
  <c r="AF498" i="5"/>
  <c r="AF358" i="5"/>
  <c r="AF37" i="5"/>
  <c r="AF538" i="5"/>
  <c r="AF482" i="5"/>
  <c r="AF294" i="5"/>
  <c r="AF29" i="5"/>
  <c r="AF522" i="5"/>
  <c r="AF466" i="5"/>
  <c r="AF214" i="5"/>
  <c r="AF558" i="5"/>
  <c r="AF506" i="5"/>
  <c r="AF414" i="5"/>
  <c r="AF21" i="5"/>
  <c r="AF542" i="5"/>
  <c r="AF518" i="5"/>
  <c r="AF486" i="5"/>
  <c r="AF454" i="5"/>
  <c r="AF406" i="5"/>
  <c r="AF342" i="5"/>
  <c r="AF286" i="5"/>
  <c r="AF90" i="5"/>
  <c r="AF446" i="5"/>
  <c r="AF382" i="5"/>
  <c r="AF326" i="5"/>
  <c r="AF278" i="5"/>
  <c r="AF437" i="5"/>
  <c r="AF33" i="5"/>
  <c r="AF554" i="5"/>
  <c r="AF530" i="5"/>
  <c r="AF502" i="5"/>
  <c r="AF474" i="5"/>
  <c r="AF422" i="5"/>
  <c r="AF374" i="5"/>
  <c r="AF318" i="5"/>
  <c r="AF246" i="5"/>
  <c r="AF41" i="5"/>
  <c r="AF25" i="5"/>
  <c r="AF550" i="5"/>
  <c r="AF534" i="5"/>
  <c r="AF514" i="5"/>
  <c r="AF490" i="5"/>
  <c r="AF470" i="5"/>
  <c r="AF438" i="5"/>
  <c r="AF390" i="5"/>
  <c r="AF350" i="5"/>
  <c r="AF310" i="5"/>
  <c r="AF262" i="5"/>
  <c r="AF198" i="5"/>
  <c r="AF373" i="5"/>
  <c r="AF254" i="5"/>
  <c r="AP254" i="5" s="1"/>
  <c r="AF150" i="5"/>
  <c r="AF526" i="5"/>
  <c r="AF510" i="5"/>
  <c r="AF494" i="5"/>
  <c r="AF478" i="5"/>
  <c r="AF462" i="5"/>
  <c r="AF430" i="5"/>
  <c r="AF398" i="5"/>
  <c r="AF366" i="5"/>
  <c r="AF334" i="5"/>
  <c r="AF302" i="5"/>
  <c r="AF270" i="5"/>
  <c r="AF238" i="5"/>
  <c r="AF182" i="5"/>
  <c r="AF24" i="5"/>
  <c r="AF193" i="5"/>
  <c r="AF230" i="5"/>
  <c r="AF166" i="5"/>
  <c r="AF501" i="5"/>
  <c r="AF458" i="5"/>
  <c r="AF442" i="5"/>
  <c r="AF426" i="5"/>
  <c r="AF410" i="5"/>
  <c r="AF394" i="5"/>
  <c r="AF378" i="5"/>
  <c r="AF362" i="5"/>
  <c r="AF346" i="5"/>
  <c r="AF330" i="5"/>
  <c r="AF314" i="5"/>
  <c r="AF298" i="5"/>
  <c r="AF282" i="5"/>
  <c r="AF266" i="5"/>
  <c r="AF250" i="5"/>
  <c r="AF234" i="5"/>
  <c r="AF206" i="5"/>
  <c r="AF174" i="5"/>
  <c r="AF138" i="5"/>
  <c r="AF74" i="5"/>
  <c r="AF549" i="5"/>
  <c r="AF485" i="5"/>
  <c r="AF421" i="5"/>
  <c r="AF353" i="5"/>
  <c r="AF129" i="5"/>
  <c r="AF122" i="5"/>
  <c r="AF58" i="5"/>
  <c r="AF533" i="5"/>
  <c r="AF469" i="5"/>
  <c r="AP469" i="5" s="1"/>
  <c r="AF405" i="5"/>
  <c r="AF321" i="5"/>
  <c r="AF524" i="5"/>
  <c r="AF450" i="5"/>
  <c r="AF434" i="5"/>
  <c r="AF418" i="5"/>
  <c r="AF402" i="5"/>
  <c r="AF386" i="5"/>
  <c r="AF370" i="5"/>
  <c r="AF354" i="5"/>
  <c r="AF338" i="5"/>
  <c r="AF322" i="5"/>
  <c r="AF306" i="5"/>
  <c r="AF290" i="5"/>
  <c r="AF274" i="5"/>
  <c r="AF258" i="5"/>
  <c r="AF242" i="5"/>
  <c r="AF222" i="5"/>
  <c r="AF190" i="5"/>
  <c r="AF158" i="5"/>
  <c r="AF106" i="5"/>
  <c r="AF40" i="5"/>
  <c r="AF517" i="5"/>
  <c r="AF453" i="5"/>
  <c r="AF389" i="5"/>
  <c r="AF257" i="5"/>
  <c r="AF226" i="5"/>
  <c r="AF210" i="5"/>
  <c r="AF194" i="5"/>
  <c r="AF178" i="5"/>
  <c r="AF162" i="5"/>
  <c r="AF146" i="5"/>
  <c r="AF114" i="5"/>
  <c r="AF82" i="5"/>
  <c r="AF50" i="5"/>
  <c r="AF557" i="5"/>
  <c r="AF525" i="5"/>
  <c r="AF493" i="5"/>
  <c r="AF461" i="5"/>
  <c r="AF429" i="5"/>
  <c r="AF397" i="5"/>
  <c r="AF365" i="5"/>
  <c r="AF305" i="5"/>
  <c r="AF241" i="5"/>
  <c r="AF177" i="5"/>
  <c r="AF113" i="5"/>
  <c r="AF436" i="5"/>
  <c r="AF289" i="5"/>
  <c r="AF225" i="5"/>
  <c r="AP225" i="5" s="1"/>
  <c r="AF161" i="5"/>
  <c r="AF97" i="5"/>
  <c r="AF300" i="5"/>
  <c r="AF218" i="5"/>
  <c r="AF202" i="5"/>
  <c r="AF186" i="5"/>
  <c r="AF170" i="5"/>
  <c r="AP170" i="5" s="1"/>
  <c r="AF154" i="5"/>
  <c r="AF130" i="5"/>
  <c r="AF98" i="5"/>
  <c r="AF66" i="5"/>
  <c r="AF32" i="5"/>
  <c r="AF541" i="5"/>
  <c r="AF509" i="5"/>
  <c r="AF477" i="5"/>
  <c r="AF445" i="5"/>
  <c r="AF413" i="5"/>
  <c r="AF381" i="5"/>
  <c r="AF337" i="5"/>
  <c r="AF273" i="5"/>
  <c r="AF209" i="5"/>
  <c r="AF145" i="5"/>
  <c r="AF49" i="5"/>
  <c r="AF134" i="5"/>
  <c r="AF118" i="5"/>
  <c r="AF102" i="5"/>
  <c r="AF86" i="5"/>
  <c r="AF70" i="5"/>
  <c r="AF54" i="5"/>
  <c r="AF36" i="5"/>
  <c r="AF20" i="5"/>
  <c r="AP20" i="5" s="1"/>
  <c r="AF545" i="5"/>
  <c r="AF529" i="5"/>
  <c r="AF513" i="5"/>
  <c r="AF497" i="5"/>
  <c r="AF481" i="5"/>
  <c r="AF465" i="5"/>
  <c r="AF449" i="5"/>
  <c r="AF433" i="5"/>
  <c r="AF417" i="5"/>
  <c r="AF401" i="5"/>
  <c r="AF385" i="5"/>
  <c r="AF369" i="5"/>
  <c r="AF345" i="5"/>
  <c r="AF313" i="5"/>
  <c r="AF281" i="5"/>
  <c r="AF249" i="5"/>
  <c r="AF217" i="5"/>
  <c r="AF185" i="5"/>
  <c r="AF153" i="5"/>
  <c r="AF121" i="5"/>
  <c r="AF89" i="5"/>
  <c r="AF31" i="5"/>
  <c r="AF508" i="5"/>
  <c r="AF404" i="5"/>
  <c r="AF256" i="5"/>
  <c r="AP256" i="5" s="1"/>
  <c r="AF81" i="5"/>
  <c r="AF556" i="5"/>
  <c r="AF492" i="5"/>
  <c r="AF372" i="5"/>
  <c r="AF64" i="5"/>
  <c r="AF142" i="5"/>
  <c r="AF126" i="5"/>
  <c r="AF110" i="5"/>
  <c r="AF94" i="5"/>
  <c r="AF78" i="5"/>
  <c r="AF62" i="5"/>
  <c r="AF46" i="5"/>
  <c r="AF28" i="5"/>
  <c r="AF553" i="5"/>
  <c r="AF537" i="5"/>
  <c r="AF521" i="5"/>
  <c r="AF505" i="5"/>
  <c r="AF489" i="5"/>
  <c r="AF473" i="5"/>
  <c r="AF457" i="5"/>
  <c r="AF441" i="5"/>
  <c r="AF425" i="5"/>
  <c r="AF409" i="5"/>
  <c r="AF393" i="5"/>
  <c r="AF377" i="5"/>
  <c r="AF361" i="5"/>
  <c r="AF329" i="5"/>
  <c r="AF297" i="5"/>
  <c r="AF265" i="5"/>
  <c r="AF233" i="5"/>
  <c r="AP233" i="5" s="1"/>
  <c r="AF201" i="5"/>
  <c r="AF169" i="5"/>
  <c r="AP169" i="5" s="1"/>
  <c r="AF137" i="5"/>
  <c r="AF105" i="5"/>
  <c r="AF65" i="5"/>
  <c r="AF540" i="5"/>
  <c r="AF468" i="5"/>
  <c r="AF340" i="5"/>
  <c r="AF357" i="5"/>
  <c r="AF341" i="5"/>
  <c r="AF325" i="5"/>
  <c r="AF309" i="5"/>
  <c r="AF293" i="5"/>
  <c r="AF277" i="5"/>
  <c r="AF261" i="5"/>
  <c r="AF245" i="5"/>
  <c r="AF229" i="5"/>
  <c r="AF213" i="5"/>
  <c r="AF197" i="5"/>
  <c r="AF181" i="5"/>
  <c r="AF165" i="5"/>
  <c r="AF149" i="5"/>
  <c r="AF133" i="5"/>
  <c r="AF117" i="5"/>
  <c r="AF101" i="5"/>
  <c r="AF85" i="5"/>
  <c r="AF57" i="5"/>
  <c r="AP57" i="5" s="1"/>
  <c r="AF23" i="5"/>
  <c r="AF532" i="5"/>
  <c r="AF500" i="5"/>
  <c r="AF452" i="5"/>
  <c r="AF388" i="5"/>
  <c r="AF320" i="5"/>
  <c r="AF236" i="5"/>
  <c r="AF543" i="5"/>
  <c r="AF192" i="5"/>
  <c r="AF399" i="5"/>
  <c r="AF349" i="5"/>
  <c r="AF333" i="5"/>
  <c r="AF317" i="5"/>
  <c r="AF301" i="5"/>
  <c r="AF285" i="5"/>
  <c r="AF269" i="5"/>
  <c r="AF253" i="5"/>
  <c r="AF237" i="5"/>
  <c r="AF221" i="5"/>
  <c r="AF205" i="5"/>
  <c r="AF189" i="5"/>
  <c r="AF173" i="5"/>
  <c r="AF157" i="5"/>
  <c r="AF141" i="5"/>
  <c r="AF125" i="5"/>
  <c r="AF109" i="5"/>
  <c r="AF93" i="5"/>
  <c r="AF73" i="5"/>
  <c r="AF39" i="5"/>
  <c r="AF548" i="5"/>
  <c r="AF516" i="5"/>
  <c r="AF484" i="5"/>
  <c r="AF420" i="5"/>
  <c r="AF356" i="5"/>
  <c r="AF280" i="5"/>
  <c r="AF128" i="5"/>
  <c r="AF69" i="5"/>
  <c r="AF53" i="5"/>
  <c r="AF35" i="5"/>
  <c r="AF560" i="5"/>
  <c r="AF544" i="5"/>
  <c r="AF528" i="5"/>
  <c r="AF512" i="5"/>
  <c r="AF496" i="5"/>
  <c r="AF476" i="5"/>
  <c r="AF444" i="5"/>
  <c r="AF412" i="5"/>
  <c r="AF380" i="5"/>
  <c r="AF348" i="5"/>
  <c r="AF312" i="5"/>
  <c r="AF268" i="5"/>
  <c r="AF224" i="5"/>
  <c r="AF176" i="5"/>
  <c r="AF112" i="5"/>
  <c r="AF48" i="5"/>
  <c r="AF511" i="5"/>
  <c r="AF383" i="5"/>
  <c r="AF216" i="5"/>
  <c r="AF160" i="5"/>
  <c r="AF96" i="5"/>
  <c r="AF34" i="5"/>
  <c r="AF495" i="5"/>
  <c r="AF271" i="5"/>
  <c r="AF77" i="5"/>
  <c r="AF61" i="5"/>
  <c r="AF45" i="5"/>
  <c r="AF27" i="5"/>
  <c r="AF552" i="5"/>
  <c r="AF536" i="5"/>
  <c r="AF520" i="5"/>
  <c r="AF504" i="5"/>
  <c r="AP504" i="5" s="1"/>
  <c r="AF488" i="5"/>
  <c r="AF460" i="5"/>
  <c r="AF428" i="5"/>
  <c r="AF396" i="5"/>
  <c r="AF364" i="5"/>
  <c r="AF332" i="5"/>
  <c r="AF288" i="5"/>
  <c r="AF248" i="5"/>
  <c r="AF204" i="5"/>
  <c r="AP204" i="5" s="1"/>
  <c r="AF144" i="5"/>
  <c r="AF80" i="5"/>
  <c r="AF559" i="5"/>
  <c r="AF479" i="5"/>
  <c r="AZ10" i="5"/>
  <c r="BA10" i="5" s="1"/>
  <c r="T10" i="5"/>
  <c r="AF255" i="5"/>
  <c r="AF527" i="5"/>
  <c r="AF463" i="5"/>
  <c r="AF335" i="5"/>
  <c r="AF127" i="5"/>
  <c r="AF447" i="5"/>
  <c r="AF319" i="5"/>
  <c r="AF63" i="5"/>
  <c r="AF207" i="5"/>
  <c r="AF191" i="5"/>
  <c r="AF431" i="5"/>
  <c r="AF367" i="5"/>
  <c r="AF303" i="5"/>
  <c r="AF239" i="5"/>
  <c r="AF175" i="5"/>
  <c r="AF111" i="5"/>
  <c r="AF13" i="5"/>
  <c r="AF415" i="5"/>
  <c r="AF351" i="5"/>
  <c r="AF287" i="5"/>
  <c r="AF223" i="5"/>
  <c r="AF159" i="5"/>
  <c r="AF95" i="5"/>
  <c r="AF143" i="5"/>
  <c r="AF79" i="5"/>
  <c r="AF480" i="5"/>
  <c r="AF464" i="5"/>
  <c r="AF448" i="5"/>
  <c r="AF432" i="5"/>
  <c r="AF416" i="5"/>
  <c r="AF400" i="5"/>
  <c r="AF384" i="5"/>
  <c r="AF368" i="5"/>
  <c r="AF352" i="5"/>
  <c r="AF336" i="5"/>
  <c r="AF316" i="5"/>
  <c r="AF296" i="5"/>
  <c r="AF272" i="5"/>
  <c r="AF252" i="5"/>
  <c r="AF232" i="5"/>
  <c r="AF208" i="5"/>
  <c r="AF184" i="5"/>
  <c r="AF152" i="5"/>
  <c r="AF120" i="5"/>
  <c r="AF88" i="5"/>
  <c r="AF56" i="5"/>
  <c r="AF26" i="5"/>
  <c r="AF535" i="5"/>
  <c r="AF503" i="5"/>
  <c r="AF471" i="5"/>
  <c r="AF439" i="5"/>
  <c r="AF407" i="5"/>
  <c r="AF375" i="5"/>
  <c r="AF343" i="5"/>
  <c r="AF311" i="5"/>
  <c r="AF279" i="5"/>
  <c r="AF247" i="5"/>
  <c r="AF215" i="5"/>
  <c r="AF183" i="5"/>
  <c r="AF151" i="5"/>
  <c r="AF119" i="5"/>
  <c r="AF87" i="5"/>
  <c r="AF55" i="5"/>
  <c r="AF10" i="5"/>
  <c r="AF47" i="5"/>
  <c r="AP47" i="5" s="1"/>
  <c r="AF472" i="5"/>
  <c r="AF456" i="5"/>
  <c r="AF440" i="5"/>
  <c r="AF424" i="5"/>
  <c r="AF408" i="5"/>
  <c r="AF392" i="5"/>
  <c r="AF376" i="5"/>
  <c r="AF360" i="5"/>
  <c r="AF344" i="5"/>
  <c r="AF328" i="5"/>
  <c r="AF304" i="5"/>
  <c r="AF284" i="5"/>
  <c r="AF264" i="5"/>
  <c r="AF240" i="5"/>
  <c r="AP240" i="5" s="1"/>
  <c r="AF220" i="5"/>
  <c r="AF200" i="5"/>
  <c r="AF168" i="5"/>
  <c r="AF136" i="5"/>
  <c r="AF104" i="5"/>
  <c r="AF72" i="5"/>
  <c r="AF42" i="5"/>
  <c r="AF551" i="5"/>
  <c r="AF519" i="5"/>
  <c r="AF487" i="5"/>
  <c r="AF455" i="5"/>
  <c r="AF423" i="5"/>
  <c r="AF391" i="5"/>
  <c r="AF359" i="5"/>
  <c r="AF327" i="5"/>
  <c r="AF295" i="5"/>
  <c r="AF263" i="5"/>
  <c r="AF231" i="5"/>
  <c r="AF199" i="5"/>
  <c r="AF167" i="5"/>
  <c r="AP167" i="5" s="1"/>
  <c r="AF135" i="5"/>
  <c r="AF103" i="5"/>
  <c r="AF71" i="5"/>
  <c r="AF19" i="5"/>
  <c r="AF188" i="5"/>
  <c r="AP188" i="5" s="1"/>
  <c r="AF172" i="5"/>
  <c r="AF156" i="5"/>
  <c r="AF140" i="5"/>
  <c r="AF124" i="5"/>
  <c r="AF108" i="5"/>
  <c r="AP108" i="5" s="1"/>
  <c r="AF92" i="5"/>
  <c r="AF76" i="5"/>
  <c r="AF60" i="5"/>
  <c r="AF44" i="5"/>
  <c r="AF30" i="5"/>
  <c r="AF555" i="5"/>
  <c r="AF539" i="5"/>
  <c r="AF523" i="5"/>
  <c r="AF507" i="5"/>
  <c r="AF491" i="5"/>
  <c r="AF475" i="5"/>
  <c r="AF459" i="5"/>
  <c r="AF443" i="5"/>
  <c r="AF427" i="5"/>
  <c r="AF411" i="5"/>
  <c r="AF395" i="5"/>
  <c r="AF379" i="5"/>
  <c r="AF363" i="5"/>
  <c r="AF347" i="5"/>
  <c r="AF331" i="5"/>
  <c r="AF315" i="5"/>
  <c r="AF299" i="5"/>
  <c r="AF283" i="5"/>
  <c r="AF267" i="5"/>
  <c r="AF251" i="5"/>
  <c r="AF235" i="5"/>
  <c r="AF219" i="5"/>
  <c r="AF203" i="5"/>
  <c r="AF187" i="5"/>
  <c r="AF171" i="5"/>
  <c r="AF155" i="5"/>
  <c r="AF139" i="5"/>
  <c r="AF123" i="5"/>
  <c r="AF107" i="5"/>
  <c r="AF91" i="5"/>
  <c r="AF75" i="5"/>
  <c r="AF59" i="5"/>
  <c r="AF43" i="5"/>
  <c r="AF7" i="5"/>
  <c r="AF9" i="5"/>
  <c r="AF8" i="5"/>
  <c r="AF324" i="5"/>
  <c r="AF308" i="5"/>
  <c r="AF292" i="5"/>
  <c r="AP292" i="5" s="1"/>
  <c r="AF276" i="5"/>
  <c r="AF260" i="5"/>
  <c r="AF244" i="5"/>
  <c r="AF228" i="5"/>
  <c r="AF212" i="5"/>
  <c r="AF196" i="5"/>
  <c r="AF180" i="5"/>
  <c r="AF164" i="5"/>
  <c r="AF148" i="5"/>
  <c r="AF132" i="5"/>
  <c r="AF116" i="5"/>
  <c r="AF100" i="5"/>
  <c r="AF84" i="5"/>
  <c r="AF68" i="5"/>
  <c r="AF52" i="5"/>
  <c r="AP52" i="5" s="1"/>
  <c r="AF38" i="5"/>
  <c r="AF22" i="5"/>
  <c r="AF547" i="5"/>
  <c r="AF531" i="5"/>
  <c r="AF515" i="5"/>
  <c r="AP515" i="5" s="1"/>
  <c r="AF499" i="5"/>
  <c r="AF483" i="5"/>
  <c r="AF467" i="5"/>
  <c r="AF451" i="5"/>
  <c r="AF435" i="5"/>
  <c r="AF419" i="5"/>
  <c r="AF403" i="5"/>
  <c r="AF387" i="5"/>
  <c r="AF371" i="5"/>
  <c r="AF355" i="5"/>
  <c r="AF339" i="5"/>
  <c r="AP339" i="5" s="1"/>
  <c r="AF323" i="5"/>
  <c r="AF307" i="5"/>
  <c r="AF291" i="5"/>
  <c r="AF275" i="5"/>
  <c r="AF259" i="5"/>
  <c r="AF243" i="5"/>
  <c r="AF227" i="5"/>
  <c r="AF211" i="5"/>
  <c r="AF195" i="5"/>
  <c r="AF179" i="5"/>
  <c r="AF163" i="5"/>
  <c r="AF147" i="5"/>
  <c r="AF131" i="5"/>
  <c r="AF115" i="5"/>
  <c r="AF99" i="5"/>
  <c r="AF83" i="5"/>
  <c r="AF67" i="5"/>
  <c r="AF51" i="5"/>
  <c r="AF12" i="5"/>
  <c r="AP12" i="5" s="1"/>
  <c r="Q10" i="5"/>
  <c r="S10" i="5" s="1"/>
  <c r="AW10" i="5"/>
  <c r="AX10" i="5" s="1"/>
  <c r="B123" i="2"/>
  <c r="B125" i="2" s="1"/>
  <c r="O9" i="5"/>
  <c r="AM9" i="5" s="1"/>
  <c r="AO558" i="5"/>
  <c r="AN558" i="5"/>
  <c r="AN547" i="5"/>
  <c r="AO547" i="5"/>
  <c r="AO524" i="5"/>
  <c r="AN524" i="5"/>
  <c r="AO509" i="5"/>
  <c r="AN509" i="5"/>
  <c r="AO488" i="5"/>
  <c r="AN488" i="5"/>
  <c r="AN471" i="5"/>
  <c r="AO471" i="5"/>
  <c r="AN550" i="5"/>
  <c r="AO550" i="5"/>
  <c r="AO533" i="5"/>
  <c r="AN533" i="5"/>
  <c r="AO523" i="5"/>
  <c r="AN523" i="5"/>
  <c r="AO505" i="5"/>
  <c r="AN505" i="5"/>
  <c r="AO495" i="5"/>
  <c r="AN495" i="5"/>
  <c r="AN462" i="5"/>
  <c r="AO462" i="5"/>
  <c r="AN555" i="5"/>
  <c r="AO555" i="5"/>
  <c r="AO536" i="5"/>
  <c r="AN536" i="5"/>
  <c r="AO521" i="5"/>
  <c r="AN521" i="5"/>
  <c r="AN510" i="5"/>
  <c r="AO510" i="5"/>
  <c r="AN492" i="5"/>
  <c r="AO492" i="5"/>
  <c r="AO465" i="5"/>
  <c r="AN465" i="5"/>
  <c r="AO457" i="5"/>
  <c r="AN457" i="5"/>
  <c r="AO19" i="5"/>
  <c r="AN19" i="5"/>
  <c r="AO540" i="5"/>
  <c r="AN540" i="5"/>
  <c r="AN527" i="5"/>
  <c r="AO527" i="5"/>
  <c r="AO504" i="5"/>
  <c r="AN504" i="5"/>
  <c r="AN496" i="5"/>
  <c r="AO496" i="5"/>
  <c r="AO483" i="5"/>
  <c r="AN483" i="5"/>
  <c r="AO467" i="5"/>
  <c r="AN467" i="5"/>
  <c r="AO451" i="5"/>
  <c r="AN451" i="5"/>
  <c r="AN434" i="5"/>
  <c r="AO434" i="5"/>
  <c r="AN418" i="5"/>
  <c r="AO418" i="5"/>
  <c r="AN402" i="5"/>
  <c r="AO402" i="5"/>
  <c r="AN380" i="5"/>
  <c r="AO380" i="5"/>
  <c r="AO355" i="5"/>
  <c r="AN355" i="5"/>
  <c r="AO339" i="5"/>
  <c r="AN339" i="5"/>
  <c r="AO319" i="5"/>
  <c r="AN319" i="5"/>
  <c r="AN297" i="5"/>
  <c r="AO297" i="5"/>
  <c r="AN286" i="5"/>
  <c r="AO286" i="5"/>
  <c r="AN278" i="5"/>
  <c r="AO278" i="5"/>
  <c r="AN270" i="5"/>
  <c r="AO270" i="5"/>
  <c r="AN262" i="5"/>
  <c r="AO262" i="5"/>
  <c r="AN243" i="5"/>
  <c r="AO243" i="5"/>
  <c r="AO232" i="5"/>
  <c r="AN232" i="5"/>
  <c r="AN221" i="5"/>
  <c r="AO221" i="5"/>
  <c r="AN209" i="5"/>
  <c r="AO209" i="5"/>
  <c r="AN450" i="5"/>
  <c r="AO450" i="5"/>
  <c r="AN438" i="5"/>
  <c r="AO438" i="5"/>
  <c r="AN422" i="5"/>
  <c r="AO422" i="5"/>
  <c r="AN406" i="5"/>
  <c r="AO406" i="5"/>
  <c r="AO388" i="5"/>
  <c r="AN388" i="5"/>
  <c r="AO374" i="5"/>
  <c r="AN374" i="5"/>
  <c r="AN349" i="5"/>
  <c r="AO349" i="5"/>
  <c r="AO327" i="5"/>
  <c r="AN327" i="5"/>
  <c r="AO317" i="5"/>
  <c r="AN317" i="5"/>
  <c r="AO303" i="5"/>
  <c r="AN303" i="5"/>
  <c r="AN258" i="5"/>
  <c r="AO258" i="5"/>
  <c r="AO244" i="5"/>
  <c r="AN244" i="5"/>
  <c r="AO225" i="5"/>
  <c r="AN225" i="5"/>
  <c r="AN206" i="5"/>
  <c r="AO206" i="5"/>
  <c r="AN194" i="5"/>
  <c r="AO194" i="5"/>
  <c r="AO477" i="5"/>
  <c r="AN477" i="5"/>
  <c r="AO445" i="5"/>
  <c r="AN445" i="5"/>
  <c r="AO429" i="5"/>
  <c r="AN429" i="5"/>
  <c r="AO413" i="5"/>
  <c r="AN413" i="5"/>
  <c r="AN397" i="5"/>
  <c r="AO397" i="5"/>
  <c r="AN391" i="5"/>
  <c r="AO391" i="5"/>
  <c r="AO375" i="5"/>
  <c r="AN375" i="5"/>
  <c r="AN360" i="5"/>
  <c r="AO360" i="5"/>
  <c r="AO350" i="5"/>
  <c r="AN350" i="5"/>
  <c r="AO334" i="5"/>
  <c r="AN334" i="5"/>
  <c r="AN329" i="5"/>
  <c r="AO329" i="5"/>
  <c r="AN305" i="5"/>
  <c r="AO305" i="5"/>
  <c r="AO287" i="5"/>
  <c r="AN287" i="5"/>
  <c r="AO271" i="5"/>
  <c r="AN271" i="5"/>
  <c r="AN252" i="5"/>
  <c r="AO252" i="5"/>
  <c r="AO233" i="5"/>
  <c r="AN233" i="5"/>
  <c r="AN219" i="5"/>
  <c r="AO219" i="5"/>
  <c r="AO204" i="5"/>
  <c r="AN204" i="5"/>
  <c r="AN186" i="5"/>
  <c r="AO186" i="5"/>
  <c r="AN430" i="5"/>
  <c r="AO430" i="5"/>
  <c r="AN414" i="5"/>
  <c r="AO414" i="5"/>
  <c r="AN396" i="5"/>
  <c r="AO396" i="5"/>
  <c r="AO382" i="5"/>
  <c r="AN382" i="5"/>
  <c r="AN368" i="5"/>
  <c r="AO368" i="5"/>
  <c r="AN356" i="5"/>
  <c r="AO356" i="5"/>
  <c r="AN340" i="5"/>
  <c r="AO340" i="5"/>
  <c r="AN321" i="5"/>
  <c r="AO321" i="5"/>
  <c r="AO310" i="5"/>
  <c r="AN310" i="5"/>
  <c r="AO295" i="5"/>
  <c r="AN295" i="5"/>
  <c r="AN281" i="5"/>
  <c r="AO281" i="5"/>
  <c r="AN265" i="5"/>
  <c r="AO265" i="5"/>
  <c r="AN250" i="5"/>
  <c r="AO250" i="5"/>
  <c r="AO236" i="5"/>
  <c r="AN236" i="5"/>
  <c r="AN214" i="5"/>
  <c r="AO214" i="5"/>
  <c r="AO195" i="5"/>
  <c r="AN195" i="5"/>
  <c r="AO179" i="5"/>
  <c r="AN179" i="5"/>
  <c r="AN165" i="5"/>
  <c r="AO165" i="5"/>
  <c r="AN146" i="5"/>
  <c r="AO146" i="5"/>
  <c r="AN120" i="5"/>
  <c r="AO120" i="5"/>
  <c r="AN104" i="5"/>
  <c r="AO104" i="5"/>
  <c r="AN91" i="5"/>
  <c r="AO91" i="5"/>
  <c r="AO82" i="5"/>
  <c r="AN82" i="5"/>
  <c r="AO74" i="5"/>
  <c r="AN74" i="5"/>
  <c r="AO66" i="5"/>
  <c r="AN66" i="5"/>
  <c r="AO58" i="5"/>
  <c r="AN58" i="5"/>
  <c r="AN45" i="5"/>
  <c r="AO45" i="5"/>
  <c r="AN182" i="5"/>
  <c r="AO182" i="5"/>
  <c r="AN164" i="5"/>
  <c r="AO164" i="5"/>
  <c r="AO148" i="5"/>
  <c r="AN148" i="5"/>
  <c r="AN124" i="5"/>
  <c r="AO124" i="5"/>
  <c r="AN108" i="5"/>
  <c r="AO108" i="5"/>
  <c r="AN92" i="5"/>
  <c r="AO92" i="5"/>
  <c r="AO180" i="5"/>
  <c r="AN180" i="5"/>
  <c r="AN160" i="5"/>
  <c r="AO160" i="5"/>
  <c r="AN147" i="5"/>
  <c r="AO147" i="5"/>
  <c r="AN140" i="5"/>
  <c r="AO140" i="5"/>
  <c r="AN118" i="5"/>
  <c r="AO118" i="5"/>
  <c r="AN102" i="5"/>
  <c r="AO102" i="5"/>
  <c r="AN83" i="5"/>
  <c r="AO83" i="5"/>
  <c r="AN75" i="5"/>
  <c r="AO75" i="5"/>
  <c r="AN59" i="5"/>
  <c r="AO59" i="5"/>
  <c r="AN197" i="5"/>
  <c r="AO197" i="5"/>
  <c r="AN181" i="5"/>
  <c r="AO181" i="5"/>
  <c r="AO171" i="5"/>
  <c r="AN171" i="5"/>
  <c r="AN152" i="5"/>
  <c r="AO152" i="5"/>
  <c r="AN139" i="5"/>
  <c r="AO139" i="5"/>
  <c r="AN130" i="5"/>
  <c r="AO130" i="5"/>
  <c r="AN116" i="5"/>
  <c r="AO116" i="5"/>
  <c r="AN100" i="5"/>
  <c r="AO100" i="5"/>
  <c r="AN88" i="5"/>
  <c r="AO88" i="5"/>
  <c r="AN61" i="5"/>
  <c r="AO61" i="5"/>
  <c r="AN51" i="5"/>
  <c r="AO51" i="5"/>
  <c r="AN34" i="5"/>
  <c r="AO34" i="5"/>
  <c r="AN44" i="5"/>
  <c r="AO44" i="5"/>
  <c r="AN28" i="5"/>
  <c r="AO28" i="5"/>
  <c r="AN35" i="5"/>
  <c r="AO35" i="5"/>
  <c r="AN27" i="5"/>
  <c r="AO27" i="5"/>
  <c r="AN12" i="5"/>
  <c r="AO12" i="5"/>
  <c r="AH469" i="5"/>
  <c r="AH254" i="5"/>
  <c r="AO556" i="5"/>
  <c r="AN556" i="5"/>
  <c r="AN546" i="5"/>
  <c r="AO546" i="5"/>
  <c r="AN520" i="5"/>
  <c r="AO520" i="5"/>
  <c r="AN506" i="5"/>
  <c r="AO506" i="5"/>
  <c r="AN487" i="5"/>
  <c r="AO487" i="5"/>
  <c r="AO449" i="5"/>
  <c r="AN449" i="5"/>
  <c r="AO548" i="5"/>
  <c r="AN548" i="5"/>
  <c r="AO532" i="5"/>
  <c r="AN532" i="5"/>
  <c r="AO519" i="5"/>
  <c r="AN519" i="5"/>
  <c r="AO503" i="5"/>
  <c r="AN503" i="5"/>
  <c r="AN490" i="5"/>
  <c r="AO490" i="5"/>
  <c r="AN458" i="5"/>
  <c r="AO458" i="5"/>
  <c r="AO552" i="5"/>
  <c r="AN552" i="5"/>
  <c r="AN530" i="5"/>
  <c r="AO530" i="5"/>
  <c r="AN514" i="5"/>
  <c r="AO514" i="5"/>
  <c r="AO508" i="5"/>
  <c r="AN508" i="5"/>
  <c r="AO481" i="5"/>
  <c r="AN481" i="5"/>
  <c r="AN464" i="5"/>
  <c r="AO464" i="5"/>
  <c r="AN456" i="5"/>
  <c r="AO456" i="5"/>
  <c r="AN553" i="5"/>
  <c r="AO553" i="5"/>
  <c r="AN537" i="5"/>
  <c r="AO537" i="5"/>
  <c r="AN526" i="5"/>
  <c r="AO526" i="5"/>
  <c r="AO501" i="5"/>
  <c r="AN501" i="5"/>
  <c r="AO489" i="5"/>
  <c r="AN489" i="5"/>
  <c r="AN478" i="5"/>
  <c r="AO478" i="5"/>
  <c r="AO463" i="5"/>
  <c r="AN463" i="5"/>
  <c r="AN444" i="5"/>
  <c r="AO444" i="5"/>
  <c r="AN428" i="5"/>
  <c r="AO428" i="5"/>
  <c r="AN412" i="5"/>
  <c r="AO412" i="5"/>
  <c r="AO398" i="5"/>
  <c r="AN398" i="5"/>
  <c r="AN369" i="5"/>
  <c r="AO369" i="5"/>
  <c r="AN345" i="5"/>
  <c r="AO345" i="5"/>
  <c r="AN332" i="5"/>
  <c r="AO332" i="5"/>
  <c r="AO311" i="5"/>
  <c r="AN311" i="5"/>
  <c r="AN292" i="5"/>
  <c r="AO292" i="5"/>
  <c r="AN284" i="5"/>
  <c r="AO284" i="5"/>
  <c r="AN276" i="5"/>
  <c r="AO276" i="5"/>
  <c r="AN268" i="5"/>
  <c r="AO268" i="5"/>
  <c r="AN260" i="5"/>
  <c r="AO260" i="5"/>
  <c r="AN241" i="5"/>
  <c r="AO241" i="5"/>
  <c r="AN229" i="5"/>
  <c r="AO229" i="5"/>
  <c r="AN218" i="5"/>
  <c r="AO218" i="5"/>
  <c r="AN202" i="5"/>
  <c r="AO202" i="5"/>
  <c r="AN448" i="5"/>
  <c r="AO448" i="5"/>
  <c r="AN432" i="5"/>
  <c r="AO432" i="5"/>
  <c r="AN416" i="5"/>
  <c r="AO416" i="5"/>
  <c r="AN400" i="5"/>
  <c r="AO400" i="5"/>
  <c r="AO379" i="5"/>
  <c r="AN379" i="5"/>
  <c r="AN365" i="5"/>
  <c r="AO365" i="5"/>
  <c r="AO348" i="5"/>
  <c r="AN348" i="5"/>
  <c r="AO325" i="5"/>
  <c r="AN325" i="5"/>
  <c r="AO314" i="5"/>
  <c r="AN314" i="5"/>
  <c r="AO301" i="5"/>
  <c r="AN301" i="5"/>
  <c r="AO257" i="5"/>
  <c r="AN257" i="5"/>
  <c r="AN237" i="5"/>
  <c r="AO237" i="5"/>
  <c r="AO223" i="5"/>
  <c r="AN223" i="5"/>
  <c r="AO203" i="5"/>
  <c r="AN203" i="5"/>
  <c r="AO192" i="5"/>
  <c r="AN192" i="5"/>
  <c r="AO475" i="5"/>
  <c r="AN475" i="5"/>
  <c r="AN442" i="5"/>
  <c r="AO442" i="5"/>
  <c r="AN426" i="5"/>
  <c r="AO426" i="5"/>
  <c r="AN410" i="5"/>
  <c r="AO410" i="5"/>
  <c r="AN395" i="5"/>
  <c r="AO395" i="5"/>
  <c r="AN385" i="5"/>
  <c r="AO385" i="5"/>
  <c r="AN372" i="5"/>
  <c r="AO372" i="5"/>
  <c r="AO358" i="5"/>
  <c r="AN358" i="5"/>
  <c r="AN347" i="5"/>
  <c r="AO347" i="5"/>
  <c r="AN333" i="5"/>
  <c r="AO333" i="5"/>
  <c r="AO322" i="5"/>
  <c r="AN322" i="5"/>
  <c r="AN300" i="5"/>
  <c r="AO300" i="5"/>
  <c r="AO283" i="5"/>
  <c r="AN283" i="5"/>
  <c r="AO267" i="5"/>
  <c r="AN267" i="5"/>
  <c r="AN249" i="5"/>
  <c r="AO249" i="5"/>
  <c r="AN231" i="5"/>
  <c r="AO231" i="5"/>
  <c r="AN217" i="5"/>
  <c r="AO217" i="5"/>
  <c r="AN201" i="5"/>
  <c r="AO201" i="5"/>
  <c r="AN440" i="5"/>
  <c r="AO440" i="5"/>
  <c r="AN424" i="5"/>
  <c r="AO424" i="5"/>
  <c r="AN408" i="5"/>
  <c r="AO408" i="5"/>
  <c r="AN389" i="5"/>
  <c r="AO389" i="5"/>
  <c r="AN377" i="5"/>
  <c r="AO377" i="5"/>
  <c r="AO366" i="5"/>
  <c r="AN366" i="5"/>
  <c r="AO354" i="5"/>
  <c r="AN354" i="5"/>
  <c r="AO338" i="5"/>
  <c r="AN338" i="5"/>
  <c r="AO318" i="5"/>
  <c r="AN318" i="5"/>
  <c r="AN308" i="5"/>
  <c r="AO308" i="5"/>
  <c r="AN293" i="5"/>
  <c r="AO293" i="5"/>
  <c r="AN277" i="5"/>
  <c r="AO277" i="5"/>
  <c r="AN261" i="5"/>
  <c r="AO261" i="5"/>
  <c r="AN246" i="5"/>
  <c r="AO246" i="5"/>
  <c r="AN230" i="5"/>
  <c r="AO230" i="5"/>
  <c r="AN211" i="5"/>
  <c r="AO211" i="5"/>
  <c r="AN193" i="5"/>
  <c r="AO193" i="5"/>
  <c r="AN176" i="5"/>
  <c r="AO176" i="5"/>
  <c r="AO163" i="5"/>
  <c r="AN163" i="5"/>
  <c r="AN134" i="5"/>
  <c r="AO134" i="5"/>
  <c r="AN119" i="5"/>
  <c r="AO119" i="5"/>
  <c r="AN103" i="5"/>
  <c r="AO103" i="5"/>
  <c r="AO90" i="5"/>
  <c r="AN90" i="5"/>
  <c r="AN79" i="5"/>
  <c r="AO79" i="5"/>
  <c r="AN72" i="5"/>
  <c r="AO72" i="5"/>
  <c r="AN64" i="5"/>
  <c r="AO64" i="5"/>
  <c r="AN56" i="5"/>
  <c r="AO56" i="5"/>
  <c r="AN41" i="5"/>
  <c r="AO41" i="5"/>
  <c r="AN178" i="5"/>
  <c r="AO178" i="5"/>
  <c r="AO161" i="5"/>
  <c r="AN161" i="5"/>
  <c r="AN136" i="5"/>
  <c r="AO136" i="5"/>
  <c r="AO123" i="5"/>
  <c r="AN123" i="5"/>
  <c r="AO107" i="5"/>
  <c r="AN107" i="5"/>
  <c r="AN84" i="5"/>
  <c r="AO84" i="5"/>
  <c r="AN173" i="5"/>
  <c r="AO173" i="5"/>
  <c r="AO154" i="5"/>
  <c r="AN154" i="5"/>
  <c r="AO145" i="5"/>
  <c r="AN145" i="5"/>
  <c r="AN135" i="5"/>
  <c r="AO135" i="5"/>
  <c r="AN112" i="5"/>
  <c r="AO112" i="5"/>
  <c r="AN96" i="5"/>
  <c r="AO96" i="5"/>
  <c r="AN81" i="5"/>
  <c r="AO81" i="5"/>
  <c r="AN71" i="5"/>
  <c r="AO71" i="5"/>
  <c r="AO53" i="5"/>
  <c r="AN53" i="5"/>
  <c r="AN190" i="5"/>
  <c r="AO190" i="5"/>
  <c r="AN177" i="5"/>
  <c r="AO177" i="5"/>
  <c r="AN168" i="5"/>
  <c r="AO168" i="5"/>
  <c r="AO149" i="5"/>
  <c r="AN149" i="5"/>
  <c r="AO138" i="5"/>
  <c r="AN138" i="5"/>
  <c r="AN127" i="5"/>
  <c r="AO127" i="5"/>
  <c r="AN115" i="5"/>
  <c r="AO115" i="5"/>
  <c r="AN99" i="5"/>
  <c r="AO99" i="5"/>
  <c r="AN73" i="5"/>
  <c r="AO73" i="5"/>
  <c r="AN57" i="5"/>
  <c r="AO57" i="5"/>
  <c r="AN49" i="5"/>
  <c r="AO49" i="5"/>
  <c r="AN30" i="5"/>
  <c r="AO30" i="5"/>
  <c r="AN40" i="5"/>
  <c r="AO40" i="5"/>
  <c r="AN24" i="5"/>
  <c r="AO24" i="5"/>
  <c r="AN33" i="5"/>
  <c r="AO33" i="5"/>
  <c r="AN25" i="5"/>
  <c r="AO25" i="5"/>
  <c r="AN13" i="5"/>
  <c r="AO13" i="5"/>
  <c r="AQ7" i="4"/>
  <c r="AI515" i="5"/>
  <c r="AH515" i="5"/>
  <c r="AH167" i="5"/>
  <c r="AI167" i="5"/>
  <c r="AN554" i="5"/>
  <c r="AO554" i="5"/>
  <c r="AO560" i="5"/>
  <c r="AN560" i="5"/>
  <c r="AO544" i="5"/>
  <c r="AN544" i="5"/>
  <c r="AN516" i="5"/>
  <c r="AO516" i="5"/>
  <c r="AO493" i="5"/>
  <c r="AN493" i="5"/>
  <c r="AO473" i="5"/>
  <c r="AN473" i="5"/>
  <c r="AN559" i="5"/>
  <c r="AO559" i="5"/>
  <c r="AN545" i="5"/>
  <c r="AO545" i="5"/>
  <c r="AO531" i="5"/>
  <c r="AN531" i="5"/>
  <c r="AO517" i="5"/>
  <c r="AN517" i="5"/>
  <c r="AO500" i="5"/>
  <c r="AN500" i="5"/>
  <c r="AN482" i="5"/>
  <c r="AO482" i="5"/>
  <c r="AN454" i="5"/>
  <c r="AO454" i="5"/>
  <c r="AN539" i="5"/>
  <c r="AO539" i="5"/>
  <c r="AN528" i="5"/>
  <c r="AO528" i="5"/>
  <c r="AO513" i="5"/>
  <c r="AN513" i="5"/>
  <c r="AN502" i="5"/>
  <c r="AO502" i="5"/>
  <c r="AN480" i="5"/>
  <c r="AO480" i="5"/>
  <c r="AO461" i="5"/>
  <c r="AN461" i="5"/>
  <c r="AO453" i="5"/>
  <c r="AN453" i="5"/>
  <c r="AN543" i="5"/>
  <c r="AO543" i="5"/>
  <c r="AN534" i="5"/>
  <c r="AO534" i="5"/>
  <c r="AN518" i="5"/>
  <c r="AO518" i="5"/>
  <c r="AN499" i="5"/>
  <c r="AO499" i="5"/>
  <c r="AN474" i="5"/>
  <c r="AO474" i="5"/>
  <c r="AN476" i="5"/>
  <c r="AO476" i="5"/>
  <c r="AO459" i="5"/>
  <c r="AN459" i="5"/>
  <c r="AN443" i="5"/>
  <c r="AO443" i="5"/>
  <c r="AN427" i="5"/>
  <c r="AO427" i="5"/>
  <c r="AN411" i="5"/>
  <c r="AO411" i="5"/>
  <c r="AO394" i="5"/>
  <c r="AN394" i="5"/>
  <c r="AN367" i="5"/>
  <c r="AO367" i="5"/>
  <c r="AN344" i="5"/>
  <c r="AO344" i="5"/>
  <c r="AN328" i="5"/>
  <c r="AO328" i="5"/>
  <c r="AN306" i="5"/>
  <c r="AO306" i="5"/>
  <c r="AN290" i="5"/>
  <c r="AO290" i="5"/>
  <c r="AN282" i="5"/>
  <c r="AO282" i="5"/>
  <c r="AN274" i="5"/>
  <c r="AO274" i="5"/>
  <c r="AN266" i="5"/>
  <c r="AO266" i="5"/>
  <c r="AN254" i="5"/>
  <c r="AO254" i="5"/>
  <c r="AO240" i="5"/>
  <c r="AN240" i="5"/>
  <c r="AN227" i="5"/>
  <c r="AO227" i="5"/>
  <c r="AN215" i="5"/>
  <c r="AO215" i="5"/>
  <c r="AN199" i="5"/>
  <c r="AO199" i="5"/>
  <c r="AN447" i="5"/>
  <c r="AO447" i="5"/>
  <c r="AO431" i="5"/>
  <c r="AN431" i="5"/>
  <c r="AO415" i="5"/>
  <c r="AN415" i="5"/>
  <c r="AO399" i="5"/>
  <c r="AN399" i="5"/>
  <c r="AO378" i="5"/>
  <c r="AN378" i="5"/>
  <c r="AO364" i="5"/>
  <c r="AN364" i="5"/>
  <c r="AO346" i="5"/>
  <c r="AN346" i="5"/>
  <c r="AN324" i="5"/>
  <c r="AO324" i="5"/>
  <c r="AN312" i="5"/>
  <c r="AO312" i="5"/>
  <c r="AN296" i="5"/>
  <c r="AO296" i="5"/>
  <c r="AO251" i="5"/>
  <c r="AN251" i="5"/>
  <c r="AO235" i="5"/>
  <c r="AN235" i="5"/>
  <c r="AO216" i="5"/>
  <c r="AN216" i="5"/>
  <c r="AO200" i="5"/>
  <c r="AN200" i="5"/>
  <c r="AN486" i="5"/>
  <c r="AO486" i="5"/>
  <c r="AN470" i="5"/>
  <c r="AO470" i="5"/>
  <c r="AN436" i="5"/>
  <c r="AO436" i="5"/>
  <c r="AN420" i="5"/>
  <c r="AO420" i="5"/>
  <c r="AN404" i="5"/>
  <c r="AO404" i="5"/>
  <c r="AO393" i="5"/>
  <c r="AN393" i="5"/>
  <c r="AN384" i="5"/>
  <c r="AO384" i="5"/>
  <c r="AO370" i="5"/>
  <c r="AN370" i="5"/>
  <c r="AN353" i="5"/>
  <c r="AO353" i="5"/>
  <c r="AN337" i="5"/>
  <c r="AO337" i="5"/>
  <c r="AO331" i="5"/>
  <c r="AN331" i="5"/>
  <c r="AO315" i="5"/>
  <c r="AN315" i="5"/>
  <c r="AO298" i="5"/>
  <c r="AN298" i="5"/>
  <c r="AO279" i="5"/>
  <c r="AN279" i="5"/>
  <c r="AO263" i="5"/>
  <c r="AN263" i="5"/>
  <c r="AO248" i="5"/>
  <c r="AN248" i="5"/>
  <c r="AO228" i="5"/>
  <c r="AN228" i="5"/>
  <c r="AN210" i="5"/>
  <c r="AO210" i="5"/>
  <c r="AN198" i="5"/>
  <c r="AO198" i="5"/>
  <c r="AN439" i="5"/>
  <c r="AO439" i="5"/>
  <c r="AN423" i="5"/>
  <c r="AO423" i="5"/>
  <c r="AN407" i="5"/>
  <c r="AO407" i="5"/>
  <c r="AO386" i="5"/>
  <c r="AN386" i="5"/>
  <c r="AN373" i="5"/>
  <c r="AO373" i="5"/>
  <c r="AN361" i="5"/>
  <c r="AO361" i="5"/>
  <c r="AN351" i="5"/>
  <c r="AO351" i="5"/>
  <c r="AN335" i="5"/>
  <c r="AO335" i="5"/>
  <c r="AN316" i="5"/>
  <c r="AO316" i="5"/>
  <c r="AN304" i="5"/>
  <c r="AO304" i="5"/>
  <c r="AN289" i="5"/>
  <c r="AO289" i="5"/>
  <c r="AN273" i="5"/>
  <c r="AO273" i="5"/>
  <c r="AO259" i="5"/>
  <c r="AN259" i="5"/>
  <c r="AN242" i="5"/>
  <c r="AO242" i="5"/>
  <c r="AO224" i="5"/>
  <c r="AN224" i="5"/>
  <c r="AO208" i="5"/>
  <c r="AN208" i="5"/>
  <c r="AO188" i="5"/>
  <c r="AN188" i="5"/>
  <c r="AO172" i="5"/>
  <c r="AN172" i="5"/>
  <c r="AO155" i="5"/>
  <c r="AN155" i="5"/>
  <c r="AN128" i="5"/>
  <c r="AO128" i="5"/>
  <c r="AO113" i="5"/>
  <c r="AN113" i="5"/>
  <c r="AO97" i="5"/>
  <c r="AN97" i="5"/>
  <c r="AN87" i="5"/>
  <c r="AO87" i="5"/>
  <c r="AN77" i="5"/>
  <c r="AO77" i="5"/>
  <c r="AO70" i="5"/>
  <c r="AN70" i="5"/>
  <c r="AO62" i="5"/>
  <c r="AN62" i="5"/>
  <c r="AN55" i="5"/>
  <c r="AO55" i="5"/>
  <c r="AN39" i="5"/>
  <c r="AO39" i="5"/>
  <c r="AN170" i="5"/>
  <c r="AO170" i="5"/>
  <c r="AO159" i="5"/>
  <c r="AN159" i="5"/>
  <c r="AN132" i="5"/>
  <c r="AO132" i="5"/>
  <c r="AO117" i="5"/>
  <c r="AN117" i="5"/>
  <c r="AO101" i="5"/>
  <c r="AN101" i="5"/>
  <c r="AN54" i="5"/>
  <c r="AO54" i="5"/>
  <c r="AO167" i="5"/>
  <c r="AN167" i="5"/>
  <c r="AN153" i="5"/>
  <c r="AO153" i="5"/>
  <c r="AN144" i="5"/>
  <c r="AO144" i="5"/>
  <c r="AO129" i="5"/>
  <c r="AN129" i="5"/>
  <c r="AN111" i="5"/>
  <c r="AO111" i="5"/>
  <c r="AN95" i="5"/>
  <c r="AO95" i="5"/>
  <c r="AN80" i="5"/>
  <c r="AO80" i="5"/>
  <c r="AN67" i="5"/>
  <c r="AO67" i="5"/>
  <c r="AO48" i="5"/>
  <c r="AN48" i="5"/>
  <c r="AO187" i="5"/>
  <c r="AN187" i="5"/>
  <c r="AO175" i="5"/>
  <c r="AN175" i="5"/>
  <c r="AO158" i="5"/>
  <c r="AN158" i="5"/>
  <c r="AN142" i="5"/>
  <c r="AO142" i="5"/>
  <c r="AO137" i="5"/>
  <c r="AN137" i="5"/>
  <c r="AO125" i="5"/>
  <c r="AN125" i="5"/>
  <c r="AO109" i="5"/>
  <c r="AN109" i="5"/>
  <c r="AO93" i="5"/>
  <c r="AN93" i="5"/>
  <c r="AN69" i="5"/>
  <c r="AO69" i="5"/>
  <c r="AN52" i="5"/>
  <c r="AO52" i="5"/>
  <c r="AN42" i="5"/>
  <c r="AO42" i="5"/>
  <c r="AN26" i="5"/>
  <c r="AO26" i="5"/>
  <c r="AN36" i="5"/>
  <c r="AO36" i="5"/>
  <c r="AN20" i="5"/>
  <c r="AO20" i="5"/>
  <c r="AN31" i="5"/>
  <c r="AO31" i="5"/>
  <c r="AN23" i="5"/>
  <c r="AO23" i="5"/>
  <c r="AN7" i="5"/>
  <c r="AO7" i="5"/>
  <c r="AN549" i="5"/>
  <c r="AO549" i="5"/>
  <c r="AN557" i="5"/>
  <c r="AO557" i="5"/>
  <c r="AN541" i="5"/>
  <c r="AO541" i="5"/>
  <c r="AN515" i="5"/>
  <c r="AO515" i="5"/>
  <c r="AN491" i="5"/>
  <c r="AO491" i="5"/>
  <c r="AO472" i="5"/>
  <c r="AN472" i="5"/>
  <c r="AN551" i="5"/>
  <c r="AO551" i="5"/>
  <c r="AN535" i="5"/>
  <c r="AO535" i="5"/>
  <c r="AO525" i="5"/>
  <c r="AN525" i="5"/>
  <c r="AN512" i="5"/>
  <c r="AO512" i="5"/>
  <c r="AO497" i="5"/>
  <c r="AN497" i="5"/>
  <c r="AN466" i="5"/>
  <c r="AO466" i="5"/>
  <c r="AN446" i="5"/>
  <c r="AO446" i="5"/>
  <c r="AN538" i="5"/>
  <c r="AO538" i="5"/>
  <c r="AN522" i="5"/>
  <c r="AO522" i="5"/>
  <c r="AN511" i="5"/>
  <c r="AO511" i="5"/>
  <c r="AN494" i="5"/>
  <c r="AO494" i="5"/>
  <c r="AN479" i="5"/>
  <c r="AO479" i="5"/>
  <c r="AN460" i="5"/>
  <c r="AO460" i="5"/>
  <c r="AN452" i="5"/>
  <c r="AO452" i="5"/>
  <c r="AO542" i="5"/>
  <c r="AN542" i="5"/>
  <c r="AO529" i="5"/>
  <c r="AN529" i="5"/>
  <c r="AN507" i="5"/>
  <c r="AO507" i="5"/>
  <c r="AN498" i="5"/>
  <c r="AO498" i="5"/>
  <c r="AO485" i="5"/>
  <c r="AN485" i="5"/>
  <c r="AO469" i="5"/>
  <c r="AN469" i="5"/>
  <c r="AO455" i="5"/>
  <c r="AN455" i="5"/>
  <c r="AO437" i="5"/>
  <c r="AN437" i="5"/>
  <c r="AO421" i="5"/>
  <c r="AN421" i="5"/>
  <c r="AO405" i="5"/>
  <c r="AN405" i="5"/>
  <c r="AO387" i="5"/>
  <c r="AN387" i="5"/>
  <c r="AN357" i="5"/>
  <c r="AO357" i="5"/>
  <c r="AO342" i="5"/>
  <c r="AN342" i="5"/>
  <c r="AN326" i="5"/>
  <c r="AO326" i="5"/>
  <c r="AO299" i="5"/>
  <c r="AN299" i="5"/>
  <c r="AN288" i="5"/>
  <c r="AO288" i="5"/>
  <c r="AN280" i="5"/>
  <c r="AO280" i="5"/>
  <c r="AN272" i="5"/>
  <c r="AO272" i="5"/>
  <c r="AN264" i="5"/>
  <c r="AO264" i="5"/>
  <c r="AN253" i="5"/>
  <c r="AO253" i="5"/>
  <c r="AN238" i="5"/>
  <c r="AO238" i="5"/>
  <c r="AN226" i="5"/>
  <c r="AO226" i="5"/>
  <c r="AO212" i="5"/>
  <c r="AN212" i="5"/>
  <c r="AN183" i="5"/>
  <c r="AO183" i="5"/>
  <c r="AO441" i="5"/>
  <c r="AN441" i="5"/>
  <c r="AO425" i="5"/>
  <c r="AN425" i="5"/>
  <c r="AO409" i="5"/>
  <c r="AN409" i="5"/>
  <c r="AO390" i="5"/>
  <c r="AN390" i="5"/>
  <c r="AO376" i="5"/>
  <c r="AN376" i="5"/>
  <c r="AO362" i="5"/>
  <c r="AN362" i="5"/>
  <c r="AO343" i="5"/>
  <c r="AN343" i="5"/>
  <c r="AN320" i="5"/>
  <c r="AO320" i="5"/>
  <c r="AO309" i="5"/>
  <c r="AN309" i="5"/>
  <c r="AN294" i="5"/>
  <c r="AO294" i="5"/>
  <c r="AO247" i="5"/>
  <c r="AN247" i="5"/>
  <c r="AN234" i="5"/>
  <c r="AO234" i="5"/>
  <c r="AN213" i="5"/>
  <c r="AO213" i="5"/>
  <c r="AO196" i="5"/>
  <c r="AN196" i="5"/>
  <c r="AN484" i="5"/>
  <c r="AO484" i="5"/>
  <c r="AN468" i="5"/>
  <c r="AO468" i="5"/>
  <c r="AN435" i="5"/>
  <c r="AO435" i="5"/>
  <c r="AN419" i="5"/>
  <c r="AO419" i="5"/>
  <c r="AN403" i="5"/>
  <c r="AO403" i="5"/>
  <c r="AN392" i="5"/>
  <c r="AO392" i="5"/>
  <c r="AN381" i="5"/>
  <c r="AO381" i="5"/>
  <c r="AN363" i="5"/>
  <c r="AO363" i="5"/>
  <c r="AN352" i="5"/>
  <c r="AO352" i="5"/>
  <c r="AN336" i="5"/>
  <c r="AO336" i="5"/>
  <c r="AN330" i="5"/>
  <c r="AO330" i="5"/>
  <c r="AO307" i="5"/>
  <c r="AN307" i="5"/>
  <c r="AO291" i="5"/>
  <c r="AN291" i="5"/>
  <c r="AO275" i="5"/>
  <c r="AN275" i="5"/>
  <c r="AO255" i="5"/>
  <c r="AN255" i="5"/>
  <c r="AN245" i="5"/>
  <c r="AO245" i="5"/>
  <c r="AN222" i="5"/>
  <c r="AO222" i="5"/>
  <c r="AN207" i="5"/>
  <c r="AO207" i="5"/>
  <c r="AN191" i="5"/>
  <c r="AO191" i="5"/>
  <c r="AO433" i="5"/>
  <c r="AN433" i="5"/>
  <c r="AO417" i="5"/>
  <c r="AN417" i="5"/>
  <c r="AO401" i="5"/>
  <c r="AN401" i="5"/>
  <c r="AN383" i="5"/>
  <c r="AO383" i="5"/>
  <c r="AO371" i="5"/>
  <c r="AN371" i="5"/>
  <c r="AO359" i="5"/>
  <c r="AN359" i="5"/>
  <c r="AN341" i="5"/>
  <c r="AO341" i="5"/>
  <c r="AO323" i="5"/>
  <c r="AN323" i="5"/>
  <c r="AN313" i="5"/>
  <c r="AO313" i="5"/>
  <c r="AN302" i="5"/>
  <c r="AO302" i="5"/>
  <c r="AN285" i="5"/>
  <c r="AO285" i="5"/>
  <c r="AN269" i="5"/>
  <c r="AO269" i="5"/>
  <c r="AN256" i="5"/>
  <c r="AO256" i="5"/>
  <c r="AN239" i="5"/>
  <c r="AO239" i="5"/>
  <c r="AO220" i="5"/>
  <c r="AN220" i="5"/>
  <c r="AN205" i="5"/>
  <c r="AO205" i="5"/>
  <c r="AN185" i="5"/>
  <c r="AO185" i="5"/>
  <c r="AO166" i="5"/>
  <c r="AN166" i="5"/>
  <c r="AN151" i="5"/>
  <c r="AO151" i="5"/>
  <c r="AN126" i="5"/>
  <c r="AO126" i="5"/>
  <c r="AN110" i="5"/>
  <c r="AO110" i="5"/>
  <c r="AN94" i="5"/>
  <c r="AO94" i="5"/>
  <c r="AN85" i="5"/>
  <c r="AO85" i="5"/>
  <c r="AN76" i="5"/>
  <c r="AO76" i="5"/>
  <c r="AN68" i="5"/>
  <c r="AO68" i="5"/>
  <c r="AN60" i="5"/>
  <c r="AO60" i="5"/>
  <c r="AN50" i="5"/>
  <c r="AO50" i="5"/>
  <c r="AN189" i="5"/>
  <c r="AO189" i="5"/>
  <c r="AO169" i="5"/>
  <c r="AN169" i="5"/>
  <c r="AN156" i="5"/>
  <c r="AO156" i="5"/>
  <c r="AO131" i="5"/>
  <c r="AN131" i="5"/>
  <c r="AN114" i="5"/>
  <c r="AO114" i="5"/>
  <c r="AN98" i="5"/>
  <c r="AO98" i="5"/>
  <c r="AN43" i="5"/>
  <c r="AO43" i="5"/>
  <c r="AO162" i="5"/>
  <c r="AN162" i="5"/>
  <c r="AN150" i="5"/>
  <c r="AO150" i="5"/>
  <c r="AN143" i="5"/>
  <c r="AO143" i="5"/>
  <c r="AO121" i="5"/>
  <c r="AN121" i="5"/>
  <c r="AO105" i="5"/>
  <c r="AN105" i="5"/>
  <c r="AO86" i="5"/>
  <c r="AN86" i="5"/>
  <c r="AO78" i="5"/>
  <c r="AN78" i="5"/>
  <c r="AN63" i="5"/>
  <c r="AO63" i="5"/>
  <c r="AN47" i="5"/>
  <c r="AO47" i="5"/>
  <c r="AO184" i="5"/>
  <c r="AN184" i="5"/>
  <c r="AN174" i="5"/>
  <c r="AO174" i="5"/>
  <c r="AN157" i="5"/>
  <c r="AO157" i="5"/>
  <c r="AO141" i="5"/>
  <c r="AN141" i="5"/>
  <c r="AO133" i="5"/>
  <c r="AN133" i="5"/>
  <c r="AN122" i="5"/>
  <c r="AO122" i="5"/>
  <c r="AN106" i="5"/>
  <c r="AO106" i="5"/>
  <c r="AN89" i="5"/>
  <c r="AO89" i="5"/>
  <c r="AN65" i="5"/>
  <c r="AO65" i="5"/>
  <c r="AN46" i="5"/>
  <c r="AO46" i="5"/>
  <c r="AN38" i="5"/>
  <c r="AO38" i="5"/>
  <c r="AN22" i="5"/>
  <c r="AO22" i="5"/>
  <c r="AN32" i="5"/>
  <c r="AO32" i="5"/>
  <c r="AN37" i="5"/>
  <c r="AO37" i="5"/>
  <c r="AN29" i="5"/>
  <c r="AO29" i="5"/>
  <c r="AN21" i="5"/>
  <c r="AO21" i="5"/>
  <c r="AN8" i="5"/>
  <c r="AO8" i="5"/>
  <c r="AJ10" i="5"/>
  <c r="AG10" i="5"/>
  <c r="AM10" i="5"/>
  <c r="B214" i="2"/>
  <c r="B219" i="2"/>
  <c r="B220" i="2" s="1"/>
  <c r="B54" i="2"/>
  <c r="B74" i="2"/>
  <c r="B75" i="2" s="1"/>
  <c r="B71" i="2"/>
  <c r="B122" i="2"/>
  <c r="K21" i="2"/>
  <c r="Z10" i="5"/>
  <c r="AB10" i="5" s="1"/>
  <c r="P244" i="5"/>
  <c r="W59" i="5"/>
  <c r="X59" i="5" s="1"/>
  <c r="R12" i="5"/>
  <c r="U11" i="4"/>
  <c r="U155" i="4"/>
  <c r="U107" i="4"/>
  <c r="U61" i="4"/>
  <c r="U105" i="4"/>
  <c r="U59" i="4"/>
  <c r="AH59" i="4" s="1"/>
  <c r="U130" i="4"/>
  <c r="U46" i="4"/>
  <c r="U26" i="4"/>
  <c r="U157" i="4"/>
  <c r="U116" i="4"/>
  <c r="U12" i="4"/>
  <c r="U147" i="4"/>
  <c r="U85" i="4"/>
  <c r="U152" i="4"/>
  <c r="U114" i="4"/>
  <c r="U9" i="4"/>
  <c r="U136" i="4"/>
  <c r="AH136" i="4" s="1"/>
  <c r="U93" i="4"/>
  <c r="U131" i="4"/>
  <c r="U103" i="4"/>
  <c r="U79" i="4"/>
  <c r="U8" i="4"/>
  <c r="U140" i="4"/>
  <c r="U125" i="4"/>
  <c r="U121" i="4"/>
  <c r="U100" i="4"/>
  <c r="U84" i="4"/>
  <c r="U71" i="4"/>
  <c r="U137" i="4"/>
  <c r="AH137" i="4" s="1"/>
  <c r="U109" i="4"/>
  <c r="U90" i="4"/>
  <c r="U74" i="4"/>
  <c r="U120" i="4"/>
  <c r="U62" i="4"/>
  <c r="U57" i="4"/>
  <c r="U53" i="4"/>
  <c r="U49" i="4"/>
  <c r="U45" i="4"/>
  <c r="U41" i="4"/>
  <c r="U37" i="4"/>
  <c r="U33" i="4"/>
  <c r="U29" i="4"/>
  <c r="U25" i="4"/>
  <c r="U21" i="4"/>
  <c r="U17" i="4"/>
  <c r="U15" i="4"/>
  <c r="U143" i="4"/>
  <c r="U73" i="4"/>
  <c r="U101" i="4"/>
  <c r="U118" i="4"/>
  <c r="U142" i="4"/>
  <c r="U132" i="4"/>
  <c r="U83" i="4"/>
  <c r="U126" i="4"/>
  <c r="U122" i="4"/>
  <c r="U72" i="4"/>
  <c r="U110" i="4"/>
  <c r="AH110" i="4" s="1"/>
  <c r="U78" i="4"/>
  <c r="U58" i="4"/>
  <c r="U54" i="4"/>
  <c r="U42" i="4"/>
  <c r="U38" i="4"/>
  <c r="U34" i="4"/>
  <c r="U30" i="4"/>
  <c r="U18" i="4"/>
  <c r="U63" i="4"/>
  <c r="U150" i="4"/>
  <c r="U108" i="4"/>
  <c r="U154" i="4"/>
  <c r="U117" i="4"/>
  <c r="U14" i="4"/>
  <c r="U141" i="4"/>
  <c r="U97" i="4"/>
  <c r="U156" i="4"/>
  <c r="U127" i="4"/>
  <c r="U77" i="4"/>
  <c r="U129" i="4"/>
  <c r="U95" i="4"/>
  <c r="U75" i="4"/>
  <c r="U153" i="4"/>
  <c r="U139" i="4"/>
  <c r="U124" i="4"/>
  <c r="U112" i="4"/>
  <c r="U96" i="4"/>
  <c r="U80" i="4"/>
  <c r="U66" i="4"/>
  <c r="U128" i="4"/>
  <c r="U102" i="4"/>
  <c r="U86" i="4"/>
  <c r="AH86" i="4" s="1"/>
  <c r="U68" i="4"/>
  <c r="U99" i="4"/>
  <c r="U67" i="4"/>
  <c r="U56" i="4"/>
  <c r="U52" i="4"/>
  <c r="U48" i="4"/>
  <c r="U44" i="4"/>
  <c r="U40" i="4"/>
  <c r="U36" i="4"/>
  <c r="U32" i="4"/>
  <c r="U28" i="4"/>
  <c r="U24" i="4"/>
  <c r="AH24" i="4" s="1"/>
  <c r="U20" i="4"/>
  <c r="U16" i="4"/>
  <c r="U148" i="4"/>
  <c r="U10" i="4"/>
  <c r="U104" i="4"/>
  <c r="U144" i="4"/>
  <c r="U88" i="4"/>
  <c r="U94" i="4"/>
  <c r="U69" i="4"/>
  <c r="U50" i="4"/>
  <c r="U22" i="4"/>
  <c r="AS7" i="4"/>
  <c r="AL7" i="4"/>
  <c r="U7" i="4"/>
  <c r="U146" i="4"/>
  <c r="U89" i="4"/>
  <c r="AH89" i="4" s="1"/>
  <c r="U151" i="4"/>
  <c r="U113" i="4"/>
  <c r="U13" i="4"/>
  <c r="U138" i="4"/>
  <c r="AH138" i="4" s="1"/>
  <c r="U81" i="4"/>
  <c r="U145" i="4"/>
  <c r="U115" i="4"/>
  <c r="U133" i="4"/>
  <c r="U111" i="4"/>
  <c r="U91" i="4"/>
  <c r="U70" i="4"/>
  <c r="U149" i="4"/>
  <c r="U135" i="4"/>
  <c r="U123" i="4"/>
  <c r="U106" i="4"/>
  <c r="U92" i="4"/>
  <c r="AH92" i="4" s="1"/>
  <c r="U76" i="4"/>
  <c r="U65" i="4"/>
  <c r="U119" i="4"/>
  <c r="U98" i="4"/>
  <c r="U82" i="4"/>
  <c r="U134" i="4"/>
  <c r="U87" i="4"/>
  <c r="U60" i="4"/>
  <c r="AH60" i="4" s="1"/>
  <c r="U55" i="4"/>
  <c r="U51" i="4"/>
  <c r="U47" i="4"/>
  <c r="U43" i="4"/>
  <c r="U39" i="4"/>
  <c r="U35" i="4"/>
  <c r="U31" i="4"/>
  <c r="U27" i="4"/>
  <c r="U23" i="4"/>
  <c r="U19" i="4"/>
  <c r="U64" i="4"/>
  <c r="P548" i="5"/>
  <c r="P335" i="5"/>
  <c r="P193" i="5"/>
  <c r="P483" i="5"/>
  <c r="P395" i="5"/>
  <c r="P143" i="5"/>
  <c r="P429" i="5"/>
  <c r="P301" i="5"/>
  <c r="P542" i="5"/>
  <c r="P424" i="5"/>
  <c r="P283" i="5"/>
  <c r="P455" i="5"/>
  <c r="P475" i="5"/>
  <c r="P487" i="5"/>
  <c r="P302" i="5"/>
  <c r="P290" i="5"/>
  <c r="P38" i="5"/>
  <c r="P545" i="5"/>
  <c r="P505" i="5"/>
  <c r="P420" i="5"/>
  <c r="P365" i="5"/>
  <c r="P68" i="5"/>
  <c r="P89" i="5"/>
  <c r="P130" i="5"/>
  <c r="P182" i="5"/>
  <c r="P192" i="5"/>
  <c r="P206" i="5"/>
  <c r="P211" i="5"/>
  <c r="P251" i="5"/>
  <c r="P300" i="5"/>
  <c r="P265" i="5"/>
  <c r="P294" i="5"/>
  <c r="P257" i="5"/>
  <c r="P322" i="5"/>
  <c r="P264" i="5"/>
  <c r="P373" i="5"/>
  <c r="P425" i="5"/>
  <c r="P325" i="5"/>
  <c r="P367" i="5"/>
  <c r="P405" i="5"/>
  <c r="P241" i="5"/>
  <c r="P345" i="5"/>
  <c r="P381" i="5"/>
  <c r="P375" i="5"/>
  <c r="P452" i="5"/>
  <c r="P490" i="5"/>
  <c r="P534" i="5"/>
  <c r="P444" i="5"/>
  <c r="P502" i="5"/>
  <c r="P432" i="5"/>
  <c r="P472" i="5"/>
  <c r="P515" i="5"/>
  <c r="P558" i="5"/>
  <c r="P504" i="5"/>
  <c r="P376" i="5"/>
  <c r="P500" i="5"/>
  <c r="P535" i="5"/>
  <c r="P463" i="5"/>
  <c r="P523" i="5"/>
  <c r="P546" i="5"/>
  <c r="P433" i="5"/>
  <c r="P519" i="5"/>
  <c r="P19" i="5"/>
  <c r="P34" i="5"/>
  <c r="P69" i="5"/>
  <c r="P78" i="5"/>
  <c r="P153" i="5"/>
  <c r="P150" i="5"/>
  <c r="P210" i="5"/>
  <c r="P226" i="5"/>
  <c r="P218" i="5"/>
  <c r="P255" i="5"/>
  <c r="P310" i="5"/>
  <c r="P267" i="5"/>
  <c r="P304" i="5"/>
  <c r="P279" i="5"/>
  <c r="P332" i="5"/>
  <c r="P292" i="5"/>
  <c r="P392" i="5"/>
  <c r="P427" i="5"/>
  <c r="P328" i="5"/>
  <c r="P374" i="5"/>
  <c r="P406" i="5"/>
  <c r="P284" i="5"/>
  <c r="P359" i="5"/>
  <c r="P387" i="5"/>
  <c r="P411" i="5"/>
  <c r="P470" i="5"/>
  <c r="P495" i="5"/>
  <c r="P380" i="5"/>
  <c r="P449" i="5"/>
  <c r="P518" i="5"/>
  <c r="P447" i="5"/>
  <c r="P498" i="5"/>
  <c r="P522" i="5"/>
  <c r="P350" i="5"/>
  <c r="P527" i="5"/>
  <c r="P453" i="5"/>
  <c r="P503" i="5"/>
  <c r="P556" i="5"/>
  <c r="P473" i="5"/>
  <c r="P539" i="5"/>
  <c r="P529" i="5"/>
  <c r="P391" i="5"/>
  <c r="P541" i="5"/>
  <c r="P559" i="5"/>
  <c r="P464" i="5"/>
  <c r="P471" i="5"/>
  <c r="P499" i="5"/>
  <c r="P356" i="5"/>
  <c r="P423" i="5"/>
  <c r="P482" i="5"/>
  <c r="P400" i="5"/>
  <c r="P313" i="5"/>
  <c r="P394" i="5"/>
  <c r="P201" i="5"/>
  <c r="P349" i="5"/>
  <c r="P282" i="5"/>
  <c r="P274" i="5"/>
  <c r="P285" i="5"/>
  <c r="P231" i="5"/>
  <c r="P173" i="5"/>
  <c r="P125" i="5"/>
  <c r="P25" i="5"/>
  <c r="P512" i="5"/>
  <c r="P557" i="5"/>
  <c r="P517" i="5"/>
  <c r="P530" i="5"/>
  <c r="P560" i="5"/>
  <c r="P547" i="5"/>
  <c r="P460" i="5"/>
  <c r="P479" i="5"/>
  <c r="P531" i="5"/>
  <c r="P446" i="5"/>
  <c r="P364" i="5"/>
  <c r="P235" i="5"/>
  <c r="P348" i="5"/>
  <c r="P414" i="5"/>
  <c r="P355" i="5"/>
  <c r="P236" i="5"/>
  <c r="P188" i="5"/>
  <c r="P245" i="5"/>
  <c r="P163" i="5"/>
  <c r="P183" i="5"/>
  <c r="P85" i="5"/>
  <c r="P551" i="5"/>
  <c r="P462" i="5"/>
  <c r="P554" i="5"/>
  <c r="P485" i="5"/>
  <c r="P528" i="5"/>
  <c r="P538" i="5"/>
  <c r="P532" i="5"/>
  <c r="P458" i="5"/>
  <c r="P476" i="5"/>
  <c r="P506" i="5"/>
  <c r="P442" i="5"/>
  <c r="P362" i="5"/>
  <c r="P415" i="5"/>
  <c r="P344" i="5"/>
  <c r="P402" i="5"/>
  <c r="P351" i="5"/>
  <c r="P317" i="5"/>
  <c r="P326" i="5"/>
  <c r="P220" i="5"/>
  <c r="P248" i="5"/>
  <c r="P154" i="5"/>
  <c r="P52" i="5"/>
  <c r="P55" i="5"/>
  <c r="P79" i="5"/>
  <c r="P95" i="5"/>
  <c r="P116" i="5"/>
  <c r="P121" i="5"/>
  <c r="P191" i="5"/>
  <c r="P228" i="5"/>
  <c r="P214" i="5"/>
  <c r="P197" i="5"/>
  <c r="P229" i="5"/>
  <c r="P281" i="5"/>
  <c r="P305" i="5"/>
  <c r="P198" i="5"/>
  <c r="P280" i="5"/>
  <c r="P315" i="5"/>
  <c r="P263" i="5"/>
  <c r="P314" i="5"/>
  <c r="P353" i="5"/>
  <c r="P340" i="5"/>
  <c r="P388" i="5"/>
  <c r="P417" i="5"/>
  <c r="P256" i="5"/>
  <c r="P339" i="5"/>
  <c r="P370" i="5"/>
  <c r="P397" i="5"/>
  <c r="P421" i="5"/>
  <c r="P299" i="5"/>
  <c r="P352" i="5"/>
  <c r="P378" i="5"/>
  <c r="P403" i="5"/>
  <c r="P434" i="5"/>
  <c r="P469" i="5"/>
  <c r="P489" i="5"/>
  <c r="P510" i="5"/>
  <c r="P389" i="5"/>
  <c r="P445" i="5"/>
  <c r="P494" i="5"/>
  <c r="P409" i="5"/>
  <c r="P448" i="5"/>
  <c r="P478" i="5"/>
  <c r="P513" i="5"/>
  <c r="P544" i="5"/>
  <c r="P441" i="5"/>
  <c r="P524" i="5"/>
  <c r="P555" i="5"/>
  <c r="P474" i="5"/>
  <c r="P37" i="5"/>
  <c r="P58" i="5"/>
  <c r="P49" i="5"/>
  <c r="P86" i="5"/>
  <c r="P91" i="5"/>
  <c r="P70" i="5"/>
  <c r="P104" i="5"/>
  <c r="P119" i="5"/>
  <c r="P158" i="5"/>
  <c r="P148" i="5"/>
  <c r="P160" i="5"/>
  <c r="P203" i="5"/>
  <c r="P247" i="5"/>
  <c r="P209" i="5"/>
  <c r="P237" i="5"/>
  <c r="P215" i="5"/>
  <c r="P239" i="5"/>
  <c r="P259" i="5"/>
  <c r="P298" i="5"/>
  <c r="P321" i="5"/>
  <c r="P200" i="5"/>
  <c r="P277" i="5"/>
  <c r="P297" i="5"/>
  <c r="P324" i="5"/>
  <c r="P273" i="5"/>
  <c r="P306" i="5"/>
  <c r="P334" i="5"/>
  <c r="P238" i="5"/>
  <c r="P343" i="5"/>
  <c r="P379" i="5"/>
  <c r="P408" i="5"/>
  <c r="P426" i="5"/>
  <c r="P288" i="5"/>
  <c r="P338" i="5"/>
  <c r="P358" i="5"/>
  <c r="P377" i="5"/>
  <c r="P401" i="5"/>
  <c r="P416" i="5"/>
  <c r="P258" i="5"/>
  <c r="P333" i="5"/>
  <c r="P357" i="5"/>
  <c r="P366" i="5"/>
  <c r="P393" i="5"/>
  <c r="P250" i="5"/>
  <c r="P436" i="5"/>
  <c r="P467" i="5"/>
  <c r="P486" i="5"/>
  <c r="P492" i="5"/>
  <c r="P520" i="5"/>
  <c r="P386" i="5"/>
  <c r="P437" i="5"/>
  <c r="P465" i="5"/>
  <c r="P497" i="5"/>
  <c r="P371" i="5"/>
  <c r="P443" i="5"/>
  <c r="P459" i="5"/>
  <c r="P481" i="5"/>
  <c r="P508" i="5"/>
  <c r="P525" i="5"/>
  <c r="P549" i="5"/>
  <c r="P461" i="5"/>
  <c r="P511" i="5"/>
  <c r="P543" i="5"/>
  <c r="P428" i="5"/>
  <c r="P480" i="5"/>
  <c r="P521" i="5"/>
  <c r="P537" i="5"/>
  <c r="P456" i="5"/>
  <c r="P496" i="5"/>
  <c r="P540" i="5"/>
  <c r="P550" i="5"/>
  <c r="P431" i="5"/>
  <c r="P468" i="5"/>
  <c r="P536" i="5"/>
  <c r="P23" i="5"/>
  <c r="P46" i="5"/>
  <c r="P71" i="5"/>
  <c r="P39" i="5"/>
  <c r="P87" i="5"/>
  <c r="P98" i="5"/>
  <c r="P120" i="5"/>
  <c r="P110" i="5"/>
  <c r="P135" i="5"/>
  <c r="P180" i="5"/>
  <c r="P168" i="5"/>
  <c r="P29" i="5"/>
  <c r="P44" i="5"/>
  <c r="P26" i="5"/>
  <c r="P53" i="5"/>
  <c r="P72" i="5"/>
  <c r="P31" i="5"/>
  <c r="P99" i="5"/>
  <c r="P103" i="5"/>
  <c r="P149" i="5"/>
  <c r="P132" i="5"/>
  <c r="P137" i="5"/>
  <c r="P166" i="5"/>
  <c r="P124" i="5"/>
  <c r="P113" i="5"/>
  <c r="P181" i="5"/>
  <c r="P205" i="5"/>
  <c r="P230" i="5"/>
  <c r="P202" i="5"/>
  <c r="P224" i="5"/>
  <c r="P242" i="5"/>
  <c r="P212" i="5"/>
  <c r="P227" i="5"/>
  <c r="P232" i="5"/>
  <c r="P261" i="5"/>
  <c r="P296" i="5"/>
  <c r="P307" i="5"/>
  <c r="P330" i="5"/>
  <c r="P262" i="5"/>
  <c r="P275" i="5"/>
  <c r="P286" i="5"/>
  <c r="P312" i="5"/>
  <c r="P329" i="5"/>
  <c r="P268" i="5"/>
  <c r="P295" i="5"/>
  <c r="P318" i="5"/>
  <c r="P337" i="5"/>
  <c r="P199" i="5"/>
  <c r="P323" i="5"/>
  <c r="P354" i="5"/>
  <c r="P383" i="5"/>
  <c r="P404" i="5"/>
  <c r="P419" i="5"/>
  <c r="P435" i="5"/>
  <c r="P291" i="5"/>
  <c r="P331" i="5"/>
  <c r="P347" i="5"/>
  <c r="P368" i="5"/>
  <c r="P384" i="5"/>
  <c r="P398" i="5"/>
  <c r="P412" i="5"/>
  <c r="P216" i="5"/>
  <c r="P269" i="5"/>
  <c r="P316" i="5"/>
  <c r="P346" i="5"/>
  <c r="P360" i="5"/>
  <c r="P369" i="5"/>
  <c r="P390" i="5"/>
  <c r="P410" i="5"/>
  <c r="P396" i="5"/>
  <c r="P438" i="5"/>
  <c r="P457" i="5"/>
  <c r="P477" i="5"/>
  <c r="P488" i="5"/>
  <c r="P493" i="5"/>
  <c r="P514" i="5"/>
  <c r="P372" i="5"/>
  <c r="P407" i="5"/>
  <c r="P439" i="5"/>
  <c r="P450" i="5"/>
  <c r="P484" i="5"/>
  <c r="P509" i="5"/>
  <c r="P385" i="5"/>
  <c r="P440" i="5"/>
  <c r="P451" i="5"/>
  <c r="P466" i="5"/>
  <c r="P491" i="5"/>
  <c r="P507" i="5"/>
  <c r="P516" i="5"/>
  <c r="P533" i="5"/>
  <c r="P552" i="5"/>
  <c r="P454" i="5"/>
  <c r="P501" i="5"/>
  <c r="P526" i="5"/>
  <c r="P553" i="5"/>
  <c r="P418" i="5"/>
  <c r="W525" i="5"/>
  <c r="Y525" i="5" s="1"/>
  <c r="W376" i="5"/>
  <c r="X376" i="5" s="1"/>
  <c r="W515" i="5"/>
  <c r="Y515" i="5" s="1"/>
  <c r="W190" i="5"/>
  <c r="X190" i="5" s="1"/>
  <c r="W554" i="5"/>
  <c r="X554" i="5" s="1"/>
  <c r="W415" i="5"/>
  <c r="X415" i="5" s="1"/>
  <c r="W544" i="5"/>
  <c r="X544" i="5" s="1"/>
  <c r="W536" i="5"/>
  <c r="Y536" i="5" s="1"/>
  <c r="W339" i="5"/>
  <c r="X339" i="5" s="1"/>
  <c r="W154" i="5"/>
  <c r="X154" i="5" s="1"/>
  <c r="W448" i="5"/>
  <c r="Y448" i="5" s="1"/>
  <c r="W214" i="5"/>
  <c r="Y214" i="5" s="1"/>
  <c r="W524" i="5"/>
  <c r="X524" i="5" s="1"/>
  <c r="W373" i="5"/>
  <c r="X373" i="5" s="1"/>
  <c r="W206" i="5"/>
  <c r="X206" i="5" s="1"/>
  <c r="W107" i="5"/>
  <c r="X107" i="5" s="1"/>
  <c r="S8" i="5"/>
  <c r="W379" i="5"/>
  <c r="X379" i="5" s="1"/>
  <c r="W464" i="5"/>
  <c r="X464" i="5" s="1"/>
  <c r="W484" i="5"/>
  <c r="Y484" i="5" s="1"/>
  <c r="W337" i="5"/>
  <c r="X337" i="5" s="1"/>
  <c r="W216" i="5"/>
  <c r="X216" i="5" s="1"/>
  <c r="W45" i="5"/>
  <c r="X45" i="5" s="1"/>
  <c r="W40" i="5"/>
  <c r="Y40" i="5" s="1"/>
  <c r="W94" i="5"/>
  <c r="Y94" i="5" s="1"/>
  <c r="W102" i="5"/>
  <c r="Y102" i="5" s="1"/>
  <c r="W132" i="5"/>
  <c r="Y132" i="5" s="1"/>
  <c r="W150" i="5"/>
  <c r="X150" i="5" s="1"/>
  <c r="W103" i="5"/>
  <c r="Y103" i="5" s="1"/>
  <c r="W194" i="5"/>
  <c r="Y194" i="5" s="1"/>
  <c r="W200" i="5"/>
  <c r="X200" i="5" s="1"/>
  <c r="W211" i="5"/>
  <c r="X211" i="5" s="1"/>
  <c r="W267" i="5"/>
  <c r="X267" i="5" s="1"/>
  <c r="W329" i="5"/>
  <c r="Y329" i="5" s="1"/>
  <c r="W273" i="5"/>
  <c r="Y273" i="5" s="1"/>
  <c r="W332" i="5"/>
  <c r="X332" i="5" s="1"/>
  <c r="W323" i="5"/>
  <c r="X323" i="5" s="1"/>
  <c r="W335" i="5"/>
  <c r="Y335" i="5" s="1"/>
  <c r="W395" i="5"/>
  <c r="X395" i="5" s="1"/>
  <c r="W320" i="5"/>
  <c r="Y320" i="5" s="1"/>
  <c r="W381" i="5"/>
  <c r="X381" i="5" s="1"/>
  <c r="W410" i="5"/>
  <c r="X410" i="5" s="1"/>
  <c r="W285" i="5"/>
  <c r="Y285" i="5" s="1"/>
  <c r="W375" i="5"/>
  <c r="Y375" i="5" s="1"/>
  <c r="W405" i="5"/>
  <c r="X405" i="5" s="1"/>
  <c r="W361" i="5"/>
  <c r="X361" i="5" s="1"/>
  <c r="W455" i="5"/>
  <c r="Y455" i="5" s="1"/>
  <c r="W479" i="5"/>
  <c r="Y479" i="5" s="1"/>
  <c r="W506" i="5"/>
  <c r="X506" i="5" s="1"/>
  <c r="W535" i="5"/>
  <c r="Y535" i="5" s="1"/>
  <c r="W411" i="5"/>
  <c r="X411" i="5" s="1"/>
  <c r="W447" i="5"/>
  <c r="Y447" i="5" s="1"/>
  <c r="W489" i="5"/>
  <c r="X489" i="5" s="1"/>
  <c r="W514" i="5"/>
  <c r="X514" i="5" s="1"/>
  <c r="W404" i="5"/>
  <c r="Y404" i="5" s="1"/>
  <c r="W460" i="5"/>
  <c r="X460" i="5" s="1"/>
  <c r="W496" i="5"/>
  <c r="Y496" i="5" s="1"/>
  <c r="W523" i="5"/>
  <c r="X523" i="5" s="1"/>
  <c r="W558" i="5"/>
  <c r="X558" i="5" s="1"/>
  <c r="W531" i="5"/>
  <c r="X531" i="5" s="1"/>
  <c r="W457" i="5"/>
  <c r="Y457" i="5" s="1"/>
  <c r="W546" i="5"/>
  <c r="Y546" i="5" s="1"/>
  <c r="W500" i="5"/>
  <c r="X500" i="5" s="1"/>
  <c r="W553" i="5"/>
  <c r="Y553" i="5" s="1"/>
  <c r="W442" i="5"/>
  <c r="Y442" i="5" s="1"/>
  <c r="W492" i="5"/>
  <c r="X492" i="5" s="1"/>
  <c r="W549" i="5"/>
  <c r="Y549" i="5" s="1"/>
  <c r="W19" i="5"/>
  <c r="Y19" i="5" s="1"/>
  <c r="W10" i="5"/>
  <c r="W44" i="5"/>
  <c r="Y44" i="5" s="1"/>
  <c r="W43" i="5"/>
  <c r="Y43" i="5" s="1"/>
  <c r="W76" i="5"/>
  <c r="X76" i="5" s="1"/>
  <c r="W66" i="5"/>
  <c r="X66" i="5" s="1"/>
  <c r="W158" i="5"/>
  <c r="X158" i="5" s="1"/>
  <c r="W128" i="5"/>
  <c r="Y128" i="5" s="1"/>
  <c r="W176" i="5"/>
  <c r="X176" i="5" s="1"/>
  <c r="W184" i="5"/>
  <c r="Y184" i="5" s="1"/>
  <c r="W248" i="5"/>
  <c r="Y248" i="5" s="1"/>
  <c r="W227" i="5"/>
  <c r="Y227" i="5" s="1"/>
  <c r="W207" i="5"/>
  <c r="Y207" i="5" s="1"/>
  <c r="W309" i="5"/>
  <c r="Y309" i="5" s="1"/>
  <c r="W255" i="5"/>
  <c r="X255" i="5" s="1"/>
  <c r="W308" i="5"/>
  <c r="X308" i="5" s="1"/>
  <c r="W292" i="5"/>
  <c r="Y292" i="5" s="1"/>
  <c r="W355" i="5"/>
  <c r="Y355" i="5" s="1"/>
  <c r="W370" i="5"/>
  <c r="Y370" i="5" s="1"/>
  <c r="W434" i="5"/>
  <c r="Y434" i="5" s="1"/>
  <c r="W366" i="5"/>
  <c r="X366" i="5" s="1"/>
  <c r="W400" i="5"/>
  <c r="Y400" i="5" s="1"/>
  <c r="W253" i="5"/>
  <c r="X253" i="5" s="1"/>
  <c r="W369" i="5"/>
  <c r="X369" i="5" s="1"/>
  <c r="W391" i="5"/>
  <c r="X391" i="5" s="1"/>
  <c r="W269" i="5"/>
  <c r="X269" i="5" s="1"/>
  <c r="W444" i="5"/>
  <c r="X444" i="5" s="1"/>
  <c r="W470" i="5"/>
  <c r="Y470" i="5" s="1"/>
  <c r="W495" i="5"/>
  <c r="Y495" i="5" s="1"/>
  <c r="W526" i="5"/>
  <c r="X526" i="5" s="1"/>
  <c r="W353" i="5"/>
  <c r="X353" i="5" s="1"/>
  <c r="W430" i="5"/>
  <c r="X430" i="5" s="1"/>
  <c r="W469" i="5"/>
  <c r="X469" i="5" s="1"/>
  <c r="W507" i="5"/>
  <c r="Y507" i="5" s="1"/>
  <c r="W365" i="5"/>
  <c r="X365" i="5" s="1"/>
  <c r="W453" i="5"/>
  <c r="Y453" i="5" s="1"/>
  <c r="W480" i="5"/>
  <c r="X480" i="5" s="1"/>
  <c r="W516" i="5"/>
  <c r="Y516" i="5" s="1"/>
  <c r="W545" i="5"/>
  <c r="X545" i="5" s="1"/>
  <c r="W462" i="5"/>
  <c r="Y462" i="5" s="1"/>
  <c r="W422" i="5"/>
  <c r="Y422" i="5" s="1"/>
  <c r="W539" i="5"/>
  <c r="X539" i="5" s="1"/>
  <c r="W474" i="5"/>
  <c r="Y474" i="5" s="1"/>
  <c r="W552" i="5"/>
  <c r="Y552" i="5" s="1"/>
  <c r="W425" i="5"/>
  <c r="X425" i="5" s="1"/>
  <c r="W482" i="5"/>
  <c r="Y482" i="5" s="1"/>
  <c r="W533" i="5"/>
  <c r="Y533" i="5" s="1"/>
  <c r="W560" i="5"/>
  <c r="Y560" i="5" s="1"/>
  <c r="W559" i="5"/>
  <c r="Y559" i="5" s="1"/>
  <c r="W459" i="5"/>
  <c r="X459" i="5" s="1"/>
  <c r="W551" i="5"/>
  <c r="Y551" i="5" s="1"/>
  <c r="W534" i="5"/>
  <c r="Y534" i="5" s="1"/>
  <c r="W439" i="5"/>
  <c r="X439" i="5" s="1"/>
  <c r="W512" i="5"/>
  <c r="Y512" i="5" s="1"/>
  <c r="W438" i="5"/>
  <c r="Y438" i="5" s="1"/>
  <c r="W502" i="5"/>
  <c r="X502" i="5" s="1"/>
  <c r="W429" i="5"/>
  <c r="X429" i="5" s="1"/>
  <c r="W520" i="5"/>
  <c r="X520" i="5" s="1"/>
  <c r="W467" i="5"/>
  <c r="X467" i="5" s="1"/>
  <c r="W236" i="5"/>
  <c r="X236" i="5" s="1"/>
  <c r="W354" i="5"/>
  <c r="X354" i="5" s="1"/>
  <c r="W398" i="5"/>
  <c r="Y398" i="5" s="1"/>
  <c r="W427" i="5"/>
  <c r="Y427" i="5" s="1"/>
  <c r="W345" i="5"/>
  <c r="X345" i="5" s="1"/>
  <c r="W301" i="5"/>
  <c r="Y301" i="5" s="1"/>
  <c r="W297" i="5"/>
  <c r="X297" i="5" s="1"/>
  <c r="W223" i="5"/>
  <c r="Y223" i="5" s="1"/>
  <c r="W181" i="5"/>
  <c r="X181" i="5" s="1"/>
  <c r="W123" i="5"/>
  <c r="Y123" i="5" s="1"/>
  <c r="W99" i="5"/>
  <c r="X99" i="5" s="1"/>
  <c r="W27" i="5"/>
  <c r="Y27" i="5" s="1"/>
  <c r="W556" i="5"/>
  <c r="X556" i="5" s="1"/>
  <c r="W452" i="5"/>
  <c r="X452" i="5" s="1"/>
  <c r="W521" i="5"/>
  <c r="X521" i="5" s="1"/>
  <c r="W486" i="5"/>
  <c r="X486" i="5" s="1"/>
  <c r="W310" i="5"/>
  <c r="Y310" i="5" s="1"/>
  <c r="W498" i="5"/>
  <c r="Y498" i="5" s="1"/>
  <c r="W431" i="5"/>
  <c r="Y431" i="5" s="1"/>
  <c r="W491" i="5"/>
  <c r="Y491" i="5" s="1"/>
  <c r="W414" i="5"/>
  <c r="Y414" i="5" s="1"/>
  <c r="W509" i="5"/>
  <c r="Y509" i="5" s="1"/>
  <c r="W461" i="5"/>
  <c r="X461" i="5" s="1"/>
  <c r="W407" i="5"/>
  <c r="X407" i="5" s="1"/>
  <c r="W305" i="5"/>
  <c r="Y305" i="5" s="1"/>
  <c r="W387" i="5"/>
  <c r="Y387" i="5" s="1"/>
  <c r="W401" i="5"/>
  <c r="W328" i="5"/>
  <c r="Y328" i="5" s="1"/>
  <c r="W277" i="5"/>
  <c r="X277" i="5" s="1"/>
  <c r="W275" i="5"/>
  <c r="Y275" i="5" s="1"/>
  <c r="W203" i="5"/>
  <c r="Y203" i="5" s="1"/>
  <c r="W139" i="5"/>
  <c r="W97" i="5"/>
  <c r="X97" i="5" s="1"/>
  <c r="W85" i="5"/>
  <c r="Y85" i="5" s="1"/>
  <c r="W34" i="5"/>
  <c r="Y34" i="5" s="1"/>
  <c r="W530" i="5"/>
  <c r="X530" i="5" s="1"/>
  <c r="W385" i="5"/>
  <c r="X385" i="5" s="1"/>
  <c r="W446" i="5"/>
  <c r="X446" i="5" s="1"/>
  <c r="W388" i="5"/>
  <c r="X388" i="5" s="1"/>
  <c r="W540" i="5"/>
  <c r="Y540" i="5" s="1"/>
  <c r="W475" i="5"/>
  <c r="Y475" i="5" s="1"/>
  <c r="W296" i="5"/>
  <c r="Y296" i="5" s="1"/>
  <c r="W466" i="5"/>
  <c r="X466" i="5" s="1"/>
  <c r="W343" i="5"/>
  <c r="X343" i="5" s="1"/>
  <c r="W490" i="5"/>
  <c r="X490" i="5" s="1"/>
  <c r="W440" i="5"/>
  <c r="X440" i="5" s="1"/>
  <c r="W390" i="5"/>
  <c r="Y390" i="5" s="1"/>
  <c r="W186" i="5"/>
  <c r="X186" i="5" s="1"/>
  <c r="W364" i="5"/>
  <c r="Y364" i="5" s="1"/>
  <c r="W360" i="5"/>
  <c r="Y360" i="5" s="1"/>
  <c r="W288" i="5"/>
  <c r="X288" i="5" s="1"/>
  <c r="W252" i="5"/>
  <c r="X252" i="5" s="1"/>
  <c r="W243" i="5"/>
  <c r="Y243" i="5" s="1"/>
  <c r="W246" i="5"/>
  <c r="X246" i="5" s="1"/>
  <c r="W164" i="5"/>
  <c r="Y164" i="5" s="1"/>
  <c r="W152" i="5"/>
  <c r="Y152" i="5" s="1"/>
  <c r="W58" i="5"/>
  <c r="Y58" i="5" s="1"/>
  <c r="W29" i="5"/>
  <c r="X29" i="5" s="1"/>
  <c r="P20" i="5"/>
  <c r="P43" i="5"/>
  <c r="P35" i="5"/>
  <c r="P27" i="5"/>
  <c r="P54" i="5"/>
  <c r="P66" i="5"/>
  <c r="P57" i="5"/>
  <c r="P47" i="5"/>
  <c r="P21" i="5"/>
  <c r="P75" i="5"/>
  <c r="P82" i="5"/>
  <c r="P56" i="5"/>
  <c r="P83" i="5"/>
  <c r="P97" i="5"/>
  <c r="P108" i="5"/>
  <c r="P102" i="5"/>
  <c r="P114" i="5"/>
  <c r="P140" i="5"/>
  <c r="P159" i="5"/>
  <c r="P122" i="5"/>
  <c r="P152" i="5"/>
  <c r="P131" i="5"/>
  <c r="P151" i="5"/>
  <c r="P155" i="5"/>
  <c r="P175" i="5"/>
  <c r="P94" i="5"/>
  <c r="P139" i="5"/>
  <c r="P176" i="5"/>
  <c r="P147" i="5"/>
  <c r="P171" i="5"/>
  <c r="P187" i="5"/>
  <c r="P196" i="5"/>
  <c r="P189" i="5"/>
  <c r="P221" i="5"/>
  <c r="P246" i="5"/>
  <c r="P156" i="5"/>
  <c r="P36" i="5"/>
  <c r="P33" i="5"/>
  <c r="P24" i="5"/>
  <c r="P48" i="5"/>
  <c r="P63" i="5"/>
  <c r="P45" i="5"/>
  <c r="P32" i="5"/>
  <c r="P65" i="5"/>
  <c r="P67" i="5"/>
  <c r="P76" i="5"/>
  <c r="P93" i="5"/>
  <c r="P51" i="5"/>
  <c r="P92" i="5"/>
  <c r="P107" i="5"/>
  <c r="P100" i="5"/>
  <c r="P106" i="5"/>
  <c r="P138" i="5"/>
  <c r="P157" i="5"/>
  <c r="P111" i="5"/>
  <c r="P145" i="5"/>
  <c r="P123" i="5"/>
  <c r="P142" i="5"/>
  <c r="P118" i="5"/>
  <c r="P172" i="5"/>
  <c r="P185" i="5"/>
  <c r="P136" i="5"/>
  <c r="P170" i="5"/>
  <c r="P126" i="5"/>
  <c r="P167" i="5"/>
  <c r="P186" i="5"/>
  <c r="P194" i="5"/>
  <c r="P184" i="5"/>
  <c r="P219" i="5"/>
  <c r="P233" i="5"/>
  <c r="P252" i="5"/>
  <c r="P204" i="5"/>
  <c r="P217" i="5"/>
  <c r="AU10" i="5"/>
  <c r="AV10" i="5"/>
  <c r="BD13" i="5"/>
  <c r="BE13" i="5"/>
  <c r="W8" i="5"/>
  <c r="W12" i="5"/>
  <c r="W13" i="5"/>
  <c r="W35" i="5"/>
  <c r="Y35" i="5" s="1"/>
  <c r="W21" i="5"/>
  <c r="Y21" i="5" s="1"/>
  <c r="W49" i="5"/>
  <c r="Y49" i="5" s="1"/>
  <c r="W64" i="5"/>
  <c r="Y64" i="5" s="1"/>
  <c r="W65" i="5"/>
  <c r="X65" i="5" s="1"/>
  <c r="W74" i="5"/>
  <c r="Y74" i="5" s="1"/>
  <c r="W73" i="5"/>
  <c r="Y73" i="5" s="1"/>
  <c r="W87" i="5"/>
  <c r="X87" i="5" s="1"/>
  <c r="W119" i="5"/>
  <c r="X119" i="5" s="1"/>
  <c r="W115" i="5"/>
  <c r="Y115" i="5" s="1"/>
  <c r="W110" i="5"/>
  <c r="W134" i="5"/>
  <c r="X134" i="5" s="1"/>
  <c r="W137" i="5"/>
  <c r="Y137" i="5" s="1"/>
  <c r="W171" i="5"/>
  <c r="X171" i="5" s="1"/>
  <c r="W148" i="5"/>
  <c r="X148" i="5" s="1"/>
  <c r="W202" i="5"/>
  <c r="Y202" i="5" s="1"/>
  <c r="W226" i="5"/>
  <c r="Y226" i="5" s="1"/>
  <c r="W172" i="5"/>
  <c r="X172" i="5" s="1"/>
  <c r="W209" i="5"/>
  <c r="X209" i="5" s="1"/>
  <c r="W239" i="5"/>
  <c r="X239" i="5" s="1"/>
  <c r="W229" i="5"/>
  <c r="X229" i="5" s="1"/>
  <c r="W225" i="5"/>
  <c r="Y225" i="5" s="1"/>
  <c r="W283" i="5"/>
  <c r="Y283" i="5" s="1"/>
  <c r="W315" i="5"/>
  <c r="Y315" i="5" s="1"/>
  <c r="W213" i="5"/>
  <c r="X213" i="5" s="1"/>
  <c r="W260" i="5"/>
  <c r="Y260" i="5" s="1"/>
  <c r="W279" i="5"/>
  <c r="X279" i="5" s="1"/>
  <c r="W318" i="5"/>
  <c r="X318" i="5" s="1"/>
  <c r="W251" i="5"/>
  <c r="X251" i="5" s="1"/>
  <c r="W302" i="5"/>
  <c r="Y302" i="5" s="1"/>
  <c r="W333" i="5"/>
  <c r="Y333" i="5" s="1"/>
  <c r="W268" i="5"/>
  <c r="X268" i="5" s="1"/>
  <c r="W351" i="5"/>
  <c r="Y351" i="5" s="1"/>
  <c r="W377" i="5"/>
  <c r="Y377" i="5" s="1"/>
  <c r="W412" i="5"/>
  <c r="X412" i="5" s="1"/>
  <c r="W259" i="5"/>
  <c r="Y259" i="5" s="1"/>
  <c r="W346" i="5"/>
  <c r="X346" i="5" s="1"/>
  <c r="W367" i="5"/>
  <c r="Y367" i="5" s="1"/>
  <c r="W394" i="5"/>
  <c r="X394" i="5" s="1"/>
  <c r="W403" i="5"/>
  <c r="W420" i="5"/>
  <c r="Y420" i="5" s="1"/>
  <c r="W256" i="5"/>
  <c r="Y256" i="5" s="1"/>
  <c r="W341" i="5"/>
  <c r="Y341" i="5" s="1"/>
  <c r="W371" i="5"/>
  <c r="X371" i="5" s="1"/>
  <c r="W380" i="5"/>
  <c r="X380" i="5" s="1"/>
  <c r="W393" i="5"/>
  <c r="Y393" i="5" s="1"/>
  <c r="W409" i="5"/>
  <c r="W281" i="5"/>
  <c r="X281" i="5" s="1"/>
  <c r="W423" i="5"/>
  <c r="X423" i="5" s="1"/>
  <c r="W445" i="5"/>
  <c r="Y445" i="5" s="1"/>
  <c r="W463" i="5"/>
  <c r="W473" i="5"/>
  <c r="X473" i="5" s="1"/>
  <c r="W487" i="5"/>
  <c r="X487" i="5" s="1"/>
  <c r="W497" i="5"/>
  <c r="Y497" i="5" s="1"/>
  <c r="W510" i="5"/>
  <c r="W528" i="5"/>
  <c r="Y528" i="5" s="1"/>
  <c r="W217" i="5"/>
  <c r="X217" i="5" s="1"/>
  <c r="W363" i="5"/>
  <c r="Y363" i="5" s="1"/>
  <c r="W417" i="5"/>
  <c r="X417" i="5" s="1"/>
  <c r="W441" i="5"/>
  <c r="Y441" i="5" s="1"/>
  <c r="W450" i="5"/>
  <c r="X450" i="5" s="1"/>
  <c r="W478" i="5"/>
  <c r="Y478" i="5" s="1"/>
  <c r="W494" i="5"/>
  <c r="X494" i="5" s="1"/>
  <c r="W508" i="5"/>
  <c r="Y508" i="5" s="1"/>
  <c r="W284" i="5"/>
  <c r="X284" i="5" s="1"/>
  <c r="W383" i="5"/>
  <c r="X383" i="5" s="1"/>
  <c r="W433" i="5"/>
  <c r="X433" i="5" s="1"/>
  <c r="W456" i="5"/>
  <c r="X456" i="5" s="1"/>
  <c r="W471" i="5"/>
  <c r="Y471" i="5" s="1"/>
  <c r="W483" i="5"/>
  <c r="Y483" i="5" s="1"/>
  <c r="W501" i="5"/>
  <c r="Y501" i="5" s="1"/>
  <c r="W517" i="5"/>
  <c r="W527" i="5"/>
  <c r="X527" i="5" s="1"/>
  <c r="W550" i="5"/>
  <c r="Y550" i="5" s="1"/>
  <c r="W435" i="5"/>
  <c r="Y435" i="5" s="1"/>
  <c r="W468" i="5"/>
  <c r="Y468" i="5" s="1"/>
  <c r="W557" i="5"/>
  <c r="Y557" i="5" s="1"/>
  <c r="W424" i="5"/>
  <c r="X424" i="5" s="1"/>
  <c r="W511" i="5"/>
  <c r="W541" i="5"/>
  <c r="Y541" i="5" s="1"/>
  <c r="W538" i="5"/>
  <c r="Y538" i="5" s="1"/>
  <c r="W477" i="5"/>
  <c r="X477" i="5" s="1"/>
  <c r="W522" i="5"/>
  <c r="W41" i="5"/>
  <c r="X41" i="5" s="1"/>
  <c r="W31" i="5"/>
  <c r="Y31" i="5" s="1"/>
  <c r="W69" i="5"/>
  <c r="Y69" i="5" s="1"/>
  <c r="W22" i="5"/>
  <c r="X22" i="5" s="1"/>
  <c r="W72" i="5"/>
  <c r="X72" i="5" s="1"/>
  <c r="W86" i="5"/>
  <c r="Y86" i="5" s="1"/>
  <c r="W96" i="5"/>
  <c r="Y96" i="5" s="1"/>
  <c r="W92" i="5"/>
  <c r="X92" i="5" s="1"/>
  <c r="W143" i="5"/>
  <c r="X143" i="5" s="1"/>
  <c r="W126" i="5"/>
  <c r="X126" i="5" s="1"/>
  <c r="W116" i="5"/>
  <c r="X116" i="5" s="1"/>
  <c r="W147" i="5"/>
  <c r="X147" i="5" s="1"/>
  <c r="W160" i="5"/>
  <c r="Y160" i="5" s="1"/>
  <c r="W177" i="5"/>
  <c r="Y177" i="5" s="1"/>
  <c r="W169" i="5"/>
  <c r="X169" i="5" s="1"/>
  <c r="W167" i="5"/>
  <c r="W231" i="5"/>
  <c r="Y231" i="5" s="1"/>
  <c r="W196" i="5"/>
  <c r="X196" i="5" s="1"/>
  <c r="W218" i="5"/>
  <c r="X218" i="5" s="1"/>
  <c r="W189" i="5"/>
  <c r="X189" i="5" s="1"/>
  <c r="W238" i="5"/>
  <c r="Y238" i="5" s="1"/>
  <c r="W235" i="5"/>
  <c r="X235" i="5" s="1"/>
  <c r="W287" i="5"/>
  <c r="X287" i="5" s="1"/>
  <c r="W319" i="5"/>
  <c r="W240" i="5"/>
  <c r="W265" i="5"/>
  <c r="X265" i="5" s="1"/>
  <c r="W289" i="5"/>
  <c r="Y289" i="5" s="1"/>
  <c r="W324" i="5"/>
  <c r="Y324" i="5" s="1"/>
  <c r="W266" i="5"/>
  <c r="X266" i="5" s="1"/>
  <c r="W313" i="5"/>
  <c r="Y313" i="5" s="1"/>
  <c r="W340" i="5"/>
  <c r="Y340" i="5" s="1"/>
  <c r="W298" i="5"/>
  <c r="X298" i="5" s="1"/>
  <c r="W357" i="5"/>
  <c r="X357" i="5" s="1"/>
  <c r="W384" i="5"/>
  <c r="X384" i="5" s="1"/>
  <c r="W416" i="5"/>
  <c r="X416" i="5" s="1"/>
  <c r="W300" i="5"/>
  <c r="W356" i="5"/>
  <c r="W378" i="5"/>
  <c r="Y378" i="5" s="1"/>
  <c r="W397" i="5"/>
  <c r="X397" i="5" s="1"/>
  <c r="W406" i="5"/>
  <c r="W421" i="5"/>
  <c r="X421" i="5" s="1"/>
  <c r="W261" i="5"/>
  <c r="Y261" i="5" s="1"/>
  <c r="W349" i="5"/>
  <c r="Y349" i="5" s="1"/>
  <c r="W372" i="5"/>
  <c r="Y372" i="5" s="1"/>
  <c r="W386" i="5"/>
  <c r="X386" i="5" s="1"/>
  <c r="W396" i="5"/>
  <c r="X396" i="5" s="1"/>
  <c r="W418" i="5"/>
  <c r="X418" i="5" s="1"/>
  <c r="W293" i="5"/>
  <c r="X293" i="5" s="1"/>
  <c r="W426" i="5"/>
  <c r="W449" i="5"/>
  <c r="Y449" i="5" s="1"/>
  <c r="W465" i="5"/>
  <c r="Y465" i="5" s="1"/>
  <c r="W476" i="5"/>
  <c r="W488" i="5"/>
  <c r="Y488" i="5" s="1"/>
  <c r="W503" i="5"/>
  <c r="X503" i="5" s="1"/>
  <c r="W518" i="5"/>
  <c r="X518" i="5" s="1"/>
  <c r="W529" i="5"/>
  <c r="W307" i="5"/>
  <c r="X307" i="5" s="1"/>
  <c r="W402" i="5"/>
  <c r="X402" i="5" s="1"/>
  <c r="W428" i="5"/>
  <c r="Y428" i="5" s="1"/>
  <c r="W443" i="5"/>
  <c r="X443" i="5" s="1"/>
  <c r="W451" i="5"/>
  <c r="Y451" i="5" s="1"/>
  <c r="W481" i="5"/>
  <c r="Y481" i="5" s="1"/>
  <c r="W499" i="5"/>
  <c r="Y499" i="5" s="1"/>
  <c r="W513" i="5"/>
  <c r="X513" i="5" s="1"/>
  <c r="W290" i="5"/>
  <c r="W389" i="5"/>
  <c r="X389" i="5" s="1"/>
  <c r="W436" i="5"/>
  <c r="X436" i="5" s="1"/>
  <c r="W458" i="5"/>
  <c r="W472" i="5"/>
  <c r="Y472" i="5" s="1"/>
  <c r="W485" i="5"/>
  <c r="X485" i="5" s="1"/>
  <c r="W504" i="5"/>
  <c r="Y504" i="5" s="1"/>
  <c r="W519" i="5"/>
  <c r="W537" i="5"/>
  <c r="Y537" i="5" s="1"/>
  <c r="W555" i="5"/>
  <c r="X555" i="5" s="1"/>
  <c r="W437" i="5"/>
  <c r="X437" i="5" s="1"/>
  <c r="W505" i="5"/>
  <c r="Y505" i="5" s="1"/>
  <c r="W547" i="5"/>
  <c r="Y547" i="5" s="1"/>
  <c r="W454" i="5"/>
  <c r="X454" i="5" s="1"/>
  <c r="W532" i="5"/>
  <c r="Y532" i="5" s="1"/>
  <c r="W542" i="5"/>
  <c r="Y542" i="5" s="1"/>
  <c r="W543" i="5"/>
  <c r="W493" i="5"/>
  <c r="X493" i="5" s="1"/>
  <c r="W548" i="5"/>
  <c r="Y548" i="5" s="1"/>
  <c r="BD12" i="5"/>
  <c r="BE12" i="5"/>
  <c r="Z8" i="5"/>
  <c r="Z12" i="5"/>
  <c r="Z13" i="5"/>
  <c r="S13" i="5"/>
  <c r="R13" i="5"/>
  <c r="P12" i="5"/>
  <c r="P13" i="5"/>
  <c r="P11" i="5"/>
  <c r="P8" i="5"/>
  <c r="P9" i="5"/>
  <c r="P10" i="5"/>
  <c r="Z34" i="5"/>
  <c r="AA34" i="5" s="1"/>
  <c r="Z540" i="5"/>
  <c r="AB540" i="5" s="1"/>
  <c r="W23" i="5"/>
  <c r="Y23" i="5" s="1"/>
  <c r="P22" i="5"/>
  <c r="P40" i="5"/>
  <c r="P30" i="5"/>
  <c r="P41" i="5"/>
  <c r="P28" i="5"/>
  <c r="P50" i="5"/>
  <c r="P60" i="5"/>
  <c r="P73" i="5"/>
  <c r="P61" i="5"/>
  <c r="P42" i="5"/>
  <c r="P64" i="5"/>
  <c r="P62" i="5"/>
  <c r="P77" i="5"/>
  <c r="P80" i="5"/>
  <c r="P90" i="5"/>
  <c r="P88" i="5"/>
  <c r="P84" i="5"/>
  <c r="P96" i="5"/>
  <c r="P101" i="5"/>
  <c r="P81" i="5"/>
  <c r="P105" i="5"/>
  <c r="P109" i="5"/>
  <c r="P128" i="5"/>
  <c r="P146" i="5"/>
  <c r="P161" i="5"/>
  <c r="P115" i="5"/>
  <c r="P141" i="5"/>
  <c r="P117" i="5"/>
  <c r="P133" i="5"/>
  <c r="P144" i="5"/>
  <c r="P59" i="5"/>
  <c r="P162" i="5"/>
  <c r="P179" i="5"/>
  <c r="P74" i="5"/>
  <c r="P127" i="5"/>
  <c r="P164" i="5"/>
  <c r="P178" i="5"/>
  <c r="P129" i="5"/>
  <c r="P165" i="5"/>
  <c r="P177" i="5"/>
  <c r="P190" i="5"/>
  <c r="P195" i="5"/>
  <c r="P169" i="5"/>
  <c r="P207" i="5"/>
  <c r="P225" i="5"/>
  <c r="P240" i="5"/>
  <c r="P249" i="5"/>
  <c r="P174" i="5"/>
  <c r="P208" i="5"/>
  <c r="P222" i="5"/>
  <c r="P234" i="5"/>
  <c r="P134" i="5"/>
  <c r="P213" i="5"/>
  <c r="P223" i="5"/>
  <c r="P243" i="5"/>
  <c r="P253" i="5"/>
  <c r="P271" i="5"/>
  <c r="P293" i="5"/>
  <c r="P303" i="5"/>
  <c r="P320" i="5"/>
  <c r="P112" i="5"/>
  <c r="P260" i="5"/>
  <c r="P272" i="5"/>
  <c r="P278" i="5"/>
  <c r="P287" i="5"/>
  <c r="P309" i="5"/>
  <c r="P319" i="5"/>
  <c r="P254" i="5"/>
  <c r="P270" i="5"/>
  <c r="P289" i="5"/>
  <c r="P308" i="5"/>
  <c r="P327" i="5"/>
  <c r="P342" i="5"/>
  <c r="P361" i="5"/>
  <c r="P276" i="5"/>
  <c r="P341" i="5"/>
  <c r="P363" i="5"/>
  <c r="P382" i="5"/>
  <c r="P399" i="5"/>
  <c r="P413" i="5"/>
  <c r="P422" i="5"/>
  <c r="P430" i="5"/>
  <c r="P266" i="5"/>
  <c r="P311" i="5"/>
  <c r="P336" i="5"/>
  <c r="Z482" i="5"/>
  <c r="AB482" i="5" s="1"/>
  <c r="Z244" i="5"/>
  <c r="Z497" i="5"/>
  <c r="Z426" i="5"/>
  <c r="AA426" i="5" s="1"/>
  <c r="Z232" i="5"/>
  <c r="AA232" i="5" s="1"/>
  <c r="Z559" i="5"/>
  <c r="Z308" i="5"/>
  <c r="Z94" i="5"/>
  <c r="Z488" i="5"/>
  <c r="Z276" i="5"/>
  <c r="Z110" i="5"/>
  <c r="AA110" i="5" s="1"/>
  <c r="Z551" i="5"/>
  <c r="AA551" i="5" s="1"/>
  <c r="Z491" i="5"/>
  <c r="AB491" i="5" s="1"/>
  <c r="Z428" i="5"/>
  <c r="Z424" i="5"/>
  <c r="Z373" i="5"/>
  <c r="AB373" i="5" s="1"/>
  <c r="Z249" i="5"/>
  <c r="AB249" i="5" s="1"/>
  <c r="Z79" i="5"/>
  <c r="AA79" i="5" s="1"/>
  <c r="Z534" i="5"/>
  <c r="Z512" i="5"/>
  <c r="Z470" i="5"/>
  <c r="Z359" i="5"/>
  <c r="Z229" i="5"/>
  <c r="Z160" i="5"/>
  <c r="AA160" i="5" s="1"/>
  <c r="Z22" i="5"/>
  <c r="AA22" i="5" s="1"/>
  <c r="Z496" i="5"/>
  <c r="Z480" i="5"/>
  <c r="Z552" i="5"/>
  <c r="Z543" i="5"/>
  <c r="Z372" i="5"/>
  <c r="Z381" i="5"/>
  <c r="Z211" i="5"/>
  <c r="AA211" i="5" s="1"/>
  <c r="Z413" i="5"/>
  <c r="AB413" i="5" s="1"/>
  <c r="Z353" i="5"/>
  <c r="Z296" i="5"/>
  <c r="Z210" i="5"/>
  <c r="Z162" i="5"/>
  <c r="AB162" i="5" s="1"/>
  <c r="Z64" i="5"/>
  <c r="W241" i="5"/>
  <c r="W197" i="5"/>
  <c r="X197" i="5" s="1"/>
  <c r="W191" i="5"/>
  <c r="Y191" i="5" s="1"/>
  <c r="W163" i="5"/>
  <c r="W179" i="5"/>
  <c r="W168" i="5"/>
  <c r="W112" i="5"/>
  <c r="W140" i="5"/>
  <c r="Y140" i="5" s="1"/>
  <c r="W118" i="5"/>
  <c r="Y118" i="5" s="1"/>
  <c r="W141" i="5"/>
  <c r="X141" i="5" s="1"/>
  <c r="W108" i="5"/>
  <c r="Y108" i="5" s="1"/>
  <c r="W130" i="5"/>
  <c r="W95" i="5"/>
  <c r="W106" i="5"/>
  <c r="X106" i="5" s="1"/>
  <c r="W91" i="5"/>
  <c r="Y91" i="5" s="1"/>
  <c r="W81" i="5"/>
  <c r="X81" i="5" s="1"/>
  <c r="W79" i="5"/>
  <c r="W50" i="5"/>
  <c r="Y50" i="5" s="1"/>
  <c r="W53" i="5"/>
  <c r="X53" i="5" s="1"/>
  <c r="W60" i="5"/>
  <c r="Y60" i="5" s="1"/>
  <c r="W39" i="5"/>
  <c r="W33" i="5"/>
  <c r="X33" i="5" s="1"/>
  <c r="Z550" i="5"/>
  <c r="Z434" i="5"/>
  <c r="Z549" i="5"/>
  <c r="AB549" i="5" s="1"/>
  <c r="Z502" i="5"/>
  <c r="Z495" i="5"/>
  <c r="AB495" i="5" s="1"/>
  <c r="Z504" i="5"/>
  <c r="AB504" i="5" s="1"/>
  <c r="Z382" i="5"/>
  <c r="Z371" i="5"/>
  <c r="Z278" i="5"/>
  <c r="AA278" i="5" s="1"/>
  <c r="Z223" i="5"/>
  <c r="Z136" i="5"/>
  <c r="AB136" i="5" s="1"/>
  <c r="Z104" i="5"/>
  <c r="AB104" i="5" s="1"/>
  <c r="Z44" i="5"/>
  <c r="AB44" i="5" s="1"/>
  <c r="W20" i="5"/>
  <c r="W37" i="5"/>
  <c r="X37" i="5" s="1"/>
  <c r="W30" i="5"/>
  <c r="X30" i="5" s="1"/>
  <c r="W46" i="5"/>
  <c r="W32" i="5"/>
  <c r="Y32" i="5" s="1"/>
  <c r="W51" i="5"/>
  <c r="X51" i="5" s="1"/>
  <c r="W57" i="5"/>
  <c r="W71" i="5"/>
  <c r="W52" i="5"/>
  <c r="W68" i="5"/>
  <c r="X68" i="5" s="1"/>
  <c r="W48" i="5"/>
  <c r="X48" i="5" s="1"/>
  <c r="W62" i="5"/>
  <c r="W75" i="5"/>
  <c r="X75" i="5" s="1"/>
  <c r="W70" i="5"/>
  <c r="X70" i="5" s="1"/>
  <c r="W77" i="5"/>
  <c r="X77" i="5" s="1"/>
  <c r="W90" i="5"/>
  <c r="X90" i="5" s="1"/>
  <c r="W88" i="5"/>
  <c r="W82" i="5"/>
  <c r="X82" i="5" s="1"/>
  <c r="W104" i="5"/>
  <c r="Y104" i="5" s="1"/>
  <c r="W84" i="5"/>
  <c r="X84" i="5" s="1"/>
  <c r="W93" i="5"/>
  <c r="X93" i="5" s="1"/>
  <c r="W105" i="5"/>
  <c r="X105" i="5" s="1"/>
  <c r="W122" i="5"/>
  <c r="Y122" i="5" s="1"/>
  <c r="W146" i="5"/>
  <c r="Y146" i="5" s="1"/>
  <c r="W159" i="5"/>
  <c r="W121" i="5"/>
  <c r="X121" i="5" s="1"/>
  <c r="W136" i="5"/>
  <c r="Y136" i="5" s="1"/>
  <c r="W101" i="5"/>
  <c r="Y101" i="5" s="1"/>
  <c r="W117" i="5"/>
  <c r="Y117" i="5" s="1"/>
  <c r="W125" i="5"/>
  <c r="Y125" i="5" s="1"/>
  <c r="W135" i="5"/>
  <c r="Y135" i="5" s="1"/>
  <c r="W149" i="5"/>
  <c r="W155" i="5"/>
  <c r="W156" i="5"/>
  <c r="Y156" i="5" s="1"/>
  <c r="W166" i="5"/>
  <c r="Y166" i="5" s="1"/>
  <c r="W180" i="5"/>
  <c r="X180" i="5" s="1"/>
  <c r="W178" i="5"/>
  <c r="Y178" i="5" s="1"/>
  <c r="W124" i="5"/>
  <c r="Y124" i="5" s="1"/>
  <c r="W151" i="5"/>
  <c r="Y151" i="5" s="1"/>
  <c r="W170" i="5"/>
  <c r="Y170" i="5" s="1"/>
  <c r="W188" i="5"/>
  <c r="W205" i="5"/>
  <c r="X205" i="5" s="1"/>
  <c r="W195" i="5"/>
  <c r="Y195" i="5" s="1"/>
  <c r="W219" i="5"/>
  <c r="W237" i="5"/>
  <c r="X237" i="5" s="1"/>
  <c r="W247" i="5"/>
  <c r="Y247" i="5" s="1"/>
  <c r="W175" i="5"/>
  <c r="X175" i="5" s="1"/>
  <c r="W201" i="5"/>
  <c r="W215" i="5"/>
  <c r="W224" i="5"/>
  <c r="Y224" i="5" s="1"/>
  <c r="W245" i="5"/>
  <c r="X245" i="5" s="1"/>
  <c r="W212" i="5"/>
  <c r="Y212" i="5" s="1"/>
  <c r="W232" i="5"/>
  <c r="W129" i="5"/>
  <c r="Y129" i="5" s="1"/>
  <c r="W230" i="5"/>
  <c r="X230" i="5" s="1"/>
  <c r="W272" i="5"/>
  <c r="Y272" i="5" s="1"/>
  <c r="W286" i="5"/>
  <c r="W304" i="5"/>
  <c r="Y304" i="5" s="1"/>
  <c r="W317" i="5"/>
  <c r="Y317" i="5" s="1"/>
  <c r="W330" i="5"/>
  <c r="X330" i="5" s="1"/>
  <c r="W221" i="5"/>
  <c r="X221" i="5" s="1"/>
  <c r="W254" i="5"/>
  <c r="Y254" i="5" s="1"/>
  <c r="W263" i="5"/>
  <c r="Y263" i="5" s="1"/>
  <c r="W274" i="5"/>
  <c r="X274" i="5" s="1"/>
  <c r="W282" i="5"/>
  <c r="W306" i="5"/>
  <c r="Y306" i="5" s="1"/>
  <c r="W322" i="5"/>
  <c r="W185" i="5"/>
  <c r="X185" i="5" s="1"/>
  <c r="W258" i="5"/>
  <c r="X258" i="5" s="1"/>
  <c r="W291" i="5"/>
  <c r="Y291" i="5" s="1"/>
  <c r="W311" i="5"/>
  <c r="Y311" i="5" s="1"/>
  <c r="W325" i="5"/>
  <c r="Y325" i="5" s="1"/>
  <c r="W336" i="5"/>
  <c r="W347" i="5"/>
  <c r="X347" i="5" s="1"/>
  <c r="W271" i="5"/>
  <c r="Y271" i="5" s="1"/>
  <c r="W338" i="5"/>
  <c r="W352" i="5"/>
  <c r="X352" i="5" s="1"/>
  <c r="W368" i="5"/>
  <c r="Y368" i="5" s="1"/>
  <c r="W382" i="5"/>
  <c r="Y382" i="5" s="1"/>
  <c r="W399" i="5"/>
  <c r="X399" i="5" s="1"/>
  <c r="W413" i="5"/>
  <c r="W432" i="5"/>
  <c r="Y432" i="5" s="1"/>
  <c r="W264" i="5"/>
  <c r="X264" i="5" s="1"/>
  <c r="W334" i="5"/>
  <c r="W350" i="5"/>
  <c r="Y350" i="5" s="1"/>
  <c r="W25" i="5"/>
  <c r="Y25" i="5" s="1"/>
  <c r="W28" i="5"/>
  <c r="X28" i="5" s="1"/>
  <c r="W38" i="5"/>
  <c r="W24" i="5"/>
  <c r="Y24" i="5" s="1"/>
  <c r="W42" i="5"/>
  <c r="W47" i="5"/>
  <c r="X47" i="5" s="1"/>
  <c r="W61" i="5"/>
  <c r="X61" i="5" s="1"/>
  <c r="W36" i="5"/>
  <c r="Y36" i="5" s="1"/>
  <c r="W54" i="5"/>
  <c r="W26" i="5"/>
  <c r="X26" i="5" s="1"/>
  <c r="W56" i="5"/>
  <c r="W67" i="5"/>
  <c r="W55" i="5"/>
  <c r="X55" i="5" s="1"/>
  <c r="W80" i="5"/>
  <c r="W83" i="5"/>
  <c r="W78" i="5"/>
  <c r="W63" i="5"/>
  <c r="X63" i="5" s="1"/>
  <c r="W98" i="5"/>
  <c r="X98" i="5" s="1"/>
  <c r="W109" i="5"/>
  <c r="W89" i="5"/>
  <c r="W100" i="5"/>
  <c r="W114" i="5"/>
  <c r="Y114" i="5" s="1"/>
  <c r="W138" i="5"/>
  <c r="W157" i="5"/>
  <c r="X157" i="5" s="1"/>
  <c r="W113" i="5"/>
  <c r="W127" i="5"/>
  <c r="X127" i="5" s="1"/>
  <c r="W145" i="5"/>
  <c r="W111" i="5"/>
  <c r="W120" i="5"/>
  <c r="Y120" i="5" s="1"/>
  <c r="W133" i="5"/>
  <c r="Y133" i="5" s="1"/>
  <c r="W144" i="5"/>
  <c r="W153" i="5"/>
  <c r="W131" i="5"/>
  <c r="X131" i="5" s="1"/>
  <c r="W162" i="5"/>
  <c r="X162" i="5" s="1"/>
  <c r="W174" i="5"/>
  <c r="W173" i="5"/>
  <c r="W183" i="5"/>
  <c r="W142" i="5"/>
  <c r="X142" i="5" s="1"/>
  <c r="W165" i="5"/>
  <c r="Y165" i="5" s="1"/>
  <c r="W182" i="5"/>
  <c r="W199" i="5"/>
  <c r="W187" i="5"/>
  <c r="X187" i="5" s="1"/>
  <c r="W204" i="5"/>
  <c r="W228" i="5"/>
  <c r="W244" i="5"/>
  <c r="X244" i="5" s="1"/>
  <c r="W161" i="5"/>
  <c r="Y161" i="5" s="1"/>
  <c r="W198" i="5"/>
  <c r="W208" i="5"/>
  <c r="W220" i="5"/>
  <c r="X220" i="5" s="1"/>
  <c r="W234" i="5"/>
  <c r="X234" i="5" s="1"/>
  <c r="W193" i="5"/>
  <c r="W222" i="5"/>
  <c r="Y222" i="5" s="1"/>
  <c r="W242" i="5"/>
  <c r="W210" i="5"/>
  <c r="Y210" i="5" s="1"/>
  <c r="W262" i="5"/>
  <c r="W280" i="5"/>
  <c r="Y280" i="5" s="1"/>
  <c r="W294" i="5"/>
  <c r="W312" i="5"/>
  <c r="Y312" i="5" s="1"/>
  <c r="W326" i="5"/>
  <c r="X326" i="5" s="1"/>
  <c r="W192" i="5"/>
  <c r="W249" i="5"/>
  <c r="X249" i="5" s="1"/>
  <c r="W257" i="5"/>
  <c r="W270" i="5"/>
  <c r="W278" i="5"/>
  <c r="W295" i="5"/>
  <c r="Y295" i="5" s="1"/>
  <c r="W314" i="5"/>
  <c r="X314" i="5" s="1"/>
  <c r="W327" i="5"/>
  <c r="Y327" i="5" s="1"/>
  <c r="W250" i="5"/>
  <c r="W276" i="5"/>
  <c r="W299" i="5"/>
  <c r="X299" i="5" s="1"/>
  <c r="W316" i="5"/>
  <c r="Y316" i="5" s="1"/>
  <c r="W331" i="5"/>
  <c r="W344" i="5"/>
  <c r="W359" i="5"/>
  <c r="X359" i="5" s="1"/>
  <c r="W321" i="5"/>
  <c r="X321" i="5" s="1"/>
  <c r="W348" i="5"/>
  <c r="Y348" i="5" s="1"/>
  <c r="W358" i="5"/>
  <c r="X358" i="5" s="1"/>
  <c r="W374" i="5"/>
  <c r="X374" i="5" s="1"/>
  <c r="W392" i="5"/>
  <c r="W408" i="5"/>
  <c r="Y408" i="5" s="1"/>
  <c r="W419" i="5"/>
  <c r="X419" i="5" s="1"/>
  <c r="W233" i="5"/>
  <c r="X233" i="5" s="1"/>
  <c r="W303" i="5"/>
  <c r="Y303" i="5" s="1"/>
  <c r="W342" i="5"/>
  <c r="W362" i="5"/>
  <c r="Z485" i="5"/>
  <c r="Z532" i="5"/>
  <c r="Z464" i="5"/>
  <c r="Z529" i="5"/>
  <c r="AB529" i="5" s="1"/>
  <c r="Z535" i="5"/>
  <c r="Z448" i="5"/>
  <c r="Z538" i="5"/>
  <c r="Z469" i="5"/>
  <c r="AB469" i="5" s="1"/>
  <c r="Z246" i="5"/>
  <c r="AB246" i="5" s="1"/>
  <c r="Z463" i="5"/>
  <c r="Z313" i="5"/>
  <c r="Z474" i="5"/>
  <c r="AA474" i="5" s="1"/>
  <c r="Z415" i="5"/>
  <c r="AA415" i="5" s="1"/>
  <c r="Z350" i="5"/>
  <c r="Z401" i="5"/>
  <c r="Z431" i="5"/>
  <c r="AB431" i="5" s="1"/>
  <c r="Z334" i="5"/>
  <c r="AA334" i="5" s="1"/>
  <c r="Z317" i="5"/>
  <c r="Z271" i="5"/>
  <c r="AA271" i="5" s="1"/>
  <c r="Z226" i="5"/>
  <c r="Z182" i="5"/>
  <c r="AA182" i="5" s="1"/>
  <c r="Z186" i="5"/>
  <c r="Z150" i="5"/>
  <c r="AA150" i="5" s="1"/>
  <c r="Z95" i="5"/>
  <c r="AA95" i="5" s="1"/>
  <c r="Z52" i="5"/>
  <c r="AA52" i="5" s="1"/>
  <c r="Z43" i="5"/>
  <c r="Z19" i="5"/>
  <c r="AA19" i="5" s="1"/>
  <c r="Z554" i="5"/>
  <c r="Z514" i="5"/>
  <c r="Z436" i="5"/>
  <c r="AB436" i="5" s="1"/>
  <c r="Z501" i="5"/>
  <c r="Z555" i="5"/>
  <c r="AA555" i="5" s="1"/>
  <c r="Z342" i="5"/>
  <c r="Z513" i="5"/>
  <c r="Z443" i="5"/>
  <c r="AB443" i="5" s="1"/>
  <c r="Z509" i="5"/>
  <c r="AA509" i="5" s="1"/>
  <c r="Z446" i="5"/>
  <c r="Z525" i="5"/>
  <c r="Z453" i="5"/>
  <c r="AA453" i="5" s="1"/>
  <c r="Z397" i="5"/>
  <c r="AB397" i="5" s="1"/>
  <c r="Z328" i="5"/>
  <c r="Z384" i="5"/>
  <c r="AA384" i="5" s="1"/>
  <c r="Z390" i="5"/>
  <c r="AA390" i="5" s="1"/>
  <c r="Z295" i="5"/>
  <c r="Z272" i="5"/>
  <c r="Z216" i="5"/>
  <c r="Z169" i="5"/>
  <c r="Z178" i="5"/>
  <c r="AB178" i="5" s="1"/>
  <c r="Z137" i="5"/>
  <c r="Z120" i="5"/>
  <c r="AB120" i="5" s="1"/>
  <c r="Z76" i="5"/>
  <c r="Z58" i="5"/>
  <c r="Z528" i="5"/>
  <c r="AA528" i="5" s="1"/>
  <c r="Z456" i="5"/>
  <c r="Z546" i="5"/>
  <c r="AB546" i="5" s="1"/>
  <c r="Z527" i="5"/>
  <c r="AA527" i="5" s="1"/>
  <c r="Z490" i="5"/>
  <c r="Z460" i="5"/>
  <c r="Z545" i="5"/>
  <c r="AB545" i="5" s="1"/>
  <c r="Z523" i="5"/>
  <c r="Z475" i="5"/>
  <c r="Z560" i="5"/>
  <c r="Z526" i="5"/>
  <c r="Z433" i="5"/>
  <c r="Z557" i="5"/>
  <c r="Z536" i="5"/>
  <c r="Z499" i="5"/>
  <c r="AB499" i="5" s="1"/>
  <c r="Z466" i="5"/>
  <c r="Z427" i="5"/>
  <c r="Z521" i="5"/>
  <c r="Z484" i="5"/>
  <c r="Z461" i="5"/>
  <c r="Z405" i="5"/>
  <c r="Z258" i="5"/>
  <c r="AA258" i="5" s="1"/>
  <c r="Z500" i="5"/>
  <c r="Z468" i="5"/>
  <c r="AA468" i="5" s="1"/>
  <c r="Z391" i="5"/>
  <c r="AB391" i="5" s="1"/>
  <c r="Z406" i="5"/>
  <c r="Z378" i="5"/>
  <c r="Z348" i="5"/>
  <c r="AA348" i="5" s="1"/>
  <c r="Z266" i="5"/>
  <c r="AB266" i="5" s="1"/>
  <c r="Z399" i="5"/>
  <c r="AA399" i="5" s="1"/>
  <c r="Z370" i="5"/>
  <c r="Z423" i="5"/>
  <c r="AB423" i="5" s="1"/>
  <c r="Z363" i="5"/>
  <c r="AA363" i="5" s="1"/>
  <c r="Z322" i="5"/>
  <c r="AA322" i="5" s="1"/>
  <c r="Z273" i="5"/>
  <c r="AB273" i="5" s="1"/>
  <c r="Z298" i="5"/>
  <c r="AA298" i="5" s="1"/>
  <c r="Z323" i="5"/>
  <c r="AA323" i="5" s="1"/>
  <c r="Z261" i="5"/>
  <c r="AB261" i="5" s="1"/>
  <c r="Z215" i="5"/>
  <c r="AB215" i="5" s="1"/>
  <c r="Z205" i="5"/>
  <c r="Z235" i="5"/>
  <c r="AA235" i="5" s="1"/>
  <c r="Z207" i="5"/>
  <c r="Z109" i="5"/>
  <c r="AA109" i="5" s="1"/>
  <c r="Z172" i="5"/>
  <c r="AB172" i="5" s="1"/>
  <c r="Z152" i="5"/>
  <c r="AB152" i="5" s="1"/>
  <c r="Z144" i="5"/>
  <c r="AA144" i="5" s="1"/>
  <c r="Z105" i="5"/>
  <c r="AA105" i="5" s="1"/>
  <c r="Z84" i="5"/>
  <c r="AB84" i="5" s="1"/>
  <c r="Z71" i="5"/>
  <c r="Z69" i="5"/>
  <c r="Z30" i="5"/>
  <c r="AB30" i="5" s="1"/>
  <c r="Z47" i="5"/>
  <c r="Z35" i="5"/>
  <c r="Z46" i="5"/>
  <c r="AB46" i="5" s="1"/>
  <c r="Z73" i="5"/>
  <c r="AA73" i="5" s="1"/>
  <c r="Z53" i="5"/>
  <c r="Z77" i="5"/>
  <c r="Z42" i="5"/>
  <c r="AB42" i="5" s="1"/>
  <c r="Z87" i="5"/>
  <c r="AB87" i="5" s="1"/>
  <c r="Z88" i="5"/>
  <c r="Z97" i="5"/>
  <c r="Z111" i="5"/>
  <c r="AB111" i="5" s="1"/>
  <c r="Z131" i="5"/>
  <c r="Z153" i="5"/>
  <c r="AB153" i="5" s="1"/>
  <c r="Z130" i="5"/>
  <c r="AA130" i="5" s="1"/>
  <c r="Z100" i="5"/>
  <c r="AA100" i="5" s="1"/>
  <c r="Z151" i="5"/>
  <c r="AB151" i="5" s="1"/>
  <c r="Z99" i="5"/>
  <c r="Z174" i="5"/>
  <c r="AA174" i="5" s="1"/>
  <c r="Z145" i="5"/>
  <c r="AB145" i="5" s="1"/>
  <c r="Z193" i="5"/>
  <c r="AA193" i="5" s="1"/>
  <c r="Z190" i="5"/>
  <c r="Z222" i="5"/>
  <c r="AB222" i="5" s="1"/>
  <c r="Z250" i="5"/>
  <c r="AA250" i="5" s="1"/>
  <c r="Z194" i="5"/>
  <c r="AB194" i="5" s="1"/>
  <c r="Z228" i="5"/>
  <c r="Z200" i="5"/>
  <c r="AB200" i="5" s="1"/>
  <c r="Z224" i="5"/>
  <c r="AB224" i="5" s="1"/>
  <c r="Z247" i="5"/>
  <c r="Z281" i="5"/>
  <c r="Z305" i="5"/>
  <c r="AA305" i="5" s="1"/>
  <c r="Z248" i="5"/>
  <c r="AB248" i="5" s="1"/>
  <c r="Z284" i="5"/>
  <c r="AB284" i="5" s="1"/>
  <c r="Z326" i="5"/>
  <c r="Z260" i="5"/>
  <c r="AA260" i="5" s="1"/>
  <c r="Z279" i="5"/>
  <c r="Z312" i="5"/>
  <c r="AA312" i="5" s="1"/>
  <c r="Z337" i="5"/>
  <c r="AA337" i="5" s="1"/>
  <c r="Z318" i="5"/>
  <c r="Z375" i="5"/>
  <c r="Z414" i="5"/>
  <c r="AB414" i="5" s="1"/>
  <c r="Z435" i="5"/>
  <c r="Z338" i="5"/>
  <c r="AB338" i="5" s="1"/>
  <c r="Z377" i="5"/>
  <c r="Z392" i="5"/>
  <c r="Z408" i="5"/>
  <c r="Z419" i="5"/>
  <c r="AA419" i="5" s="1"/>
  <c r="Z311" i="5"/>
  <c r="Z344" i="5"/>
  <c r="Z356" i="5"/>
  <c r="Z366" i="5"/>
  <c r="Z388" i="5"/>
  <c r="Z400" i="5"/>
  <c r="Z420" i="5"/>
  <c r="Z367" i="5"/>
  <c r="Z437" i="5"/>
  <c r="Z459" i="5"/>
  <c r="Z477" i="5"/>
  <c r="Z492" i="5"/>
  <c r="Z505" i="5"/>
  <c r="Z537" i="5"/>
  <c r="Z341" i="5"/>
  <c r="AB341" i="5" s="1"/>
  <c r="Z393" i="5"/>
  <c r="Z432" i="5"/>
  <c r="Z454" i="5"/>
  <c r="Z465" i="5"/>
  <c r="Z476" i="5"/>
  <c r="AB476" i="5" s="1"/>
  <c r="Z503" i="5"/>
  <c r="Z519" i="5"/>
  <c r="Z327" i="5"/>
  <c r="Z407" i="5"/>
  <c r="AB407" i="5" s="1"/>
  <c r="Z429" i="5"/>
  <c r="Z450" i="5"/>
  <c r="Z481" i="5"/>
  <c r="AB481" i="5" s="1"/>
  <c r="Z493" i="5"/>
  <c r="Z508" i="5"/>
  <c r="Z522" i="5"/>
  <c r="AA522" i="5" s="1"/>
  <c r="Z539" i="5"/>
  <c r="Z548" i="5"/>
  <c r="Z316" i="5"/>
  <c r="Z362" i="5"/>
  <c r="Z458" i="5"/>
  <c r="Z31" i="5"/>
  <c r="AA31" i="5" s="1"/>
  <c r="Z20" i="5"/>
  <c r="AA20" i="5" s="1"/>
  <c r="Z29" i="5"/>
  <c r="AB29" i="5" s="1"/>
  <c r="Z39" i="5"/>
  <c r="AA39" i="5" s="1"/>
  <c r="Z60" i="5"/>
  <c r="AB60" i="5" s="1"/>
  <c r="Z61" i="5"/>
  <c r="AA61" i="5" s="1"/>
  <c r="Z65" i="5"/>
  <c r="AB65" i="5" s="1"/>
  <c r="Z70" i="5"/>
  <c r="Z83" i="5"/>
  <c r="AB83" i="5" s="1"/>
  <c r="Z108" i="5"/>
  <c r="AA108" i="5" s="1"/>
  <c r="Z103" i="5"/>
  <c r="AA103" i="5" s="1"/>
  <c r="Z118" i="5"/>
  <c r="AB118" i="5" s="1"/>
  <c r="Z140" i="5"/>
  <c r="AB140" i="5" s="1"/>
  <c r="Z161" i="5"/>
  <c r="AB161" i="5" s="1"/>
  <c r="Z146" i="5"/>
  <c r="AA146" i="5" s="1"/>
  <c r="Z129" i="5"/>
  <c r="Z167" i="5"/>
  <c r="AB167" i="5" s="1"/>
  <c r="Z159" i="5"/>
  <c r="AB159" i="5" s="1"/>
  <c r="Z106" i="5"/>
  <c r="AA106" i="5" s="1"/>
  <c r="Z177" i="5"/>
  <c r="Z203" i="5"/>
  <c r="AB203" i="5" s="1"/>
  <c r="Z206" i="5"/>
  <c r="Z233" i="5"/>
  <c r="AA233" i="5" s="1"/>
  <c r="Z132" i="5"/>
  <c r="Z204" i="5"/>
  <c r="AB204" i="5" s="1"/>
  <c r="Z241" i="5"/>
  <c r="AB241" i="5" s="1"/>
  <c r="Z209" i="5"/>
  <c r="Z239" i="5"/>
  <c r="Z259" i="5"/>
  <c r="Z291" i="5"/>
  <c r="AA291" i="5" s="1"/>
  <c r="Z321" i="5"/>
  <c r="AA321" i="5" s="1"/>
  <c r="Z268" i="5"/>
  <c r="Z294" i="5"/>
  <c r="AB294" i="5" s="1"/>
  <c r="Z212" i="5"/>
  <c r="AB212" i="5" s="1"/>
  <c r="Z270" i="5"/>
  <c r="AA270" i="5" s="1"/>
  <c r="Z289" i="5"/>
  <c r="Z320" i="5"/>
  <c r="Z351" i="5"/>
  <c r="Z347" i="5"/>
  <c r="AB347" i="5" s="1"/>
  <c r="Z385" i="5"/>
  <c r="Z422" i="5"/>
  <c r="AB422" i="5" s="1"/>
  <c r="Z442" i="5"/>
  <c r="Z360" i="5"/>
  <c r="Z380" i="5"/>
  <c r="Z395" i="5"/>
  <c r="Z412" i="5"/>
  <c r="AB412" i="5" s="1"/>
  <c r="Z251" i="5"/>
  <c r="Z325" i="5"/>
  <c r="AA325" i="5" s="1"/>
  <c r="Z345" i="5"/>
  <c r="Z358" i="5"/>
  <c r="AB358" i="5" s="1"/>
  <c r="Z374" i="5"/>
  <c r="AB374" i="5" s="1"/>
  <c r="Z394" i="5"/>
  <c r="Z403" i="5"/>
  <c r="AA403" i="5" s="1"/>
  <c r="Z421" i="5"/>
  <c r="Z376" i="5"/>
  <c r="Z452" i="5"/>
  <c r="Z462" i="5"/>
  <c r="Z478" i="5"/>
  <c r="Z498" i="5"/>
  <c r="Z507" i="5"/>
  <c r="Z189" i="5"/>
  <c r="Z355" i="5"/>
  <c r="Z396" i="5"/>
  <c r="Z444" i="5"/>
  <c r="AA444" i="5" s="1"/>
  <c r="Z455" i="5"/>
  <c r="Z467" i="5"/>
  <c r="Z479" i="5"/>
  <c r="Z506" i="5"/>
  <c r="Z520" i="5"/>
  <c r="Z349" i="5"/>
  <c r="Z410" i="5"/>
  <c r="Z441" i="5"/>
  <c r="Z451" i="5"/>
  <c r="AA451" i="5" s="1"/>
  <c r="Z487" i="5"/>
  <c r="Z494" i="5"/>
  <c r="Z510" i="5"/>
  <c r="Z530" i="5"/>
  <c r="Z541" i="5"/>
  <c r="Z553" i="5"/>
  <c r="Z340" i="5"/>
  <c r="Z368" i="5"/>
  <c r="AA368" i="5" s="1"/>
  <c r="Z472" i="5"/>
  <c r="Z533" i="5"/>
  <c r="Z558" i="5"/>
  <c r="Z447" i="5"/>
  <c r="Z517" i="5"/>
  <c r="Z409" i="5"/>
  <c r="Z542" i="5"/>
  <c r="Z524" i="5"/>
  <c r="Z483" i="5"/>
  <c r="Z438" i="5"/>
  <c r="Z547" i="5"/>
  <c r="Z515" i="5"/>
  <c r="Z471" i="5"/>
  <c r="Z556" i="5"/>
  <c r="Z516" i="5"/>
  <c r="Z354" i="5"/>
  <c r="Z544" i="5"/>
  <c r="AB544" i="5" s="1"/>
  <c r="Z518" i="5"/>
  <c r="AB518" i="5" s="1"/>
  <c r="Z489" i="5"/>
  <c r="AB489" i="5" s="1"/>
  <c r="Z445" i="5"/>
  <c r="Z386" i="5"/>
  <c r="Z511" i="5"/>
  <c r="AB511" i="5" s="1"/>
  <c r="Z473" i="5"/>
  <c r="Z449" i="5"/>
  <c r="Z387" i="5"/>
  <c r="AA387" i="5" s="1"/>
  <c r="Z531" i="5"/>
  <c r="Z486" i="5"/>
  <c r="AA486" i="5" s="1"/>
  <c r="Z457" i="5"/>
  <c r="Z299" i="5"/>
  <c r="Z398" i="5"/>
  <c r="AB398" i="5" s="1"/>
  <c r="Z364" i="5"/>
  <c r="AB364" i="5" s="1"/>
  <c r="Z336" i="5"/>
  <c r="Z416" i="5"/>
  <c r="AA416" i="5" s="1"/>
  <c r="Z389" i="5"/>
  <c r="AA389" i="5" s="1"/>
  <c r="Z335" i="5"/>
  <c r="AA335" i="5" s="1"/>
  <c r="Z411" i="5"/>
  <c r="Z304" i="5"/>
  <c r="AB304" i="5" s="1"/>
  <c r="Z306" i="5"/>
  <c r="Z257" i="5"/>
  <c r="AA257" i="5" s="1"/>
  <c r="Z283" i="5"/>
  <c r="Z303" i="5"/>
  <c r="AB303" i="5" s="1"/>
  <c r="Z245" i="5"/>
  <c r="Z199" i="5"/>
  <c r="AB199" i="5" s="1"/>
  <c r="Z188" i="5"/>
  <c r="AB188" i="5" s="1"/>
  <c r="Z221" i="5"/>
  <c r="AA221" i="5" s="1"/>
  <c r="Z187" i="5"/>
  <c r="AA187" i="5" s="1"/>
  <c r="Z168" i="5"/>
  <c r="AB168" i="5" s="1"/>
  <c r="Z148" i="5"/>
  <c r="Z122" i="5"/>
  <c r="AA122" i="5" s="1"/>
  <c r="Z128" i="5"/>
  <c r="Z96" i="5"/>
  <c r="AA96" i="5" s="1"/>
  <c r="Z85" i="5"/>
  <c r="Z56" i="5"/>
  <c r="AB56" i="5" s="1"/>
  <c r="Z66" i="5"/>
  <c r="Z26" i="5"/>
  <c r="AA26" i="5" s="1"/>
  <c r="Z36" i="5"/>
  <c r="AB36" i="5" s="1"/>
  <c r="Z48" i="5"/>
  <c r="Z23" i="5"/>
  <c r="Z37" i="5"/>
  <c r="Z33" i="5"/>
  <c r="Z21" i="5"/>
  <c r="Z59" i="5"/>
  <c r="AA59" i="5" s="1"/>
  <c r="Z24" i="5"/>
  <c r="Z45" i="5"/>
  <c r="AA45" i="5" s="1"/>
  <c r="Z54" i="5"/>
  <c r="Z68" i="5"/>
  <c r="AA68" i="5" s="1"/>
  <c r="Z78" i="5"/>
  <c r="Z72" i="5"/>
  <c r="Z50" i="5"/>
  <c r="Z80" i="5"/>
  <c r="AB80" i="5" s="1"/>
  <c r="Z91" i="5"/>
  <c r="AA91" i="5" s="1"/>
  <c r="Z90" i="5"/>
  <c r="AB90" i="5" s="1"/>
  <c r="Z89" i="5"/>
  <c r="Z74" i="5"/>
  <c r="AA74" i="5" s="1"/>
  <c r="Z98" i="5"/>
  <c r="AA98" i="5" s="1"/>
  <c r="Z107" i="5"/>
  <c r="Z116" i="5"/>
  <c r="Z123" i="5"/>
  <c r="AA123" i="5" s="1"/>
  <c r="Z133" i="5"/>
  <c r="AA133" i="5" s="1"/>
  <c r="Z147" i="5"/>
  <c r="AA147" i="5" s="1"/>
  <c r="Z154" i="5"/>
  <c r="Z114" i="5"/>
  <c r="AB114" i="5" s="1"/>
  <c r="Z134" i="5"/>
  <c r="Z157" i="5"/>
  <c r="AA157" i="5" s="1"/>
  <c r="Z112" i="5"/>
  <c r="Z139" i="5"/>
  <c r="AA139" i="5" s="1"/>
  <c r="Z156" i="5"/>
  <c r="Z175" i="5"/>
  <c r="Z115" i="5"/>
  <c r="Z164" i="5"/>
  <c r="AB164" i="5" s="1"/>
  <c r="Z176" i="5"/>
  <c r="AB176" i="5" s="1"/>
  <c r="Z121" i="5"/>
  <c r="Z171" i="5"/>
  <c r="AB171" i="5" s="1"/>
  <c r="Z179" i="5"/>
  <c r="AA179" i="5" s="1"/>
  <c r="Z195" i="5"/>
  <c r="Z113" i="5"/>
  <c r="Z191" i="5"/>
  <c r="Z213" i="5"/>
  <c r="AA213" i="5" s="1"/>
  <c r="Z225" i="5"/>
  <c r="Z236" i="5"/>
  <c r="AA236" i="5" s="1"/>
  <c r="Z252" i="5"/>
  <c r="AB252" i="5" s="1"/>
  <c r="Z181" i="5"/>
  <c r="AA181" i="5" s="1"/>
  <c r="Z197" i="5"/>
  <c r="AB197" i="5" s="1"/>
  <c r="Z214" i="5"/>
  <c r="AA214" i="5" s="1"/>
  <c r="Z231" i="5"/>
  <c r="Z163" i="5"/>
  <c r="Z201" i="5"/>
  <c r="Z218" i="5"/>
  <c r="Z227" i="5"/>
  <c r="Z238" i="5"/>
  <c r="Z253" i="5"/>
  <c r="Z264" i="5"/>
  <c r="AB264" i="5" s="1"/>
  <c r="Z285" i="5"/>
  <c r="Z300" i="5"/>
  <c r="Z307" i="5"/>
  <c r="AA307" i="5" s="1"/>
  <c r="Z331" i="5"/>
  <c r="AB331" i="5" s="1"/>
  <c r="Z262" i="5"/>
  <c r="AB262" i="5" s="1"/>
  <c r="Z275" i="5"/>
  <c r="AB275" i="5" s="1"/>
  <c r="Z290" i="5"/>
  <c r="Z309" i="5"/>
  <c r="Z329" i="5"/>
  <c r="Z254" i="5"/>
  <c r="Z263" i="5"/>
  <c r="Z274" i="5"/>
  <c r="AB274" i="5" s="1"/>
  <c r="Z282" i="5"/>
  <c r="Z297" i="5"/>
  <c r="AA297" i="5" s="1"/>
  <c r="Z314" i="5"/>
  <c r="AA314" i="5" s="1"/>
  <c r="Z324" i="5"/>
  <c r="Z339" i="5"/>
  <c r="Z361" i="5"/>
  <c r="AA361" i="5" s="1"/>
  <c r="Z333" i="5"/>
  <c r="Z365" i="5"/>
  <c r="Z379" i="5"/>
  <c r="Z402" i="5"/>
  <c r="Z417" i="5"/>
  <c r="Z425" i="5"/>
  <c r="Z439" i="5"/>
  <c r="AB439" i="5" s="1"/>
  <c r="Z286" i="5"/>
  <c r="AB286" i="5" s="1"/>
  <c r="Z352" i="5"/>
  <c r="Z27" i="5"/>
  <c r="Z40" i="5"/>
  <c r="AA40" i="5" s="1"/>
  <c r="Z49" i="5"/>
  <c r="Z25" i="5"/>
  <c r="AB25" i="5" s="1"/>
  <c r="Z41" i="5"/>
  <c r="Z38" i="5"/>
  <c r="AB38" i="5" s="1"/>
  <c r="Z28" i="5"/>
  <c r="AB28" i="5" s="1"/>
  <c r="Z63" i="5"/>
  <c r="AB63" i="5" s="1"/>
  <c r="Z55" i="5"/>
  <c r="AB55" i="5" s="1"/>
  <c r="Z51" i="5"/>
  <c r="AB51" i="5" s="1"/>
  <c r="Z57" i="5"/>
  <c r="Z32" i="5"/>
  <c r="AA32" i="5" s="1"/>
  <c r="Z62" i="5"/>
  <c r="Z75" i="5"/>
  <c r="Z67" i="5"/>
  <c r="AB67" i="5" s="1"/>
  <c r="Z82" i="5"/>
  <c r="AB82" i="5" s="1"/>
  <c r="Z93" i="5"/>
  <c r="AB93" i="5" s="1"/>
  <c r="Z92" i="5"/>
  <c r="AA92" i="5" s="1"/>
  <c r="Z101" i="5"/>
  <c r="Z86" i="5"/>
  <c r="Z102" i="5"/>
  <c r="AA102" i="5" s="1"/>
  <c r="Z81" i="5"/>
  <c r="AB81" i="5" s="1"/>
  <c r="Z117" i="5"/>
  <c r="AA117" i="5" s="1"/>
  <c r="Z125" i="5"/>
  <c r="AB125" i="5" s="1"/>
  <c r="Z135" i="5"/>
  <c r="Z149" i="5"/>
  <c r="AB149" i="5" s="1"/>
  <c r="Z155" i="5"/>
  <c r="Z119" i="5"/>
  <c r="Z138" i="5"/>
  <c r="AA138" i="5" s="1"/>
  <c r="Z158" i="5"/>
  <c r="Z124" i="5"/>
  <c r="AA124" i="5" s="1"/>
  <c r="Z142" i="5"/>
  <c r="Z141" i="5"/>
  <c r="AA141" i="5" s="1"/>
  <c r="Z185" i="5"/>
  <c r="AA185" i="5" s="1"/>
  <c r="Z143" i="5"/>
  <c r="Z166" i="5"/>
  <c r="AB166" i="5" s="1"/>
  <c r="Z180" i="5"/>
  <c r="Z127" i="5"/>
  <c r="Z173" i="5"/>
  <c r="Z183" i="5"/>
  <c r="Z196" i="5"/>
  <c r="Z170" i="5"/>
  <c r="AA170" i="5" s="1"/>
  <c r="Z192" i="5"/>
  <c r="Z217" i="5"/>
  <c r="Z230" i="5"/>
  <c r="Z240" i="5"/>
  <c r="AB240" i="5" s="1"/>
  <c r="Z126" i="5"/>
  <c r="AB126" i="5" s="1"/>
  <c r="Z184" i="5"/>
  <c r="AB184" i="5" s="1"/>
  <c r="Z202" i="5"/>
  <c r="Z219" i="5"/>
  <c r="Z237" i="5"/>
  <c r="Z198" i="5"/>
  <c r="Z208" i="5"/>
  <c r="Z220" i="5"/>
  <c r="AB220" i="5" s="1"/>
  <c r="Z234" i="5"/>
  <c r="AB234" i="5" s="1"/>
  <c r="Z242" i="5"/>
  <c r="AA242" i="5" s="1"/>
  <c r="Z256" i="5"/>
  <c r="Z269" i="5"/>
  <c r="Z288" i="5"/>
  <c r="Z302" i="5"/>
  <c r="AA302" i="5" s="1"/>
  <c r="Z310" i="5"/>
  <c r="Z165" i="5"/>
  <c r="Z267" i="5"/>
  <c r="Z280" i="5"/>
  <c r="AA280" i="5" s="1"/>
  <c r="Z293" i="5"/>
  <c r="Z315" i="5"/>
  <c r="Z330" i="5"/>
  <c r="Z255" i="5"/>
  <c r="AB255" i="5" s="1"/>
  <c r="Z265" i="5"/>
  <c r="AB265" i="5" s="1"/>
  <c r="Z277" i="5"/>
  <c r="AB277" i="5" s="1"/>
  <c r="Z287" i="5"/>
  <c r="Z301" i="5"/>
  <c r="Z319" i="5"/>
  <c r="Z332" i="5"/>
  <c r="Z346" i="5"/>
  <c r="Z243" i="5"/>
  <c r="AB243" i="5" s="1"/>
  <c r="Z343" i="5"/>
  <c r="AA343" i="5" s="1"/>
  <c r="Z369" i="5"/>
  <c r="AB369" i="5" s="1"/>
  <c r="Z383" i="5"/>
  <c r="AB383" i="5" s="1"/>
  <c r="Z404" i="5"/>
  <c r="AA404" i="5" s="1"/>
  <c r="Z418" i="5"/>
  <c r="Z430" i="5"/>
  <c r="Z440" i="5"/>
  <c r="Z292" i="5"/>
  <c r="AA292" i="5" s="1"/>
  <c r="Z357" i="5"/>
  <c r="R539" i="5"/>
  <c r="S539" i="5"/>
  <c r="R556" i="5"/>
  <c r="S556" i="5"/>
  <c r="R554" i="5"/>
  <c r="S554" i="5"/>
  <c r="S443" i="5"/>
  <c r="R443" i="5"/>
  <c r="S508" i="5"/>
  <c r="R508" i="5"/>
  <c r="R559" i="5"/>
  <c r="S559" i="5"/>
  <c r="R537" i="5"/>
  <c r="S537" i="5"/>
  <c r="S479" i="5"/>
  <c r="R479" i="5"/>
  <c r="R449" i="5"/>
  <c r="S449" i="5"/>
  <c r="S506" i="5"/>
  <c r="R506" i="5"/>
  <c r="S469" i="5"/>
  <c r="R469" i="5"/>
  <c r="S446" i="5"/>
  <c r="R446" i="5"/>
  <c r="S301" i="5"/>
  <c r="R301" i="5"/>
  <c r="S503" i="5"/>
  <c r="R503" i="5"/>
  <c r="S485" i="5"/>
  <c r="R485" i="5"/>
  <c r="S456" i="5"/>
  <c r="R456" i="5"/>
  <c r="S318" i="5"/>
  <c r="R318" i="5"/>
  <c r="S412" i="5"/>
  <c r="R412" i="5"/>
  <c r="R368" i="5"/>
  <c r="S368" i="5"/>
  <c r="S414" i="5"/>
  <c r="R414" i="5"/>
  <c r="S402" i="5"/>
  <c r="R402" i="5"/>
  <c r="S353" i="5"/>
  <c r="R353" i="5"/>
  <c r="S441" i="5"/>
  <c r="R441" i="5"/>
  <c r="S431" i="5"/>
  <c r="R431" i="5"/>
  <c r="R380" i="5"/>
  <c r="S380" i="5"/>
  <c r="S371" i="5"/>
  <c r="R371" i="5"/>
  <c r="R357" i="5"/>
  <c r="S357" i="5"/>
  <c r="S346" i="5"/>
  <c r="R346" i="5"/>
  <c r="S329" i="5"/>
  <c r="R329" i="5"/>
  <c r="R315" i="5"/>
  <c r="S315" i="5"/>
  <c r="R283" i="5"/>
  <c r="S283" i="5"/>
  <c r="R265" i="5"/>
  <c r="S265" i="5"/>
  <c r="R243" i="5"/>
  <c r="S243" i="5"/>
  <c r="S211" i="5"/>
  <c r="R211" i="5"/>
  <c r="S330" i="5"/>
  <c r="R330" i="5"/>
  <c r="S310" i="5"/>
  <c r="R310" i="5"/>
  <c r="R300" i="5"/>
  <c r="S300" i="5"/>
  <c r="S290" i="5"/>
  <c r="R290" i="5"/>
  <c r="S261" i="5"/>
  <c r="R261" i="5"/>
  <c r="R247" i="5"/>
  <c r="S247" i="5"/>
  <c r="R212" i="5"/>
  <c r="S212" i="5"/>
  <c r="R328" i="5"/>
  <c r="S328" i="5"/>
  <c r="R313" i="5"/>
  <c r="S313" i="5"/>
  <c r="R292" i="5"/>
  <c r="S292" i="5"/>
  <c r="R276" i="5"/>
  <c r="S276" i="5"/>
  <c r="R258" i="5"/>
  <c r="S258" i="5"/>
  <c r="R213" i="5"/>
  <c r="S213" i="5"/>
  <c r="S244" i="5"/>
  <c r="R244" i="5"/>
  <c r="S231" i="5"/>
  <c r="R231" i="5"/>
  <c r="S217" i="5"/>
  <c r="R217" i="5"/>
  <c r="R205" i="5"/>
  <c r="S205" i="5"/>
  <c r="R165" i="5"/>
  <c r="S165" i="5"/>
  <c r="S230" i="5"/>
  <c r="R230" i="5"/>
  <c r="R219" i="5"/>
  <c r="S219" i="5"/>
  <c r="R191" i="5"/>
  <c r="S191" i="5"/>
  <c r="R107" i="5"/>
  <c r="S107" i="5"/>
  <c r="R238" i="5"/>
  <c r="S238" i="5"/>
  <c r="R216" i="5"/>
  <c r="S216" i="5"/>
  <c r="R193" i="5"/>
  <c r="S193" i="5"/>
  <c r="R207" i="5"/>
  <c r="S207" i="5"/>
  <c r="S178" i="5"/>
  <c r="R178" i="5"/>
  <c r="R164" i="5"/>
  <c r="S164" i="5"/>
  <c r="S180" i="5"/>
  <c r="R180" i="5"/>
  <c r="R166" i="5"/>
  <c r="S166" i="5"/>
  <c r="R130" i="5"/>
  <c r="S130" i="5"/>
  <c r="R169" i="5"/>
  <c r="S169" i="5"/>
  <c r="R115" i="5"/>
  <c r="S115" i="5"/>
  <c r="R150" i="5"/>
  <c r="S150" i="5"/>
  <c r="R136" i="5"/>
  <c r="S136" i="5"/>
  <c r="S126" i="5"/>
  <c r="R126" i="5"/>
  <c r="S113" i="5"/>
  <c r="R113" i="5"/>
  <c r="S96" i="5"/>
  <c r="R96" i="5"/>
  <c r="R149" i="5"/>
  <c r="S149" i="5"/>
  <c r="R138" i="5"/>
  <c r="S138" i="5"/>
  <c r="S114" i="5"/>
  <c r="R114" i="5"/>
  <c r="S160" i="5"/>
  <c r="R160" i="5"/>
  <c r="S151" i="5"/>
  <c r="R151" i="5"/>
  <c r="S135" i="5"/>
  <c r="R135" i="5"/>
  <c r="R119" i="5"/>
  <c r="S119" i="5"/>
  <c r="S99" i="5"/>
  <c r="R99" i="5"/>
  <c r="R103" i="5"/>
  <c r="S103" i="5"/>
  <c r="S111" i="5"/>
  <c r="R111" i="5"/>
  <c r="S90" i="5"/>
  <c r="R90" i="5"/>
  <c r="S95" i="5"/>
  <c r="R95" i="5"/>
  <c r="S91" i="5"/>
  <c r="R91" i="5"/>
  <c r="R75" i="5"/>
  <c r="S75" i="5"/>
  <c r="S28" i="5"/>
  <c r="R28" i="5"/>
  <c r="R70" i="5"/>
  <c r="S70" i="5"/>
  <c r="R61" i="5"/>
  <c r="S61" i="5"/>
  <c r="R60" i="5"/>
  <c r="S60" i="5"/>
  <c r="R38" i="5"/>
  <c r="S38" i="5"/>
  <c r="R59" i="5"/>
  <c r="S59" i="5"/>
  <c r="S27" i="5"/>
  <c r="R27" i="5"/>
  <c r="R50" i="5"/>
  <c r="S50" i="5"/>
  <c r="R35" i="5"/>
  <c r="S35" i="5"/>
  <c r="S25" i="5"/>
  <c r="R25" i="5"/>
  <c r="S34" i="5"/>
  <c r="R34" i="5"/>
  <c r="R49" i="5"/>
  <c r="S49" i="5"/>
  <c r="R39" i="5"/>
  <c r="S39" i="5"/>
  <c r="S21" i="5"/>
  <c r="R21" i="5"/>
  <c r="S534" i="5"/>
  <c r="R534" i="5"/>
  <c r="S499" i="5"/>
  <c r="R499" i="5"/>
  <c r="S429" i="5"/>
  <c r="R429" i="5"/>
  <c r="R544" i="5"/>
  <c r="S544" i="5"/>
  <c r="S466" i="5"/>
  <c r="R466" i="5"/>
  <c r="R560" i="5"/>
  <c r="S560" i="5"/>
  <c r="S522" i="5"/>
  <c r="R522" i="5"/>
  <c r="S432" i="5"/>
  <c r="R432" i="5"/>
  <c r="S550" i="5"/>
  <c r="R550" i="5"/>
  <c r="R547" i="5"/>
  <c r="S547" i="5"/>
  <c r="S498" i="5"/>
  <c r="R498" i="5"/>
  <c r="S451" i="5"/>
  <c r="R451" i="5"/>
  <c r="R553" i="5"/>
  <c r="S553" i="5"/>
  <c r="R543" i="5"/>
  <c r="S543" i="5"/>
  <c r="S536" i="5"/>
  <c r="R536" i="5"/>
  <c r="R528" i="5"/>
  <c r="S528" i="5"/>
  <c r="S497" i="5"/>
  <c r="R497" i="5"/>
  <c r="S476" i="5"/>
  <c r="R476" i="5"/>
  <c r="S445" i="5"/>
  <c r="R445" i="5"/>
  <c r="S424" i="5"/>
  <c r="R424" i="5"/>
  <c r="S520" i="5"/>
  <c r="R520" i="5"/>
  <c r="S495" i="5"/>
  <c r="R495" i="5"/>
  <c r="S489" i="5"/>
  <c r="R489" i="5"/>
  <c r="S482" i="5"/>
  <c r="R482" i="5"/>
  <c r="S467" i="5"/>
  <c r="R467" i="5"/>
  <c r="S436" i="5"/>
  <c r="R436" i="5"/>
  <c r="S422" i="5"/>
  <c r="R422" i="5"/>
  <c r="S345" i="5"/>
  <c r="R345" i="5"/>
  <c r="R252" i="5"/>
  <c r="S252" i="5"/>
  <c r="S523" i="5"/>
  <c r="R523" i="5"/>
  <c r="S512" i="5"/>
  <c r="R512" i="5"/>
  <c r="S501" i="5"/>
  <c r="R501" i="5"/>
  <c r="S483" i="5"/>
  <c r="R483" i="5"/>
  <c r="S473" i="5"/>
  <c r="R473" i="5"/>
  <c r="S463" i="5"/>
  <c r="R463" i="5"/>
  <c r="S455" i="5"/>
  <c r="R455" i="5"/>
  <c r="R393" i="5"/>
  <c r="S393" i="5"/>
  <c r="R378" i="5"/>
  <c r="S378" i="5"/>
  <c r="S421" i="5"/>
  <c r="R421" i="5"/>
  <c r="S406" i="5"/>
  <c r="R406" i="5"/>
  <c r="S397" i="5"/>
  <c r="R397" i="5"/>
  <c r="S377" i="5"/>
  <c r="R377" i="5"/>
  <c r="S367" i="5"/>
  <c r="R367" i="5"/>
  <c r="R344" i="5"/>
  <c r="S344" i="5"/>
  <c r="R263" i="5"/>
  <c r="S263" i="5"/>
  <c r="S413" i="5"/>
  <c r="R413" i="5"/>
  <c r="R399" i="5"/>
  <c r="S399" i="5"/>
  <c r="S382" i="5"/>
  <c r="R382" i="5"/>
  <c r="S363" i="5"/>
  <c r="R363" i="5"/>
  <c r="S349" i="5"/>
  <c r="R349" i="5"/>
  <c r="R308" i="5"/>
  <c r="S308" i="5"/>
  <c r="R249" i="5"/>
  <c r="S249" i="5"/>
  <c r="S440" i="5"/>
  <c r="R440" i="5"/>
  <c r="S428" i="5"/>
  <c r="R428" i="5"/>
  <c r="S409" i="5"/>
  <c r="R409" i="5"/>
  <c r="S389" i="5"/>
  <c r="R389" i="5"/>
  <c r="S376" i="5"/>
  <c r="R376" i="5"/>
  <c r="S356" i="5"/>
  <c r="R356" i="5"/>
  <c r="R306" i="5"/>
  <c r="S306" i="5"/>
  <c r="R257" i="5"/>
  <c r="S257" i="5"/>
  <c r="S352" i="5"/>
  <c r="R352" i="5"/>
  <c r="S341" i="5"/>
  <c r="R341" i="5"/>
  <c r="S324" i="5"/>
  <c r="R324" i="5"/>
  <c r="R312" i="5"/>
  <c r="S312" i="5"/>
  <c r="S294" i="5"/>
  <c r="R294" i="5"/>
  <c r="R280" i="5"/>
  <c r="S280" i="5"/>
  <c r="S274" i="5"/>
  <c r="R274" i="5"/>
  <c r="S262" i="5"/>
  <c r="R262" i="5"/>
  <c r="R239" i="5"/>
  <c r="S239" i="5"/>
  <c r="R173" i="5"/>
  <c r="S173" i="5"/>
  <c r="S326" i="5"/>
  <c r="R326" i="5"/>
  <c r="R307" i="5"/>
  <c r="S307" i="5"/>
  <c r="R298" i="5"/>
  <c r="S298" i="5"/>
  <c r="R285" i="5"/>
  <c r="S285" i="5"/>
  <c r="S259" i="5"/>
  <c r="R259" i="5"/>
  <c r="R229" i="5"/>
  <c r="S229" i="5"/>
  <c r="R196" i="5"/>
  <c r="S196" i="5"/>
  <c r="S325" i="5"/>
  <c r="R325" i="5"/>
  <c r="S311" i="5"/>
  <c r="R311" i="5"/>
  <c r="R291" i="5"/>
  <c r="S291" i="5"/>
  <c r="R269" i="5"/>
  <c r="S269" i="5"/>
  <c r="R256" i="5"/>
  <c r="S256" i="5"/>
  <c r="R203" i="5"/>
  <c r="S203" i="5"/>
  <c r="S242" i="5"/>
  <c r="R242" i="5"/>
  <c r="R226" i="5"/>
  <c r="S226" i="5"/>
  <c r="S214" i="5"/>
  <c r="R214" i="5"/>
  <c r="R204" i="5"/>
  <c r="S204" i="5"/>
  <c r="R97" i="5"/>
  <c r="S97" i="5"/>
  <c r="S228" i="5"/>
  <c r="R228" i="5"/>
  <c r="R210" i="5"/>
  <c r="S210" i="5"/>
  <c r="R189" i="5"/>
  <c r="S189" i="5"/>
  <c r="S251" i="5"/>
  <c r="R251" i="5"/>
  <c r="S236" i="5"/>
  <c r="R236" i="5"/>
  <c r="R201" i="5"/>
  <c r="S201" i="5"/>
  <c r="R190" i="5"/>
  <c r="S190" i="5"/>
  <c r="R202" i="5"/>
  <c r="S202" i="5"/>
  <c r="R176" i="5"/>
  <c r="S176" i="5"/>
  <c r="R132" i="5"/>
  <c r="S132" i="5"/>
  <c r="R179" i="5"/>
  <c r="S179" i="5"/>
  <c r="R162" i="5"/>
  <c r="S162" i="5"/>
  <c r="S188" i="5"/>
  <c r="R188" i="5"/>
  <c r="S163" i="5"/>
  <c r="R163" i="5"/>
  <c r="S92" i="5"/>
  <c r="R92" i="5"/>
  <c r="S148" i="5"/>
  <c r="R148" i="5"/>
  <c r="R134" i="5"/>
  <c r="S134" i="5"/>
  <c r="S124" i="5"/>
  <c r="R124" i="5"/>
  <c r="S112" i="5"/>
  <c r="R112" i="5"/>
  <c r="R83" i="5"/>
  <c r="S83" i="5"/>
  <c r="S146" i="5"/>
  <c r="R146" i="5"/>
  <c r="S128" i="5"/>
  <c r="R128" i="5"/>
  <c r="R100" i="5"/>
  <c r="S100" i="5"/>
  <c r="R158" i="5"/>
  <c r="S158" i="5"/>
  <c r="R144" i="5"/>
  <c r="S144" i="5"/>
  <c r="R133" i="5"/>
  <c r="S133" i="5"/>
  <c r="R117" i="5"/>
  <c r="S117" i="5"/>
  <c r="S89" i="5"/>
  <c r="R89" i="5"/>
  <c r="S94" i="5"/>
  <c r="R94" i="5"/>
  <c r="S110" i="5"/>
  <c r="R110" i="5"/>
  <c r="R88" i="5"/>
  <c r="S88" i="5"/>
  <c r="R86" i="5"/>
  <c r="S86" i="5"/>
  <c r="R84" i="5"/>
  <c r="S84" i="5"/>
  <c r="R71" i="5"/>
  <c r="S71" i="5"/>
  <c r="S81" i="5"/>
  <c r="R81" i="5"/>
  <c r="R65" i="5"/>
  <c r="S65" i="5"/>
  <c r="R57" i="5"/>
  <c r="S57" i="5"/>
  <c r="R58" i="5"/>
  <c r="S58" i="5"/>
  <c r="R72" i="5"/>
  <c r="S72" i="5"/>
  <c r="R56" i="5"/>
  <c r="S56" i="5"/>
  <c r="S24" i="5"/>
  <c r="R24" i="5"/>
  <c r="S46" i="5"/>
  <c r="R46" i="5"/>
  <c r="S33" i="5"/>
  <c r="R33" i="5"/>
  <c r="S43" i="5"/>
  <c r="R43" i="5"/>
  <c r="S23" i="5"/>
  <c r="R23" i="5"/>
  <c r="S47" i="5"/>
  <c r="R47" i="5"/>
  <c r="S32" i="5"/>
  <c r="R32" i="5"/>
  <c r="R505" i="5"/>
  <c r="S505" i="5"/>
  <c r="S513" i="5"/>
  <c r="R513" i="5"/>
  <c r="S364" i="5"/>
  <c r="R364" i="5"/>
  <c r="S478" i="5"/>
  <c r="R478" i="5"/>
  <c r="S529" i="5"/>
  <c r="R529" i="5"/>
  <c r="S426" i="5"/>
  <c r="R426" i="5"/>
  <c r="S490" i="5"/>
  <c r="R490" i="5"/>
  <c r="S425" i="5"/>
  <c r="R425" i="5"/>
  <c r="S524" i="5"/>
  <c r="R524" i="5"/>
  <c r="S474" i="5"/>
  <c r="R474" i="5"/>
  <c r="S433" i="5"/>
  <c r="R433" i="5"/>
  <c r="S398" i="5"/>
  <c r="R398" i="5"/>
  <c r="S347" i="5"/>
  <c r="R347" i="5"/>
  <c r="S383" i="5"/>
  <c r="R383" i="5"/>
  <c r="R314" i="5"/>
  <c r="S314" i="5"/>
  <c r="S411" i="5"/>
  <c r="R411" i="5"/>
  <c r="S332" i="5"/>
  <c r="R332" i="5"/>
  <c r="R297" i="5"/>
  <c r="S297" i="5"/>
  <c r="S19" i="5"/>
  <c r="R19" i="5"/>
  <c r="S531" i="5"/>
  <c r="R531" i="5"/>
  <c r="S472" i="5"/>
  <c r="R472" i="5"/>
  <c r="S427" i="5"/>
  <c r="R427" i="5"/>
  <c r="S533" i="5"/>
  <c r="R533" i="5"/>
  <c r="S459" i="5"/>
  <c r="R459" i="5"/>
  <c r="R558" i="5"/>
  <c r="S558" i="5"/>
  <c r="R507" i="5"/>
  <c r="S507" i="5"/>
  <c r="S430" i="5"/>
  <c r="R430" i="5"/>
  <c r="R555" i="5"/>
  <c r="S555" i="5"/>
  <c r="S532" i="5"/>
  <c r="R532" i="5"/>
  <c r="S491" i="5"/>
  <c r="R491" i="5"/>
  <c r="S447" i="5"/>
  <c r="R447" i="5"/>
  <c r="R548" i="5"/>
  <c r="S548" i="5"/>
  <c r="R542" i="5"/>
  <c r="S542" i="5"/>
  <c r="S535" i="5"/>
  <c r="R535" i="5"/>
  <c r="S518" i="5"/>
  <c r="R518" i="5"/>
  <c r="S494" i="5"/>
  <c r="R494" i="5"/>
  <c r="S465" i="5"/>
  <c r="R465" i="5"/>
  <c r="S444" i="5"/>
  <c r="R444" i="5"/>
  <c r="S362" i="5"/>
  <c r="R362" i="5"/>
  <c r="S514" i="5"/>
  <c r="R514" i="5"/>
  <c r="S493" i="5"/>
  <c r="R493" i="5"/>
  <c r="S488" i="5"/>
  <c r="R488" i="5"/>
  <c r="S477" i="5"/>
  <c r="R477" i="5"/>
  <c r="S457" i="5"/>
  <c r="R457" i="5"/>
  <c r="S435" i="5"/>
  <c r="R435" i="5"/>
  <c r="S420" i="5"/>
  <c r="R420" i="5"/>
  <c r="R337" i="5"/>
  <c r="S337" i="5"/>
  <c r="S527" i="5"/>
  <c r="R527" i="5"/>
  <c r="S521" i="5"/>
  <c r="R521" i="5"/>
  <c r="S511" i="5"/>
  <c r="R511" i="5"/>
  <c r="S500" i="5"/>
  <c r="R500" i="5"/>
  <c r="S480" i="5"/>
  <c r="R480" i="5"/>
  <c r="S471" i="5"/>
  <c r="R471" i="5"/>
  <c r="S462" i="5"/>
  <c r="R462" i="5"/>
  <c r="S454" i="5"/>
  <c r="R454" i="5"/>
  <c r="S390" i="5"/>
  <c r="R390" i="5"/>
  <c r="R366" i="5"/>
  <c r="S366" i="5"/>
  <c r="S416" i="5"/>
  <c r="R416" i="5"/>
  <c r="S405" i="5"/>
  <c r="R405" i="5"/>
  <c r="S395" i="5"/>
  <c r="R395" i="5"/>
  <c r="S374" i="5"/>
  <c r="R374" i="5"/>
  <c r="R358" i="5"/>
  <c r="S358" i="5"/>
  <c r="S338" i="5"/>
  <c r="R338" i="5"/>
  <c r="S419" i="5"/>
  <c r="R419" i="5"/>
  <c r="S408" i="5"/>
  <c r="R408" i="5"/>
  <c r="S392" i="5"/>
  <c r="R392" i="5"/>
  <c r="S379" i="5"/>
  <c r="R379" i="5"/>
  <c r="S361" i="5"/>
  <c r="R361" i="5"/>
  <c r="S343" i="5"/>
  <c r="R343" i="5"/>
  <c r="R282" i="5"/>
  <c r="S282" i="5"/>
  <c r="R245" i="5"/>
  <c r="S245" i="5"/>
  <c r="S439" i="5"/>
  <c r="R439" i="5"/>
  <c r="S423" i="5"/>
  <c r="R423" i="5"/>
  <c r="S407" i="5"/>
  <c r="R407" i="5"/>
  <c r="S386" i="5"/>
  <c r="R386" i="5"/>
  <c r="S375" i="5"/>
  <c r="R375" i="5"/>
  <c r="S355" i="5"/>
  <c r="R355" i="5"/>
  <c r="S295" i="5"/>
  <c r="R295" i="5"/>
  <c r="R254" i="5"/>
  <c r="S254" i="5"/>
  <c r="S350" i="5"/>
  <c r="R350" i="5"/>
  <c r="S339" i="5"/>
  <c r="R339" i="5"/>
  <c r="R319" i="5"/>
  <c r="S319" i="5"/>
  <c r="S309" i="5"/>
  <c r="R309" i="5"/>
  <c r="R287" i="5"/>
  <c r="S287" i="5"/>
  <c r="R278" i="5"/>
  <c r="S278" i="5"/>
  <c r="R272" i="5"/>
  <c r="S272" i="5"/>
  <c r="S260" i="5"/>
  <c r="R260" i="5"/>
  <c r="R223" i="5"/>
  <c r="S223" i="5"/>
  <c r="R167" i="5"/>
  <c r="S167" i="5"/>
  <c r="R321" i="5"/>
  <c r="S321" i="5"/>
  <c r="R305" i="5"/>
  <c r="S305" i="5"/>
  <c r="R296" i="5"/>
  <c r="S296" i="5"/>
  <c r="R281" i="5"/>
  <c r="S281" i="5"/>
  <c r="R255" i="5"/>
  <c r="S255" i="5"/>
  <c r="S218" i="5"/>
  <c r="R218" i="5"/>
  <c r="S333" i="5"/>
  <c r="R333" i="5"/>
  <c r="S323" i="5"/>
  <c r="R323" i="5"/>
  <c r="S302" i="5"/>
  <c r="R302" i="5"/>
  <c r="S288" i="5"/>
  <c r="R288" i="5"/>
  <c r="S266" i="5"/>
  <c r="R266" i="5"/>
  <c r="R246" i="5"/>
  <c r="S246" i="5"/>
  <c r="R187" i="5"/>
  <c r="S187" i="5"/>
  <c r="S237" i="5"/>
  <c r="R237" i="5"/>
  <c r="R224" i="5"/>
  <c r="S224" i="5"/>
  <c r="R209" i="5"/>
  <c r="S209" i="5"/>
  <c r="S195" i="5"/>
  <c r="R195" i="5"/>
  <c r="S240" i="5"/>
  <c r="R240" i="5"/>
  <c r="R225" i="5"/>
  <c r="S225" i="5"/>
  <c r="R194" i="5"/>
  <c r="S194" i="5"/>
  <c r="R186" i="5"/>
  <c r="S186" i="5"/>
  <c r="R250" i="5"/>
  <c r="S250" i="5"/>
  <c r="R235" i="5"/>
  <c r="S235" i="5"/>
  <c r="R199" i="5"/>
  <c r="S199" i="5"/>
  <c r="R181" i="5"/>
  <c r="S181" i="5"/>
  <c r="S200" i="5"/>
  <c r="R200" i="5"/>
  <c r="S170" i="5"/>
  <c r="R170" i="5"/>
  <c r="R185" i="5"/>
  <c r="S185" i="5"/>
  <c r="R175" i="5"/>
  <c r="S175" i="5"/>
  <c r="R161" i="5"/>
  <c r="S161" i="5"/>
  <c r="S184" i="5"/>
  <c r="R184" i="5"/>
  <c r="R152" i="5"/>
  <c r="S152" i="5"/>
  <c r="S156" i="5"/>
  <c r="R156" i="5"/>
  <c r="R147" i="5"/>
  <c r="S147" i="5"/>
  <c r="R129" i="5"/>
  <c r="S129" i="5"/>
  <c r="R121" i="5"/>
  <c r="S121" i="5"/>
  <c r="S105" i="5"/>
  <c r="R105" i="5"/>
  <c r="R159" i="5"/>
  <c r="S159" i="5"/>
  <c r="R143" i="5"/>
  <c r="S143" i="5"/>
  <c r="R125" i="5"/>
  <c r="S125" i="5"/>
  <c r="S98" i="5"/>
  <c r="R98" i="5"/>
  <c r="S154" i="5"/>
  <c r="R154" i="5"/>
  <c r="R142" i="5"/>
  <c r="S142" i="5"/>
  <c r="R131" i="5"/>
  <c r="S131" i="5"/>
  <c r="R116" i="5"/>
  <c r="S116" i="5"/>
  <c r="R109" i="5"/>
  <c r="S109" i="5"/>
  <c r="R82" i="5"/>
  <c r="S82" i="5"/>
  <c r="S104" i="5"/>
  <c r="R104" i="5"/>
  <c r="R87" i="5"/>
  <c r="S87" i="5"/>
  <c r="R80" i="5"/>
  <c r="S80" i="5"/>
  <c r="R79" i="5"/>
  <c r="S79" i="5"/>
  <c r="R73" i="5"/>
  <c r="S73" i="5"/>
  <c r="R78" i="5"/>
  <c r="S78" i="5"/>
  <c r="R69" i="5"/>
  <c r="S69" i="5"/>
  <c r="S66" i="5"/>
  <c r="R66" i="5"/>
  <c r="R55" i="5"/>
  <c r="S55" i="5"/>
  <c r="R67" i="5"/>
  <c r="S67" i="5"/>
  <c r="S51" i="5"/>
  <c r="R51" i="5"/>
  <c r="R41" i="5"/>
  <c r="S41" i="5"/>
  <c r="R30" i="5"/>
  <c r="S30" i="5"/>
  <c r="S40" i="5"/>
  <c r="R40" i="5"/>
  <c r="R22" i="5"/>
  <c r="S22" i="5"/>
  <c r="R45" i="5"/>
  <c r="S45" i="5"/>
  <c r="S31" i="5"/>
  <c r="R31" i="5"/>
  <c r="S448" i="5"/>
  <c r="R448" i="5"/>
  <c r="R538" i="5"/>
  <c r="S538" i="5"/>
  <c r="R551" i="5"/>
  <c r="S551" i="5"/>
  <c r="R545" i="5"/>
  <c r="S545" i="5"/>
  <c r="S502" i="5"/>
  <c r="R502" i="5"/>
  <c r="S197" i="5"/>
  <c r="R197" i="5"/>
  <c r="S486" i="5"/>
  <c r="R486" i="5"/>
  <c r="S369" i="5"/>
  <c r="R369" i="5"/>
  <c r="S517" i="5"/>
  <c r="R517" i="5"/>
  <c r="S464" i="5"/>
  <c r="R464" i="5"/>
  <c r="S381" i="5"/>
  <c r="R381" i="5"/>
  <c r="S384" i="5"/>
  <c r="R384" i="5"/>
  <c r="R322" i="5"/>
  <c r="S322" i="5"/>
  <c r="S365" i="5"/>
  <c r="R365" i="5"/>
  <c r="R270" i="5"/>
  <c r="S270" i="5"/>
  <c r="S391" i="5"/>
  <c r="R391" i="5"/>
  <c r="R273" i="5"/>
  <c r="S273" i="5"/>
  <c r="R275" i="5"/>
  <c r="S275" i="5"/>
  <c r="R540" i="5"/>
  <c r="S540" i="5"/>
  <c r="S516" i="5"/>
  <c r="R516" i="5"/>
  <c r="S458" i="5"/>
  <c r="R458" i="5"/>
  <c r="R403" i="5"/>
  <c r="S403" i="5"/>
  <c r="S525" i="5"/>
  <c r="R525" i="5"/>
  <c r="R557" i="5"/>
  <c r="S557" i="5"/>
  <c r="R549" i="5"/>
  <c r="S549" i="5"/>
  <c r="S460" i="5"/>
  <c r="R460" i="5"/>
  <c r="S400" i="5"/>
  <c r="R400" i="5"/>
  <c r="R552" i="5"/>
  <c r="S552" i="5"/>
  <c r="S515" i="5"/>
  <c r="R515" i="5"/>
  <c r="S481" i="5"/>
  <c r="R481" i="5"/>
  <c r="R268" i="5"/>
  <c r="S268" i="5"/>
  <c r="R546" i="5"/>
  <c r="S546" i="5"/>
  <c r="R541" i="5"/>
  <c r="S541" i="5"/>
  <c r="S530" i="5"/>
  <c r="R530" i="5"/>
  <c r="S509" i="5"/>
  <c r="R509" i="5"/>
  <c r="S484" i="5"/>
  <c r="R484" i="5"/>
  <c r="S450" i="5"/>
  <c r="R450" i="5"/>
  <c r="S437" i="5"/>
  <c r="R437" i="5"/>
  <c r="R342" i="5"/>
  <c r="S342" i="5"/>
  <c r="S510" i="5"/>
  <c r="R510" i="5"/>
  <c r="S492" i="5"/>
  <c r="R492" i="5"/>
  <c r="S487" i="5"/>
  <c r="R487" i="5"/>
  <c r="S470" i="5"/>
  <c r="R470" i="5"/>
  <c r="S452" i="5"/>
  <c r="R452" i="5"/>
  <c r="S434" i="5"/>
  <c r="R434" i="5"/>
  <c r="S410" i="5"/>
  <c r="R410" i="5"/>
  <c r="S335" i="5"/>
  <c r="R335" i="5"/>
  <c r="S526" i="5"/>
  <c r="R526" i="5"/>
  <c r="S519" i="5"/>
  <c r="R519" i="5"/>
  <c r="S504" i="5"/>
  <c r="R504" i="5"/>
  <c r="S496" i="5"/>
  <c r="R496" i="5"/>
  <c r="S475" i="5"/>
  <c r="R475" i="5"/>
  <c r="S468" i="5"/>
  <c r="R468" i="5"/>
  <c r="S461" i="5"/>
  <c r="R461" i="5"/>
  <c r="R453" i="5"/>
  <c r="S453" i="5"/>
  <c r="S387" i="5"/>
  <c r="R387" i="5"/>
  <c r="S359" i="5"/>
  <c r="R359" i="5"/>
  <c r="S415" i="5"/>
  <c r="R415" i="5"/>
  <c r="S401" i="5"/>
  <c r="R401" i="5"/>
  <c r="S394" i="5"/>
  <c r="R394" i="5"/>
  <c r="R370" i="5"/>
  <c r="S370" i="5"/>
  <c r="S351" i="5"/>
  <c r="R351" i="5"/>
  <c r="S327" i="5"/>
  <c r="R327" i="5"/>
  <c r="S417" i="5"/>
  <c r="R417" i="5"/>
  <c r="S404" i="5"/>
  <c r="R404" i="5"/>
  <c r="S388" i="5"/>
  <c r="R388" i="5"/>
  <c r="R373" i="5"/>
  <c r="S373" i="5"/>
  <c r="S354" i="5"/>
  <c r="R354" i="5"/>
  <c r="S340" i="5"/>
  <c r="R340" i="5"/>
  <c r="R279" i="5"/>
  <c r="S279" i="5"/>
  <c r="S442" i="5"/>
  <c r="R442" i="5"/>
  <c r="S438" i="5"/>
  <c r="R438" i="5"/>
  <c r="S418" i="5"/>
  <c r="R418" i="5"/>
  <c r="S396" i="5"/>
  <c r="R396" i="5"/>
  <c r="S385" i="5"/>
  <c r="R385" i="5"/>
  <c r="S372" i="5"/>
  <c r="R372" i="5"/>
  <c r="S334" i="5"/>
  <c r="R334" i="5"/>
  <c r="S289" i="5"/>
  <c r="R289" i="5"/>
  <c r="R360" i="5"/>
  <c r="S360" i="5"/>
  <c r="S348" i="5"/>
  <c r="R348" i="5"/>
  <c r="S336" i="5"/>
  <c r="R336" i="5"/>
  <c r="R317" i="5"/>
  <c r="S317" i="5"/>
  <c r="S304" i="5"/>
  <c r="R304" i="5"/>
  <c r="S286" i="5"/>
  <c r="R286" i="5"/>
  <c r="S277" i="5"/>
  <c r="R277" i="5"/>
  <c r="R267" i="5"/>
  <c r="S267" i="5"/>
  <c r="R248" i="5"/>
  <c r="S248" i="5"/>
  <c r="R220" i="5"/>
  <c r="S220" i="5"/>
  <c r="S141" i="5"/>
  <c r="R141" i="5"/>
  <c r="S320" i="5"/>
  <c r="R320" i="5"/>
  <c r="R303" i="5"/>
  <c r="S303" i="5"/>
  <c r="S293" i="5"/>
  <c r="R293" i="5"/>
  <c r="R271" i="5"/>
  <c r="S271" i="5"/>
  <c r="R253" i="5"/>
  <c r="S253" i="5"/>
  <c r="S215" i="5"/>
  <c r="R215" i="5"/>
  <c r="R331" i="5"/>
  <c r="S331" i="5"/>
  <c r="R316" i="5"/>
  <c r="S316" i="5"/>
  <c r="R299" i="5"/>
  <c r="S299" i="5"/>
  <c r="R284" i="5"/>
  <c r="S284" i="5"/>
  <c r="S264" i="5"/>
  <c r="R264" i="5"/>
  <c r="S227" i="5"/>
  <c r="R227" i="5"/>
  <c r="R101" i="5"/>
  <c r="S101" i="5"/>
  <c r="S234" i="5"/>
  <c r="R234" i="5"/>
  <c r="S222" i="5"/>
  <c r="R222" i="5"/>
  <c r="S206" i="5"/>
  <c r="R206" i="5"/>
  <c r="R171" i="5"/>
  <c r="S171" i="5"/>
  <c r="S233" i="5"/>
  <c r="R233" i="5"/>
  <c r="R221" i="5"/>
  <c r="S221" i="5"/>
  <c r="S192" i="5"/>
  <c r="R192" i="5"/>
  <c r="R177" i="5"/>
  <c r="S177" i="5"/>
  <c r="R241" i="5"/>
  <c r="S241" i="5"/>
  <c r="S232" i="5"/>
  <c r="R232" i="5"/>
  <c r="R198" i="5"/>
  <c r="S198" i="5"/>
  <c r="R208" i="5"/>
  <c r="S208" i="5"/>
  <c r="S182" i="5"/>
  <c r="R182" i="5"/>
  <c r="S168" i="5"/>
  <c r="R168" i="5"/>
  <c r="R183" i="5"/>
  <c r="S183" i="5"/>
  <c r="S172" i="5"/>
  <c r="R172" i="5"/>
  <c r="R145" i="5"/>
  <c r="S145" i="5"/>
  <c r="R174" i="5"/>
  <c r="S174" i="5"/>
  <c r="S122" i="5"/>
  <c r="R122" i="5"/>
  <c r="R155" i="5"/>
  <c r="S155" i="5"/>
  <c r="R139" i="5"/>
  <c r="S139" i="5"/>
  <c r="S127" i="5"/>
  <c r="R127" i="5"/>
  <c r="R118" i="5"/>
  <c r="S118" i="5"/>
  <c r="R102" i="5"/>
  <c r="S102" i="5"/>
  <c r="R157" i="5"/>
  <c r="S157" i="5"/>
  <c r="R140" i="5"/>
  <c r="S140" i="5"/>
  <c r="R120" i="5"/>
  <c r="S120" i="5"/>
  <c r="R53" i="5"/>
  <c r="S53" i="5"/>
  <c r="R153" i="5"/>
  <c r="S153" i="5"/>
  <c r="R137" i="5"/>
  <c r="S137" i="5"/>
  <c r="S123" i="5"/>
  <c r="R123" i="5"/>
  <c r="R108" i="5"/>
  <c r="S108" i="5"/>
  <c r="R106" i="5"/>
  <c r="S106" i="5"/>
  <c r="S44" i="5"/>
  <c r="R44" i="5"/>
  <c r="S93" i="5"/>
  <c r="R93" i="5"/>
  <c r="S85" i="5"/>
  <c r="R85" i="5"/>
  <c r="S76" i="5"/>
  <c r="R76" i="5"/>
  <c r="S77" i="5"/>
  <c r="R77" i="5"/>
  <c r="R64" i="5"/>
  <c r="S64" i="5"/>
  <c r="S74" i="5"/>
  <c r="R74" i="5"/>
  <c r="S68" i="5"/>
  <c r="R68" i="5"/>
  <c r="S63" i="5"/>
  <c r="R63" i="5"/>
  <c r="R54" i="5"/>
  <c r="S54" i="5"/>
  <c r="R62" i="5"/>
  <c r="S62" i="5"/>
  <c r="R48" i="5"/>
  <c r="S48" i="5"/>
  <c r="R52" i="5"/>
  <c r="S52" i="5"/>
  <c r="R37" i="5"/>
  <c r="S37" i="5"/>
  <c r="S29" i="5"/>
  <c r="R29" i="5"/>
  <c r="R36" i="5"/>
  <c r="S36" i="5"/>
  <c r="S20" i="5"/>
  <c r="R20" i="5"/>
  <c r="R42" i="5"/>
  <c r="S42" i="5"/>
  <c r="S26" i="5"/>
  <c r="R26" i="5"/>
  <c r="AP56" i="5" l="1"/>
  <c r="AQ56" i="5" s="1"/>
  <c r="AP217" i="5"/>
  <c r="AP27" i="5"/>
  <c r="AP273" i="5"/>
  <c r="AQ273" i="5" s="1"/>
  <c r="AP63" i="5"/>
  <c r="BI63" i="5" s="1"/>
  <c r="AP36" i="5"/>
  <c r="BI36" i="5" s="1"/>
  <c r="AP182" i="5"/>
  <c r="AQ182" i="5" s="1"/>
  <c r="AP330" i="5"/>
  <c r="AR330" i="5" s="1"/>
  <c r="AP299" i="5"/>
  <c r="BI299" i="5" s="1"/>
  <c r="AP304" i="5"/>
  <c r="BI304" i="5" s="1"/>
  <c r="AP340" i="5"/>
  <c r="AR340" i="5" s="1"/>
  <c r="AP495" i="5"/>
  <c r="AR495" i="5" s="1"/>
  <c r="AP477" i="5"/>
  <c r="AQ477" i="5" s="1"/>
  <c r="AP258" i="5"/>
  <c r="BI258" i="5" s="1"/>
  <c r="AP358" i="5"/>
  <c r="BI358" i="5" s="1"/>
  <c r="AP45" i="5"/>
  <c r="AR45" i="5" s="1"/>
  <c r="AP199" i="5"/>
  <c r="BI199" i="5" s="1"/>
  <c r="AP283" i="5"/>
  <c r="BI283" i="5" s="1"/>
  <c r="AH63" i="5"/>
  <c r="AP322" i="5"/>
  <c r="AQ322" i="5" s="1"/>
  <c r="AH185" i="5"/>
  <c r="AP156" i="5"/>
  <c r="AQ156" i="5" s="1"/>
  <c r="AP306" i="5"/>
  <c r="AQ306" i="5" s="1"/>
  <c r="AI182" i="5"/>
  <c r="AP67" i="5"/>
  <c r="BI67" i="5" s="1"/>
  <c r="AP113" i="5"/>
  <c r="AQ113" i="5" s="1"/>
  <c r="AP496" i="5"/>
  <c r="AQ496" i="5" s="1"/>
  <c r="AP114" i="5"/>
  <c r="BI114" i="5" s="1"/>
  <c r="AP125" i="5"/>
  <c r="BI125" i="5" s="1"/>
  <c r="AP209" i="5"/>
  <c r="BI209" i="5" s="1"/>
  <c r="AI225" i="5"/>
  <c r="AH27" i="5"/>
  <c r="AI36" i="5"/>
  <c r="AI256" i="5"/>
  <c r="AI251" i="5"/>
  <c r="AI145" i="5"/>
  <c r="AI187" i="5"/>
  <c r="AI125" i="5"/>
  <c r="AP234" i="5"/>
  <c r="BI234" i="5" s="1"/>
  <c r="AP219" i="5"/>
  <c r="AR219" i="5" s="1"/>
  <c r="AI380" i="5"/>
  <c r="AP439" i="5"/>
  <c r="AR439" i="5" s="1"/>
  <c r="AI156" i="5"/>
  <c r="AH494" i="5"/>
  <c r="AI379" i="5"/>
  <c r="AI306" i="5"/>
  <c r="AP172" i="5"/>
  <c r="AR172" i="5" s="1"/>
  <c r="AP360" i="5"/>
  <c r="AR360" i="5" s="1"/>
  <c r="AP208" i="5"/>
  <c r="AQ208" i="5" s="1"/>
  <c r="AP110" i="5"/>
  <c r="BI110" i="5" s="1"/>
  <c r="AP505" i="5"/>
  <c r="BI505" i="5" s="1"/>
  <c r="AP99" i="5"/>
  <c r="AR99" i="5" s="1"/>
  <c r="AH60" i="5"/>
  <c r="AP51" i="5"/>
  <c r="BI51" i="5" s="1"/>
  <c r="AP22" i="5"/>
  <c r="AQ22" i="5" s="1"/>
  <c r="AP556" i="5"/>
  <c r="BI556" i="5" s="1"/>
  <c r="AI47" i="5"/>
  <c r="AI334" i="5"/>
  <c r="AP447" i="5"/>
  <c r="AQ447" i="5" s="1"/>
  <c r="AP341" i="5"/>
  <c r="BI341" i="5" s="1"/>
  <c r="AP466" i="5"/>
  <c r="AQ466" i="5" s="1"/>
  <c r="AI169" i="5"/>
  <c r="AP76" i="5"/>
  <c r="AR76" i="5" s="1"/>
  <c r="AP461" i="5"/>
  <c r="BI461" i="5" s="1"/>
  <c r="AP145" i="5"/>
  <c r="BI145" i="5" s="1"/>
  <c r="AP317" i="5"/>
  <c r="AR317" i="5" s="1"/>
  <c r="AP361" i="5"/>
  <c r="BI361" i="5" s="1"/>
  <c r="AP78" i="5"/>
  <c r="BI78" i="5" s="1"/>
  <c r="AP226" i="5"/>
  <c r="BI226" i="5" s="1"/>
  <c r="AP311" i="5"/>
  <c r="BI311" i="5" s="1"/>
  <c r="AP107" i="5"/>
  <c r="BI107" i="5" s="1"/>
  <c r="AP242" i="5"/>
  <c r="BI242" i="5" s="1"/>
  <c r="AP307" i="5"/>
  <c r="AR307" i="5" s="1"/>
  <c r="AP493" i="5"/>
  <c r="BI493" i="5" s="1"/>
  <c r="AP40" i="5"/>
  <c r="AR40" i="5" s="1"/>
  <c r="AP71" i="5"/>
  <c r="BI71" i="5" s="1"/>
  <c r="AP133" i="5"/>
  <c r="AQ133" i="5" s="1"/>
  <c r="AP227" i="5"/>
  <c r="BI227" i="5" s="1"/>
  <c r="AP196" i="5"/>
  <c r="BI196" i="5" s="1"/>
  <c r="AP26" i="5"/>
  <c r="AQ26" i="5" s="1"/>
  <c r="AP449" i="5"/>
  <c r="AQ449" i="5" s="1"/>
  <c r="AP186" i="5"/>
  <c r="AQ186" i="5" s="1"/>
  <c r="AP193" i="5"/>
  <c r="AR193" i="5" s="1"/>
  <c r="AP66" i="5"/>
  <c r="AQ66" i="5" s="1"/>
  <c r="AH228" i="5"/>
  <c r="AP326" i="5"/>
  <c r="AR326" i="5" s="1"/>
  <c r="AP518" i="5"/>
  <c r="BI518" i="5" s="1"/>
  <c r="AP55" i="5"/>
  <c r="BI55" i="5" s="1"/>
  <c r="AP551" i="5"/>
  <c r="AR551" i="5" s="1"/>
  <c r="AP491" i="5"/>
  <c r="AQ491" i="5" s="1"/>
  <c r="AP509" i="5"/>
  <c r="AQ509" i="5" s="1"/>
  <c r="AP288" i="5"/>
  <c r="BI288" i="5" s="1"/>
  <c r="AI172" i="5"/>
  <c r="AP376" i="5"/>
  <c r="AR376" i="5" s="1"/>
  <c r="AP137" i="5"/>
  <c r="AR137" i="5" s="1"/>
  <c r="AI42" i="5"/>
  <c r="AI436" i="5"/>
  <c r="AI266" i="5"/>
  <c r="AI135" i="5"/>
  <c r="AH121" i="5"/>
  <c r="AH173" i="5"/>
  <c r="AH488" i="5"/>
  <c r="AI74" i="5"/>
  <c r="AP244" i="5"/>
  <c r="AQ244" i="5" s="1"/>
  <c r="AN88" i="4"/>
  <c r="AN135" i="4"/>
  <c r="AP488" i="5"/>
  <c r="BI488" i="5" s="1"/>
  <c r="AI21" i="5"/>
  <c r="AH384" i="5"/>
  <c r="AI108" i="5"/>
  <c r="AP260" i="5"/>
  <c r="BI260" i="5" s="1"/>
  <c r="AH210" i="5"/>
  <c r="AH77" i="5"/>
  <c r="AP42" i="5"/>
  <c r="AR42" i="5" s="1"/>
  <c r="AP96" i="5"/>
  <c r="AQ96" i="5" s="1"/>
  <c r="AP546" i="5"/>
  <c r="AQ546" i="5" s="1"/>
  <c r="AP77" i="5"/>
  <c r="AR77" i="5" s="1"/>
  <c r="AP150" i="5"/>
  <c r="AR150" i="5" s="1"/>
  <c r="AP207" i="5"/>
  <c r="AQ207" i="5" s="1"/>
  <c r="AP285" i="5"/>
  <c r="BI285" i="5" s="1"/>
  <c r="AH341" i="5"/>
  <c r="AI202" i="5"/>
  <c r="AI360" i="5"/>
  <c r="AP116" i="5"/>
  <c r="BI116" i="5" s="1"/>
  <c r="AP7" i="5"/>
  <c r="BI7" i="5" s="1"/>
  <c r="AP440" i="5"/>
  <c r="BI440" i="5" s="1"/>
  <c r="AP428" i="5"/>
  <c r="BI428" i="5" s="1"/>
  <c r="AP109" i="5"/>
  <c r="BI109" i="5" s="1"/>
  <c r="AP241" i="5"/>
  <c r="AR241" i="5" s="1"/>
  <c r="AP516" i="5"/>
  <c r="AR516" i="5" s="1"/>
  <c r="AP445" i="5"/>
  <c r="AQ445" i="5" s="1"/>
  <c r="AP266" i="5"/>
  <c r="AR266" i="5" s="1"/>
  <c r="AH118" i="5"/>
  <c r="AP324" i="5"/>
  <c r="AR324" i="5" s="1"/>
  <c r="AH558" i="5"/>
  <c r="AH55" i="5"/>
  <c r="AI207" i="5"/>
  <c r="AP222" i="5"/>
  <c r="AR222" i="5" s="1"/>
  <c r="AH285" i="5"/>
  <c r="AI291" i="5"/>
  <c r="AI130" i="5"/>
  <c r="AP118" i="5"/>
  <c r="AR118" i="5" s="1"/>
  <c r="AP250" i="5"/>
  <c r="AQ250" i="5" s="1"/>
  <c r="AI252" i="5"/>
  <c r="AI300" i="5"/>
  <c r="AP387" i="5"/>
  <c r="AQ387" i="5" s="1"/>
  <c r="AP223" i="5"/>
  <c r="BI223" i="5" s="1"/>
  <c r="AI129" i="5"/>
  <c r="AI445" i="5"/>
  <c r="AI367" i="5"/>
  <c r="AP558" i="5"/>
  <c r="AQ558" i="5" s="1"/>
  <c r="AI508" i="5"/>
  <c r="AH24" i="5"/>
  <c r="AI110" i="5"/>
  <c r="AI330" i="5"/>
  <c r="AH262" i="5"/>
  <c r="AI541" i="5"/>
  <c r="AH114" i="5"/>
  <c r="AH195" i="5"/>
  <c r="AP363" i="5"/>
  <c r="BI363" i="5" s="1"/>
  <c r="AP388" i="5"/>
  <c r="BI388" i="5" s="1"/>
  <c r="AP402" i="5"/>
  <c r="BI402" i="5" s="1"/>
  <c r="AP74" i="5"/>
  <c r="BI74" i="5" s="1"/>
  <c r="AI67" i="5"/>
  <c r="AI369" i="5"/>
  <c r="AH97" i="5"/>
  <c r="AP479" i="5"/>
  <c r="AQ479" i="5" s="1"/>
  <c r="AP31" i="5"/>
  <c r="AQ31" i="5" s="1"/>
  <c r="AN13" i="4"/>
  <c r="AN71" i="4"/>
  <c r="AN142" i="4"/>
  <c r="AN116" i="4"/>
  <c r="AI442" i="5"/>
  <c r="AI166" i="5"/>
  <c r="AI378" i="5"/>
  <c r="AI13" i="5"/>
  <c r="AP280" i="5"/>
  <c r="AQ280" i="5" s="1"/>
  <c r="AI208" i="5"/>
  <c r="AI8" i="5"/>
  <c r="AI180" i="5"/>
  <c r="AP356" i="5"/>
  <c r="AR356" i="5" s="1"/>
  <c r="AP121" i="5"/>
  <c r="AQ121" i="5" s="1"/>
  <c r="AP501" i="5"/>
  <c r="BI501" i="5" s="1"/>
  <c r="AN19" i="4"/>
  <c r="AN153" i="4"/>
  <c r="AP427" i="5"/>
  <c r="AR427" i="5" s="1"/>
  <c r="AP152" i="5"/>
  <c r="BI152" i="5" s="1"/>
  <c r="AP309" i="5"/>
  <c r="BI309" i="5" s="1"/>
  <c r="AP513" i="5"/>
  <c r="AR513" i="5" s="1"/>
  <c r="AP97" i="5"/>
  <c r="BI97" i="5" s="1"/>
  <c r="AP190" i="5"/>
  <c r="AR190" i="5" s="1"/>
  <c r="AI148" i="5"/>
  <c r="AH50" i="5"/>
  <c r="AP8" i="5"/>
  <c r="AQ8" i="5" s="1"/>
  <c r="AP541" i="5"/>
  <c r="BI541" i="5" s="1"/>
  <c r="AN53" i="4"/>
  <c r="AN70" i="4"/>
  <c r="AN112" i="4"/>
  <c r="AI368" i="5"/>
  <c r="AI435" i="5"/>
  <c r="AH421" i="5"/>
  <c r="AI193" i="5"/>
  <c r="AP539" i="5"/>
  <c r="BI539" i="5" s="1"/>
  <c r="AP104" i="5"/>
  <c r="BI104" i="5" s="1"/>
  <c r="AP528" i="5"/>
  <c r="BI528" i="5" s="1"/>
  <c r="AP65" i="5"/>
  <c r="BI65" i="5" s="1"/>
  <c r="AP530" i="5"/>
  <c r="AR530" i="5" s="1"/>
  <c r="AN100" i="4"/>
  <c r="AN78" i="4"/>
  <c r="AP373" i="5"/>
  <c r="BI373" i="5" s="1"/>
  <c r="AP296" i="5"/>
  <c r="BI296" i="5" s="1"/>
  <c r="AH246" i="5"/>
  <c r="AH474" i="5"/>
  <c r="AP136" i="5"/>
  <c r="AQ136" i="5" s="1"/>
  <c r="AP456" i="5"/>
  <c r="BI456" i="5" s="1"/>
  <c r="AP351" i="5"/>
  <c r="BI351" i="5" s="1"/>
  <c r="AP192" i="5"/>
  <c r="AQ192" i="5" s="1"/>
  <c r="AN49" i="4"/>
  <c r="AI217" i="5"/>
  <c r="AN24" i="4"/>
  <c r="AH373" i="5"/>
  <c r="AP542" i="5"/>
  <c r="AQ542" i="5" s="1"/>
  <c r="AH309" i="5"/>
  <c r="AI65" i="5"/>
  <c r="AI382" i="5"/>
  <c r="AH547" i="5"/>
  <c r="AP148" i="5"/>
  <c r="AR148" i="5" s="1"/>
  <c r="AP81" i="5"/>
  <c r="AR81" i="5" s="1"/>
  <c r="AP506" i="5"/>
  <c r="AR506" i="5" s="1"/>
  <c r="AN144" i="4"/>
  <c r="AN122" i="4"/>
  <c r="AN103" i="4"/>
  <c r="AN108" i="4"/>
  <c r="AI191" i="5"/>
  <c r="AH431" i="5"/>
  <c r="AP195" i="5"/>
  <c r="BI195" i="5" s="1"/>
  <c r="AP200" i="5"/>
  <c r="BI200" i="5" s="1"/>
  <c r="AP368" i="5"/>
  <c r="BI368" i="5" s="1"/>
  <c r="AP13" i="5"/>
  <c r="BI13" i="5" s="1"/>
  <c r="AN51" i="4"/>
  <c r="AG11" i="5"/>
  <c r="AH11" i="5" s="1"/>
  <c r="AP180" i="5"/>
  <c r="AR180" i="5" s="1"/>
  <c r="AP384" i="5"/>
  <c r="AQ384" i="5" s="1"/>
  <c r="AP520" i="5"/>
  <c r="AQ520" i="5" s="1"/>
  <c r="AP201" i="5"/>
  <c r="AR201" i="5" s="1"/>
  <c r="AP429" i="5"/>
  <c r="BI429" i="5" s="1"/>
  <c r="AP430" i="5"/>
  <c r="BI430" i="5" s="1"/>
  <c r="AP214" i="5"/>
  <c r="AQ214" i="5" s="1"/>
  <c r="AN130" i="4"/>
  <c r="AP526" i="5"/>
  <c r="AQ526" i="5" s="1"/>
  <c r="AH37" i="5"/>
  <c r="AH78" i="5"/>
  <c r="AI321" i="5"/>
  <c r="AH212" i="5"/>
  <c r="AH76" i="5"/>
  <c r="AI85" i="5"/>
  <c r="AI424" i="5"/>
  <c r="AH112" i="5"/>
  <c r="AI239" i="5"/>
  <c r="AH275" i="5"/>
  <c r="AH93" i="5"/>
  <c r="AH100" i="5"/>
  <c r="AI313" i="5"/>
  <c r="AH83" i="5"/>
  <c r="AH282" i="5"/>
  <c r="AI351" i="5"/>
  <c r="AI485" i="5"/>
  <c r="AH485" i="5"/>
  <c r="AH303" i="5"/>
  <c r="AI303" i="5"/>
  <c r="AI270" i="5"/>
  <c r="AH270" i="5"/>
  <c r="AI403" i="5"/>
  <c r="AH403" i="5"/>
  <c r="AH458" i="5"/>
  <c r="AI458" i="5"/>
  <c r="AH284" i="5"/>
  <c r="AI284" i="5"/>
  <c r="AH416" i="5"/>
  <c r="AI416" i="5"/>
  <c r="AI265" i="5"/>
  <c r="AH265" i="5"/>
  <c r="AH120" i="5"/>
  <c r="AI120" i="5"/>
  <c r="AI155" i="5"/>
  <c r="AH155" i="5"/>
  <c r="AH159" i="5"/>
  <c r="AI159" i="5"/>
  <c r="AH551" i="5"/>
  <c r="AI551" i="5"/>
  <c r="AH53" i="5"/>
  <c r="AH233" i="5"/>
  <c r="AH220" i="5"/>
  <c r="AI467" i="5"/>
  <c r="AI205" i="5"/>
  <c r="AH399" i="5"/>
  <c r="AI538" i="5"/>
  <c r="AI177" i="5"/>
  <c r="AI218" i="5"/>
  <c r="AH48" i="5"/>
  <c r="AH154" i="5"/>
  <c r="AI234" i="5"/>
  <c r="AH12" i="5"/>
  <c r="AI186" i="5"/>
  <c r="AH164" i="5"/>
  <c r="AI243" i="5"/>
  <c r="AH227" i="5"/>
  <c r="AI473" i="5"/>
  <c r="AH337" i="5"/>
  <c r="AH461" i="5"/>
  <c r="AI449" i="5"/>
  <c r="AH449" i="5"/>
  <c r="AH178" i="5"/>
  <c r="AI178" i="5"/>
  <c r="AH456" i="5"/>
  <c r="AI456" i="5"/>
  <c r="AH342" i="5"/>
  <c r="AI342" i="5"/>
  <c r="AI190" i="5"/>
  <c r="AH190" i="5"/>
  <c r="AI139" i="5"/>
  <c r="AH139" i="5"/>
  <c r="AH412" i="5"/>
  <c r="AI412" i="5"/>
  <c r="AH446" i="5"/>
  <c r="AI446" i="5"/>
  <c r="AH363" i="5"/>
  <c r="AI363" i="5"/>
  <c r="AI364" i="5"/>
  <c r="AH364" i="5"/>
  <c r="AH30" i="5"/>
  <c r="AI99" i="5"/>
  <c r="AH184" i="5"/>
  <c r="AH413" i="5"/>
  <c r="AH404" i="5"/>
  <c r="AH28" i="5"/>
  <c r="AI395" i="5"/>
  <c r="AH331" i="5"/>
  <c r="AH439" i="5"/>
  <c r="AI500" i="5"/>
  <c r="AH26" i="5"/>
  <c r="AH91" i="5"/>
  <c r="AH90" i="5"/>
  <c r="AI320" i="5"/>
  <c r="AI409" i="5"/>
  <c r="AI434" i="5"/>
  <c r="AH106" i="5"/>
  <c r="AI89" i="5"/>
  <c r="AH192" i="5"/>
  <c r="AI427" i="5"/>
  <c r="AH410" i="5"/>
  <c r="AI535" i="5"/>
  <c r="AH408" i="5"/>
  <c r="AI408" i="5"/>
  <c r="AI402" i="5"/>
  <c r="AH402" i="5"/>
  <c r="AH64" i="5"/>
  <c r="AI64" i="5"/>
  <c r="AH509" i="5"/>
  <c r="AI509" i="5"/>
  <c r="AH559" i="5"/>
  <c r="AI559" i="5"/>
  <c r="AH522" i="5"/>
  <c r="AI522" i="5"/>
  <c r="AI491" i="5"/>
  <c r="AH491" i="5"/>
  <c r="AH62" i="5"/>
  <c r="AI62" i="5"/>
  <c r="AI84" i="5"/>
  <c r="AH84" i="5"/>
  <c r="AI165" i="5"/>
  <c r="AI134" i="5"/>
  <c r="AI340" i="5"/>
  <c r="AI352" i="5"/>
  <c r="AH324" i="5"/>
  <c r="AH272" i="5"/>
  <c r="AH503" i="5"/>
  <c r="AH301" i="5"/>
  <c r="AI466" i="5"/>
  <c r="AH152" i="5"/>
  <c r="AH136" i="5"/>
  <c r="AH279" i="5"/>
  <c r="AH58" i="5"/>
  <c r="AH174" i="5"/>
  <c r="AH141" i="5"/>
  <c r="AH354" i="5"/>
  <c r="AH361" i="5"/>
  <c r="AH226" i="5"/>
  <c r="AH513" i="5"/>
  <c r="AP243" i="5"/>
  <c r="BI243" i="5" s="1"/>
  <c r="AP84" i="5"/>
  <c r="BI84" i="5" s="1"/>
  <c r="AP212" i="5"/>
  <c r="BI212" i="5" s="1"/>
  <c r="AP30" i="5"/>
  <c r="AQ30" i="5" s="1"/>
  <c r="AP184" i="5"/>
  <c r="AR184" i="5" s="1"/>
  <c r="AP272" i="5"/>
  <c r="AQ272" i="5" s="1"/>
  <c r="AP352" i="5"/>
  <c r="AQ352" i="5" s="1"/>
  <c r="AP416" i="5"/>
  <c r="AR416" i="5" s="1"/>
  <c r="AP159" i="5"/>
  <c r="AR159" i="5" s="1"/>
  <c r="AP239" i="5"/>
  <c r="BI239" i="5" s="1"/>
  <c r="AP364" i="5"/>
  <c r="AQ364" i="5" s="1"/>
  <c r="AP141" i="5"/>
  <c r="AR141" i="5" s="1"/>
  <c r="AP265" i="5"/>
  <c r="BI265" i="5" s="1"/>
  <c r="AP313" i="5"/>
  <c r="BI313" i="5" s="1"/>
  <c r="AP413" i="5"/>
  <c r="BI413" i="5" s="1"/>
  <c r="AP354" i="5"/>
  <c r="AQ354" i="5" s="1"/>
  <c r="AP321" i="5"/>
  <c r="AR321" i="5" s="1"/>
  <c r="AP58" i="5"/>
  <c r="AQ58" i="5" s="1"/>
  <c r="AP100" i="5"/>
  <c r="AQ100" i="5" s="1"/>
  <c r="AP164" i="5"/>
  <c r="AR164" i="5" s="1"/>
  <c r="AP228" i="5"/>
  <c r="BI228" i="5" s="1"/>
  <c r="AP331" i="5"/>
  <c r="AR331" i="5" s="1"/>
  <c r="AP48" i="5"/>
  <c r="AQ48" i="5" s="1"/>
  <c r="AP93" i="5"/>
  <c r="AQ93" i="5" s="1"/>
  <c r="AP500" i="5"/>
  <c r="BI500" i="5" s="1"/>
  <c r="AP89" i="5"/>
  <c r="AR89" i="5" s="1"/>
  <c r="AP154" i="5"/>
  <c r="BI154" i="5" s="1"/>
  <c r="AP106" i="5"/>
  <c r="BI106" i="5" s="1"/>
  <c r="AP434" i="5"/>
  <c r="BI434" i="5" s="1"/>
  <c r="AP174" i="5"/>
  <c r="AR174" i="5" s="1"/>
  <c r="AP83" i="5"/>
  <c r="AQ83" i="5" s="1"/>
  <c r="AP275" i="5"/>
  <c r="AR275" i="5" s="1"/>
  <c r="AP467" i="5"/>
  <c r="AQ467" i="5" s="1"/>
  <c r="AP91" i="5"/>
  <c r="AR91" i="5" s="1"/>
  <c r="AP155" i="5"/>
  <c r="AR155" i="5" s="1"/>
  <c r="AP220" i="5"/>
  <c r="AQ220" i="5" s="1"/>
  <c r="AP112" i="5"/>
  <c r="AR112" i="5" s="1"/>
  <c r="AP53" i="5"/>
  <c r="AR53" i="5" s="1"/>
  <c r="AP473" i="5"/>
  <c r="BI473" i="5" s="1"/>
  <c r="AN33" i="4"/>
  <c r="AN69" i="4"/>
  <c r="AN134" i="4"/>
  <c r="AN57" i="4"/>
  <c r="AN89" i="4"/>
  <c r="AN138" i="4"/>
  <c r="AN104" i="4"/>
  <c r="AH525" i="5"/>
  <c r="AI25" i="5"/>
  <c r="AH389" i="5"/>
  <c r="AI196" i="5"/>
  <c r="AI240" i="5"/>
  <c r="AH526" i="5"/>
  <c r="AP139" i="5"/>
  <c r="AR139" i="5" s="1"/>
  <c r="AP395" i="5"/>
  <c r="BI395" i="5" s="1"/>
  <c r="AP284" i="5"/>
  <c r="BI284" i="5" s="1"/>
  <c r="AP424" i="5"/>
  <c r="BI424" i="5" s="1"/>
  <c r="AP503" i="5"/>
  <c r="BI503" i="5" s="1"/>
  <c r="AP559" i="5"/>
  <c r="AR559" i="5" s="1"/>
  <c r="AP412" i="5"/>
  <c r="AR412" i="5" s="1"/>
  <c r="AP85" i="5"/>
  <c r="AQ85" i="5" s="1"/>
  <c r="AP134" i="5"/>
  <c r="BI134" i="5" s="1"/>
  <c r="AP177" i="5"/>
  <c r="BI177" i="5" s="1"/>
  <c r="AP525" i="5"/>
  <c r="BI525" i="5" s="1"/>
  <c r="AP458" i="5"/>
  <c r="BI458" i="5" s="1"/>
  <c r="AP446" i="5"/>
  <c r="AQ446" i="5" s="1"/>
  <c r="AP37" i="5"/>
  <c r="BI37" i="5" s="1"/>
  <c r="AI260" i="5"/>
  <c r="AI329" i="5"/>
  <c r="AI475" i="5"/>
  <c r="AH527" i="5"/>
  <c r="AP403" i="5"/>
  <c r="AR403" i="5" s="1"/>
  <c r="AP279" i="5"/>
  <c r="AQ279" i="5" s="1"/>
  <c r="AP535" i="5"/>
  <c r="AQ535" i="5" s="1"/>
  <c r="AP120" i="5"/>
  <c r="AQ120" i="5" s="1"/>
  <c r="AP301" i="5"/>
  <c r="BI301" i="5" s="1"/>
  <c r="AP399" i="5"/>
  <c r="AR399" i="5" s="1"/>
  <c r="AP320" i="5"/>
  <c r="BI320" i="5" s="1"/>
  <c r="AP165" i="5"/>
  <c r="BI165" i="5" s="1"/>
  <c r="AP409" i="5"/>
  <c r="AQ409" i="5" s="1"/>
  <c r="AP62" i="5"/>
  <c r="AR62" i="5" s="1"/>
  <c r="AP404" i="5"/>
  <c r="AR404" i="5" s="1"/>
  <c r="AP337" i="5"/>
  <c r="BI337" i="5" s="1"/>
  <c r="AP282" i="5"/>
  <c r="BI282" i="5" s="1"/>
  <c r="AP410" i="5"/>
  <c r="AR410" i="5" s="1"/>
  <c r="AP25" i="5"/>
  <c r="AQ25" i="5" s="1"/>
  <c r="AP90" i="5"/>
  <c r="BI90" i="5" s="1"/>
  <c r="AP253" i="5"/>
  <c r="BI253" i="5" s="1"/>
  <c r="AH253" i="5"/>
  <c r="AH338" i="5"/>
  <c r="AI302" i="5"/>
  <c r="AI479" i="5"/>
  <c r="AH144" i="5"/>
  <c r="AI319" i="5"/>
  <c r="AN59" i="4"/>
  <c r="AN28" i="4"/>
  <c r="AN109" i="4"/>
  <c r="AN132" i="4"/>
  <c r="AN56" i="4"/>
  <c r="AN95" i="4"/>
  <c r="AN9" i="4"/>
  <c r="AN76" i="4"/>
  <c r="AN39" i="4"/>
  <c r="AN128" i="4"/>
  <c r="AN97" i="4"/>
  <c r="AN129" i="4"/>
  <c r="AN11" i="4"/>
  <c r="AN118" i="4"/>
  <c r="AN15" i="4"/>
  <c r="AI29" i="5"/>
  <c r="AP294" i="5"/>
  <c r="AQ294" i="5" s="1"/>
  <c r="AN83" i="4"/>
  <c r="AN115" i="4"/>
  <c r="AN147" i="4"/>
  <c r="AN62" i="4"/>
  <c r="AN31" i="4"/>
  <c r="AN156" i="4"/>
  <c r="AN29" i="4"/>
  <c r="AN152" i="4"/>
  <c r="AN55" i="4"/>
  <c r="AN87" i="4"/>
  <c r="AN119" i="4"/>
  <c r="AN151" i="4"/>
  <c r="AN21" i="4"/>
  <c r="AN86" i="4"/>
  <c r="AN52" i="4"/>
  <c r="AI22" i="5"/>
  <c r="AI81" i="5"/>
  <c r="AH496" i="5"/>
  <c r="AH72" i="5"/>
  <c r="AN75" i="4"/>
  <c r="AN8" i="4"/>
  <c r="AN48" i="4"/>
  <c r="AN93" i="4"/>
  <c r="AN125" i="4"/>
  <c r="AN102" i="4"/>
  <c r="AN47" i="4"/>
  <c r="AN111" i="4"/>
  <c r="AN20" i="4"/>
  <c r="AN64" i="4"/>
  <c r="AN106" i="4"/>
  <c r="AI359" i="5"/>
  <c r="AI521" i="5"/>
  <c r="AI339" i="5"/>
  <c r="AI109" i="5"/>
  <c r="AI440" i="5"/>
  <c r="AH520" i="5"/>
  <c r="AN43" i="4"/>
  <c r="AN107" i="4"/>
  <c r="AN139" i="4"/>
  <c r="AN124" i="4"/>
  <c r="AN17" i="4"/>
  <c r="AN157" i="4"/>
  <c r="AN68" i="4"/>
  <c r="AN35" i="4"/>
  <c r="AN79" i="4"/>
  <c r="AN143" i="4"/>
  <c r="AN46" i="4"/>
  <c r="AN140" i="4"/>
  <c r="AN98" i="4"/>
  <c r="AN113" i="4"/>
  <c r="AN145" i="4"/>
  <c r="AN27" i="4"/>
  <c r="AN148" i="4"/>
  <c r="AN72" i="4"/>
  <c r="AI160" i="5"/>
  <c r="AH430" i="5"/>
  <c r="AH533" i="5"/>
  <c r="AP205" i="5"/>
  <c r="AR205" i="5" s="1"/>
  <c r="AP28" i="5"/>
  <c r="AQ28" i="5" s="1"/>
  <c r="AP64" i="5"/>
  <c r="AQ64" i="5" s="1"/>
  <c r="AP178" i="5"/>
  <c r="AR178" i="5" s="1"/>
  <c r="AP342" i="5"/>
  <c r="BI342" i="5" s="1"/>
  <c r="AP522" i="5"/>
  <c r="AR522" i="5" s="1"/>
  <c r="AP538" i="5"/>
  <c r="BI538" i="5" s="1"/>
  <c r="AN67" i="4"/>
  <c r="AN99" i="4"/>
  <c r="AN131" i="4"/>
  <c r="AN126" i="4"/>
  <c r="AN92" i="4"/>
  <c r="AN85" i="4"/>
  <c r="AN117" i="4"/>
  <c r="AN149" i="4"/>
  <c r="AN14" i="4"/>
  <c r="AN38" i="4"/>
  <c r="AN66" i="4"/>
  <c r="AN10" i="4"/>
  <c r="AN41" i="4"/>
  <c r="AN105" i="4"/>
  <c r="AN137" i="4"/>
  <c r="AN36" i="4"/>
  <c r="AP270" i="5"/>
  <c r="BI270" i="5" s="1"/>
  <c r="AN91" i="4"/>
  <c r="AN123" i="4"/>
  <c r="AN155" i="4"/>
  <c r="AN60" i="4"/>
  <c r="AN77" i="4"/>
  <c r="AN141" i="4"/>
  <c r="AN40" i="4"/>
  <c r="AN16" i="4"/>
  <c r="AN90" i="4"/>
  <c r="AN22" i="4"/>
  <c r="AN63" i="4"/>
  <c r="AN127" i="4"/>
  <c r="AN110" i="4"/>
  <c r="AN12" i="4"/>
  <c r="AN25" i="4"/>
  <c r="AN65" i="4"/>
  <c r="AN84" i="4"/>
  <c r="AN136" i="4"/>
  <c r="AP289" i="5"/>
  <c r="AQ289" i="5" s="1"/>
  <c r="AI75" i="5"/>
  <c r="AI175" i="5"/>
  <c r="AI385" i="5"/>
  <c r="AI103" i="5"/>
  <c r="AI414" i="5"/>
  <c r="AI113" i="5"/>
  <c r="AH88" i="5"/>
  <c r="AH213" i="5"/>
  <c r="AH80" i="5"/>
  <c r="AI267" i="5"/>
  <c r="AH209" i="5"/>
  <c r="AI278" i="5"/>
  <c r="AH229" i="5"/>
  <c r="AH433" i="5"/>
  <c r="AH32" i="5"/>
  <c r="AI323" i="5"/>
  <c r="AH297" i="5"/>
  <c r="AH386" i="5"/>
  <c r="AI96" i="5"/>
  <c r="AH133" i="5"/>
  <c r="AH350" i="5"/>
  <c r="AH453" i="5"/>
  <c r="AI391" i="5"/>
  <c r="AI189" i="5"/>
  <c r="AI407" i="5"/>
  <c r="AH137" i="5"/>
  <c r="AH79" i="5"/>
  <c r="AH232" i="5"/>
  <c r="AI463" i="5"/>
  <c r="AP69" i="5"/>
  <c r="BI69" i="5" s="1"/>
  <c r="AH69" i="5"/>
  <c r="AI316" i="5"/>
  <c r="AI39" i="5"/>
  <c r="AH249" i="5"/>
  <c r="AH505" i="5"/>
  <c r="AI35" i="5"/>
  <c r="AI71" i="5"/>
  <c r="AI57" i="5"/>
  <c r="AI61" i="5"/>
  <c r="AI49" i="5"/>
  <c r="AH263" i="5"/>
  <c r="AH293" i="5"/>
  <c r="AH454" i="5"/>
  <c r="AI181" i="5"/>
  <c r="AI274" i="5"/>
  <c r="AH411" i="5"/>
  <c r="AH312" i="5"/>
  <c r="AI393" i="5"/>
  <c r="AH221" i="5"/>
  <c r="AH519" i="5"/>
  <c r="AP451" i="5"/>
  <c r="AR451" i="5" s="1"/>
  <c r="AP75" i="5"/>
  <c r="AR75" i="5" s="1"/>
  <c r="AP267" i="5"/>
  <c r="AQ267" i="5" s="1"/>
  <c r="AP72" i="5"/>
  <c r="AR72" i="5" s="1"/>
  <c r="AP88" i="5"/>
  <c r="AQ88" i="5" s="1"/>
  <c r="AP79" i="5"/>
  <c r="AR79" i="5" s="1"/>
  <c r="AP35" i="5"/>
  <c r="AQ35" i="5" s="1"/>
  <c r="AP157" i="5"/>
  <c r="AQ157" i="5" s="1"/>
  <c r="AP221" i="5"/>
  <c r="AQ221" i="5" s="1"/>
  <c r="AP149" i="5"/>
  <c r="AQ149" i="5" s="1"/>
  <c r="AP213" i="5"/>
  <c r="BI213" i="5" s="1"/>
  <c r="AP393" i="5"/>
  <c r="BI393" i="5" s="1"/>
  <c r="AP32" i="5"/>
  <c r="AR32" i="5" s="1"/>
  <c r="AP318" i="5"/>
  <c r="BI318" i="5" s="1"/>
  <c r="AP29" i="5"/>
  <c r="AQ29" i="5" s="1"/>
  <c r="AI40" i="5"/>
  <c r="AH150" i="5"/>
  <c r="AH147" i="5"/>
  <c r="AI124" i="5"/>
  <c r="AI126" i="5"/>
  <c r="AH222" i="5"/>
  <c r="AI307" i="5"/>
  <c r="AH206" i="5"/>
  <c r="AH336" i="5"/>
  <c r="AH451" i="5"/>
  <c r="AI298" i="5"/>
  <c r="AI374" i="5"/>
  <c r="AH450" i="5"/>
  <c r="AH259" i="5"/>
  <c r="AH392" i="5"/>
  <c r="AH447" i="5"/>
  <c r="AI41" i="5"/>
  <c r="AI151" i="5"/>
  <c r="AI117" i="5"/>
  <c r="AH237" i="5"/>
  <c r="AI318" i="5"/>
  <c r="AI481" i="5"/>
  <c r="AI524" i="5"/>
  <c r="AI149" i="5"/>
  <c r="AH199" i="5"/>
  <c r="AI381" i="5"/>
  <c r="AH517" i="5"/>
  <c r="AH51" i="5"/>
  <c r="AI158" i="5"/>
  <c r="AH157" i="5"/>
  <c r="AI146" i="5"/>
  <c r="AI203" i="5"/>
  <c r="AP147" i="5"/>
  <c r="AQ147" i="5" s="1"/>
  <c r="AP411" i="5"/>
  <c r="BI411" i="5" s="1"/>
  <c r="AP60" i="5"/>
  <c r="BI60" i="5" s="1"/>
  <c r="AP124" i="5"/>
  <c r="AR124" i="5" s="1"/>
  <c r="AP391" i="5"/>
  <c r="AQ391" i="5" s="1"/>
  <c r="AP407" i="5"/>
  <c r="BI407" i="5" s="1"/>
  <c r="AP232" i="5"/>
  <c r="AR232" i="5" s="1"/>
  <c r="AP80" i="5"/>
  <c r="BI80" i="5" s="1"/>
  <c r="AP312" i="5"/>
  <c r="BI312" i="5" s="1"/>
  <c r="AP229" i="5"/>
  <c r="BI229" i="5" s="1"/>
  <c r="AP293" i="5"/>
  <c r="AQ293" i="5" s="1"/>
  <c r="AP126" i="5"/>
  <c r="AQ126" i="5" s="1"/>
  <c r="AP49" i="5"/>
  <c r="BI49" i="5" s="1"/>
  <c r="AP146" i="5"/>
  <c r="AQ146" i="5" s="1"/>
  <c r="AP158" i="5"/>
  <c r="BI158" i="5" s="1"/>
  <c r="AP386" i="5"/>
  <c r="AR386" i="5" s="1"/>
  <c r="AP206" i="5"/>
  <c r="AQ206" i="5" s="1"/>
  <c r="AP302" i="5"/>
  <c r="BI302" i="5" s="1"/>
  <c r="AP350" i="5"/>
  <c r="AQ350" i="5" s="1"/>
  <c r="AP278" i="5"/>
  <c r="AR278" i="5" s="1"/>
  <c r="AI549" i="5"/>
  <c r="AH510" i="5"/>
  <c r="AH31" i="5"/>
  <c r="AH56" i="5"/>
  <c r="AI372" i="5"/>
  <c r="AI486" i="5"/>
  <c r="AH383" i="5"/>
  <c r="AH68" i="5"/>
  <c r="AI335" i="5"/>
  <c r="AH554" i="5"/>
  <c r="AP336" i="5"/>
  <c r="AR336" i="5" s="1"/>
  <c r="AP175" i="5"/>
  <c r="AQ175" i="5" s="1"/>
  <c r="AP319" i="5"/>
  <c r="AR319" i="5" s="1"/>
  <c r="AP463" i="5"/>
  <c r="AQ463" i="5" s="1"/>
  <c r="AP144" i="5"/>
  <c r="AR144" i="5" s="1"/>
  <c r="AP61" i="5"/>
  <c r="BI61" i="5" s="1"/>
  <c r="AP189" i="5"/>
  <c r="BI189" i="5" s="1"/>
  <c r="AP117" i="5"/>
  <c r="BI117" i="5" s="1"/>
  <c r="AP181" i="5"/>
  <c r="AQ181" i="5" s="1"/>
  <c r="AP385" i="5"/>
  <c r="BI385" i="5" s="1"/>
  <c r="AP274" i="5"/>
  <c r="BI274" i="5" s="1"/>
  <c r="AP338" i="5"/>
  <c r="BI338" i="5" s="1"/>
  <c r="AP524" i="5"/>
  <c r="AR524" i="5" s="1"/>
  <c r="AP41" i="5"/>
  <c r="BI41" i="5" s="1"/>
  <c r="AP414" i="5"/>
  <c r="AR414" i="5" s="1"/>
  <c r="AH504" i="5"/>
  <c r="AI482" i="5"/>
  <c r="AI82" i="5"/>
  <c r="AI280" i="5"/>
  <c r="AI448" i="5"/>
  <c r="AI492" i="5"/>
  <c r="AI273" i="5"/>
  <c r="AI516" i="5"/>
  <c r="AI287" i="5"/>
  <c r="AI390" i="5"/>
  <c r="AI555" i="5"/>
  <c r="AH111" i="5"/>
  <c r="AI223" i="5"/>
  <c r="AI346" i="5"/>
  <c r="AH238" i="5"/>
  <c r="AH511" i="5"/>
  <c r="AH140" i="5"/>
  <c r="AP334" i="5"/>
  <c r="BI334" i="5" s="1"/>
  <c r="AH299" i="5"/>
  <c r="AH388" i="5"/>
  <c r="AI394" i="5"/>
  <c r="AH471" i="5"/>
  <c r="AH107" i="5"/>
  <c r="AH230" i="5"/>
  <c r="AI326" i="5"/>
  <c r="AH507" i="5"/>
  <c r="AI468" i="5"/>
  <c r="AI560" i="5"/>
  <c r="AP507" i="5"/>
  <c r="BI507" i="5" s="1"/>
  <c r="AP408" i="5"/>
  <c r="AQ408" i="5" s="1"/>
  <c r="AP471" i="5"/>
  <c r="BI471" i="5" s="1"/>
  <c r="AP527" i="5"/>
  <c r="BI527" i="5" s="1"/>
  <c r="AP560" i="5"/>
  <c r="AR560" i="5" s="1"/>
  <c r="AP468" i="5"/>
  <c r="AR468" i="5" s="1"/>
  <c r="AI101" i="5"/>
  <c r="AH317" i="5"/>
  <c r="AI532" i="5"/>
  <c r="AH459" i="5"/>
  <c r="AH311" i="5"/>
  <c r="AI406" i="5"/>
  <c r="AH556" i="5"/>
  <c r="AP459" i="5"/>
  <c r="BI459" i="5" s="1"/>
  <c r="AP303" i="5"/>
  <c r="AR303" i="5" s="1"/>
  <c r="AP218" i="5"/>
  <c r="BI218" i="5" s="1"/>
  <c r="AP389" i="5"/>
  <c r="BI389" i="5" s="1"/>
  <c r="AP485" i="5"/>
  <c r="BI485" i="5" s="1"/>
  <c r="AP394" i="5"/>
  <c r="AQ394" i="5" s="1"/>
  <c r="AP475" i="5"/>
  <c r="BI475" i="5" s="1"/>
  <c r="AP532" i="5"/>
  <c r="BI532" i="5" s="1"/>
  <c r="AP101" i="5"/>
  <c r="AR101" i="5" s="1"/>
  <c r="AP329" i="5"/>
  <c r="BI329" i="5" s="1"/>
  <c r="AH355" i="5"/>
  <c r="AH73" i="5"/>
  <c r="AI455" i="5"/>
  <c r="AI543" i="5"/>
  <c r="AI179" i="5"/>
  <c r="AH347" i="5"/>
  <c r="AI211" i="5"/>
  <c r="AH261" i="5"/>
  <c r="AH296" i="5"/>
  <c r="AH387" i="5"/>
  <c r="AH444" i="5"/>
  <c r="AP435" i="5"/>
  <c r="AR435" i="5" s="1"/>
  <c r="AP187" i="5"/>
  <c r="AQ187" i="5" s="1"/>
  <c r="AP251" i="5"/>
  <c r="BI251" i="5" s="1"/>
  <c r="AP315" i="5"/>
  <c r="AQ315" i="5" s="1"/>
  <c r="AP379" i="5"/>
  <c r="BI379" i="5" s="1"/>
  <c r="AP455" i="5"/>
  <c r="BI455" i="5" s="1"/>
  <c r="AP472" i="5"/>
  <c r="AQ472" i="5" s="1"/>
  <c r="AP480" i="5"/>
  <c r="AQ480" i="5" s="1"/>
  <c r="AP191" i="5"/>
  <c r="BI191" i="5" s="1"/>
  <c r="AP552" i="5"/>
  <c r="AQ552" i="5" s="1"/>
  <c r="AP185" i="5"/>
  <c r="BI185" i="5" s="1"/>
  <c r="AP378" i="5"/>
  <c r="AR378" i="5" s="1"/>
  <c r="AP442" i="5"/>
  <c r="AR442" i="5" s="1"/>
  <c r="AP382" i="5"/>
  <c r="BI382" i="5" s="1"/>
  <c r="AH305" i="5"/>
  <c r="AI480" i="5"/>
  <c r="AH531" i="5"/>
  <c r="AI529" i="5"/>
  <c r="AI128" i="5"/>
  <c r="AI315" i="5"/>
  <c r="AI292" i="5"/>
  <c r="AH365" i="5"/>
  <c r="AH242" i="5"/>
  <c r="AI472" i="5"/>
  <c r="AH542" i="5"/>
  <c r="AH257" i="5"/>
  <c r="AI314" i="5"/>
  <c r="AI552" i="5"/>
  <c r="AI544" i="5"/>
  <c r="AP531" i="5"/>
  <c r="AR531" i="5" s="1"/>
  <c r="AP347" i="5"/>
  <c r="AR347" i="5" s="1"/>
  <c r="AP135" i="5"/>
  <c r="BI135" i="5" s="1"/>
  <c r="AP448" i="5"/>
  <c r="BI448" i="5" s="1"/>
  <c r="AP111" i="5"/>
  <c r="AR111" i="5" s="1"/>
  <c r="AP367" i="5"/>
  <c r="AR367" i="5" s="1"/>
  <c r="AP444" i="5"/>
  <c r="BI444" i="5" s="1"/>
  <c r="AP548" i="5"/>
  <c r="BI548" i="5" s="1"/>
  <c r="AP173" i="5"/>
  <c r="BI173" i="5" s="1"/>
  <c r="AP300" i="5"/>
  <c r="BI300" i="5" s="1"/>
  <c r="AP210" i="5"/>
  <c r="BI210" i="5" s="1"/>
  <c r="AP129" i="5"/>
  <c r="BI129" i="5" s="1"/>
  <c r="AP24" i="5"/>
  <c r="BI24" i="5" s="1"/>
  <c r="AP21" i="5"/>
  <c r="BI21" i="5" s="1"/>
  <c r="AP291" i="5"/>
  <c r="BI291" i="5" s="1"/>
  <c r="AP355" i="5"/>
  <c r="BI355" i="5" s="1"/>
  <c r="AP547" i="5"/>
  <c r="BI547" i="5" s="1"/>
  <c r="AP555" i="5"/>
  <c r="AQ555" i="5" s="1"/>
  <c r="AP140" i="5"/>
  <c r="BI140" i="5" s="1"/>
  <c r="AP252" i="5"/>
  <c r="BI252" i="5" s="1"/>
  <c r="AP431" i="5"/>
  <c r="AR431" i="5" s="1"/>
  <c r="AP544" i="5"/>
  <c r="AR544" i="5" s="1"/>
  <c r="AP508" i="5"/>
  <c r="BI508" i="5" s="1"/>
  <c r="AP436" i="5"/>
  <c r="AQ436" i="5" s="1"/>
  <c r="AP50" i="5"/>
  <c r="BI50" i="5" s="1"/>
  <c r="AP166" i="5"/>
  <c r="BI166" i="5" s="1"/>
  <c r="AH460" i="5"/>
  <c r="AP362" i="5"/>
  <c r="AQ362" i="5" s="1"/>
  <c r="AI476" i="5"/>
  <c r="AI493" i="5"/>
  <c r="AI546" i="5"/>
  <c r="AI132" i="5"/>
  <c r="AH143" i="5"/>
  <c r="AH250" i="5"/>
  <c r="AH357" i="5"/>
  <c r="AI289" i="5"/>
  <c r="AI437" i="5"/>
  <c r="AI308" i="5"/>
  <c r="AI557" i="5"/>
  <c r="AI171" i="5"/>
  <c r="AI375" i="5"/>
  <c r="AI310" i="5"/>
  <c r="AH425" i="5"/>
  <c r="AH204" i="5"/>
  <c r="AH277" i="5"/>
  <c r="AH398" i="5"/>
  <c r="AI216" i="5"/>
  <c r="AH294" i="5"/>
  <c r="AI396" i="5"/>
  <c r="AH512" i="5"/>
  <c r="AI545" i="5"/>
  <c r="AH518" i="5"/>
  <c r="AI553" i="5"/>
  <c r="AI400" i="5"/>
  <c r="AI268" i="5"/>
  <c r="AI397" i="5"/>
  <c r="AH498" i="5"/>
  <c r="AI536" i="5"/>
  <c r="AH506" i="5"/>
  <c r="AP308" i="5"/>
  <c r="AQ308" i="5" s="1"/>
  <c r="AP263" i="5"/>
  <c r="AR263" i="5" s="1"/>
  <c r="AP519" i="5"/>
  <c r="BI519" i="5" s="1"/>
  <c r="AP151" i="5"/>
  <c r="AQ151" i="5" s="1"/>
  <c r="AP316" i="5"/>
  <c r="BI316" i="5" s="1"/>
  <c r="AP143" i="5"/>
  <c r="BI143" i="5" s="1"/>
  <c r="AP335" i="5"/>
  <c r="AQ335" i="5" s="1"/>
  <c r="AP216" i="5"/>
  <c r="AR216" i="5" s="1"/>
  <c r="AP237" i="5"/>
  <c r="AR237" i="5" s="1"/>
  <c r="AP357" i="5"/>
  <c r="AQ357" i="5" s="1"/>
  <c r="AP249" i="5"/>
  <c r="BI249" i="5" s="1"/>
  <c r="AP433" i="5"/>
  <c r="AR433" i="5" s="1"/>
  <c r="AP557" i="5"/>
  <c r="AR557" i="5" s="1"/>
  <c r="AP453" i="5"/>
  <c r="AQ453" i="5" s="1"/>
  <c r="AP450" i="5"/>
  <c r="AQ450" i="5" s="1"/>
  <c r="AP549" i="5"/>
  <c r="BI549" i="5" s="1"/>
  <c r="AP510" i="5"/>
  <c r="AR510" i="5" s="1"/>
  <c r="AP374" i="5"/>
  <c r="AR374" i="5" s="1"/>
  <c r="AP454" i="5"/>
  <c r="AQ454" i="5" s="1"/>
  <c r="AH362" i="5"/>
  <c r="AP68" i="5"/>
  <c r="AR68" i="5" s="1"/>
  <c r="AP132" i="5"/>
  <c r="BI132" i="5" s="1"/>
  <c r="AP171" i="5"/>
  <c r="AR171" i="5" s="1"/>
  <c r="AP392" i="5"/>
  <c r="AR392" i="5" s="1"/>
  <c r="AP400" i="5"/>
  <c r="BI400" i="5" s="1"/>
  <c r="AP460" i="5"/>
  <c r="BI460" i="5" s="1"/>
  <c r="AP536" i="5"/>
  <c r="AQ536" i="5" s="1"/>
  <c r="AP383" i="5"/>
  <c r="AR383" i="5" s="1"/>
  <c r="AP476" i="5"/>
  <c r="BI476" i="5" s="1"/>
  <c r="AP39" i="5"/>
  <c r="BI39" i="5" s="1"/>
  <c r="AP425" i="5"/>
  <c r="BI425" i="5" s="1"/>
  <c r="AP553" i="5"/>
  <c r="AQ553" i="5" s="1"/>
  <c r="AP381" i="5"/>
  <c r="AQ381" i="5" s="1"/>
  <c r="AP298" i="5"/>
  <c r="AQ298" i="5" s="1"/>
  <c r="AP554" i="5"/>
  <c r="AQ554" i="5" s="1"/>
  <c r="AP486" i="5"/>
  <c r="AQ486" i="5" s="1"/>
  <c r="AP498" i="5"/>
  <c r="BI498" i="5" s="1"/>
  <c r="AP517" i="5"/>
  <c r="AQ517" i="5" s="1"/>
  <c r="AP259" i="5"/>
  <c r="BI259" i="5" s="1"/>
  <c r="AP323" i="5"/>
  <c r="AQ323" i="5" s="1"/>
  <c r="AP203" i="5"/>
  <c r="BI203" i="5" s="1"/>
  <c r="AP103" i="5"/>
  <c r="BI103" i="5" s="1"/>
  <c r="AP375" i="5"/>
  <c r="AQ375" i="5" s="1"/>
  <c r="AP396" i="5"/>
  <c r="BI396" i="5" s="1"/>
  <c r="AP268" i="5"/>
  <c r="BI268" i="5" s="1"/>
  <c r="AP512" i="5"/>
  <c r="BI512" i="5" s="1"/>
  <c r="AP277" i="5"/>
  <c r="BI277" i="5" s="1"/>
  <c r="AP297" i="5"/>
  <c r="AQ297" i="5" s="1"/>
  <c r="AP372" i="5"/>
  <c r="BI372" i="5" s="1"/>
  <c r="AP481" i="5"/>
  <c r="AR481" i="5" s="1"/>
  <c r="AP545" i="5"/>
  <c r="AR545" i="5" s="1"/>
  <c r="AP397" i="5"/>
  <c r="BI397" i="5" s="1"/>
  <c r="AP437" i="5"/>
  <c r="AR437" i="5" s="1"/>
  <c r="AP230" i="5"/>
  <c r="BI230" i="5" s="1"/>
  <c r="AP492" i="5"/>
  <c r="AQ492" i="5" s="1"/>
  <c r="AP369" i="5"/>
  <c r="AR369" i="5" s="1"/>
  <c r="AP346" i="5"/>
  <c r="BI346" i="5" s="1"/>
  <c r="AP305" i="5"/>
  <c r="BI305" i="5" s="1"/>
  <c r="AP482" i="5"/>
  <c r="AR482" i="5" s="1"/>
  <c r="AP380" i="5"/>
  <c r="AQ380" i="5" s="1"/>
  <c r="AP128" i="5"/>
  <c r="AR128" i="5" s="1"/>
  <c r="AP73" i="5"/>
  <c r="AR73" i="5" s="1"/>
  <c r="AP529" i="5"/>
  <c r="AR529" i="5" s="1"/>
  <c r="AP130" i="5"/>
  <c r="AR130" i="5" s="1"/>
  <c r="AP202" i="5"/>
  <c r="AQ202" i="5" s="1"/>
  <c r="AP365" i="5"/>
  <c r="BI365" i="5" s="1"/>
  <c r="AP82" i="5"/>
  <c r="BI82" i="5" s="1"/>
  <c r="AP257" i="5"/>
  <c r="AR257" i="5" s="1"/>
  <c r="AP421" i="5"/>
  <c r="AQ421" i="5" s="1"/>
  <c r="AP314" i="5"/>
  <c r="BI314" i="5" s="1"/>
  <c r="AP238" i="5"/>
  <c r="AQ238" i="5" s="1"/>
  <c r="AP262" i="5"/>
  <c r="AQ262" i="5" s="1"/>
  <c r="AP246" i="5"/>
  <c r="AQ246" i="5" s="1"/>
  <c r="AP474" i="5"/>
  <c r="BI474" i="5" s="1"/>
  <c r="AH19" i="4"/>
  <c r="AH35" i="4"/>
  <c r="AH51" i="4"/>
  <c r="AH134" i="4"/>
  <c r="AH65" i="4"/>
  <c r="AH123" i="4"/>
  <c r="AH91" i="4"/>
  <c r="AH145" i="4"/>
  <c r="AH113" i="4"/>
  <c r="AH7" i="4"/>
  <c r="AH50" i="4"/>
  <c r="AH144" i="4"/>
  <c r="AH16" i="4"/>
  <c r="AH32" i="4"/>
  <c r="AH48" i="4"/>
  <c r="AH99" i="4"/>
  <c r="AH128" i="4"/>
  <c r="AH112" i="4"/>
  <c r="AH75" i="4"/>
  <c r="AH127" i="4"/>
  <c r="AH14" i="4"/>
  <c r="AH150" i="4"/>
  <c r="AH34" i="4"/>
  <c r="AH58" i="4"/>
  <c r="AH122" i="4"/>
  <c r="AH142" i="4"/>
  <c r="AH143" i="4"/>
  <c r="AH25" i="4"/>
  <c r="AH41" i="4"/>
  <c r="AH57" i="4"/>
  <c r="AH90" i="4"/>
  <c r="AH84" i="4"/>
  <c r="AH140" i="4"/>
  <c r="AH131" i="4"/>
  <c r="AH114" i="4"/>
  <c r="AH12" i="4"/>
  <c r="AH46" i="4"/>
  <c r="AH61" i="4"/>
  <c r="AH27" i="4"/>
  <c r="AH43" i="4"/>
  <c r="AH64" i="4"/>
  <c r="AH31" i="4"/>
  <c r="AH47" i="4"/>
  <c r="AH87" i="4"/>
  <c r="AH119" i="4"/>
  <c r="AH106" i="4"/>
  <c r="AH70" i="4"/>
  <c r="AH115" i="4"/>
  <c r="AH13" i="4"/>
  <c r="AH146" i="4"/>
  <c r="AH22" i="4"/>
  <c r="AH88" i="4"/>
  <c r="AH148" i="4"/>
  <c r="AH28" i="4"/>
  <c r="AH44" i="4"/>
  <c r="AH67" i="4"/>
  <c r="AH102" i="4"/>
  <c r="AH96" i="4"/>
  <c r="AH153" i="4"/>
  <c r="AH77" i="4"/>
  <c r="AH141" i="4"/>
  <c r="AH108" i="4"/>
  <c r="AH30" i="4"/>
  <c r="AH54" i="4"/>
  <c r="AH72" i="4"/>
  <c r="AH132" i="4"/>
  <c r="AH73" i="4"/>
  <c r="AH21" i="4"/>
  <c r="AH37" i="4"/>
  <c r="AH53" i="4"/>
  <c r="AH74" i="4"/>
  <c r="AH71" i="4"/>
  <c r="AH125" i="4"/>
  <c r="AH103" i="4"/>
  <c r="AH9" i="4"/>
  <c r="AH147" i="4"/>
  <c r="AH26" i="4"/>
  <c r="AH105" i="4"/>
  <c r="AH11" i="4"/>
  <c r="AH151" i="4"/>
  <c r="AH52" i="4"/>
  <c r="AH135" i="4"/>
  <c r="AH62" i="4"/>
  <c r="AH109" i="4"/>
  <c r="AH8" i="4"/>
  <c r="AH63" i="4"/>
  <c r="W125" i="4"/>
  <c r="Y125" i="4" s="1"/>
  <c r="W122" i="4"/>
  <c r="Y122" i="4" s="1"/>
  <c r="Z122" i="4" s="1"/>
  <c r="W25" i="4"/>
  <c r="Y25" i="4" s="1"/>
  <c r="Z25" i="4" s="1"/>
  <c r="W41" i="4"/>
  <c r="Y41" i="4" s="1"/>
  <c r="W49" i="4"/>
  <c r="Y49" i="4" s="1"/>
  <c r="W57" i="4"/>
  <c r="Y57" i="4" s="1"/>
  <c r="W65" i="4"/>
  <c r="Y65" i="4" s="1"/>
  <c r="Z65" i="4" s="1"/>
  <c r="W73" i="4"/>
  <c r="Y73" i="4" s="1"/>
  <c r="Z73" i="4" s="1"/>
  <c r="W81" i="4"/>
  <c r="Y81" i="4" s="1"/>
  <c r="W89" i="4"/>
  <c r="Y89" i="4" s="1"/>
  <c r="W97" i="4"/>
  <c r="Y97" i="4" s="1"/>
  <c r="W105" i="4"/>
  <c r="Y105" i="4" s="1"/>
  <c r="W113" i="4"/>
  <c r="Y113" i="4" s="1"/>
  <c r="W121" i="4"/>
  <c r="Y121" i="4" s="1"/>
  <c r="W129" i="4"/>
  <c r="Y129" i="4" s="1"/>
  <c r="W137" i="4"/>
  <c r="Y137" i="4" s="1"/>
  <c r="W145" i="4"/>
  <c r="Y145" i="4" s="1"/>
  <c r="W153" i="4"/>
  <c r="Y153" i="4" s="1"/>
  <c r="W11" i="4"/>
  <c r="Y11" i="4" s="1"/>
  <c r="Z11" i="4" s="1"/>
  <c r="W26" i="4"/>
  <c r="Y26" i="4" s="1"/>
  <c r="W54" i="4"/>
  <c r="Y54" i="4" s="1"/>
  <c r="W86" i="4"/>
  <c r="Y86" i="4" s="1"/>
  <c r="Z86" i="4" s="1"/>
  <c r="W150" i="4"/>
  <c r="Y150" i="4" s="1"/>
  <c r="Z150" i="4" s="1"/>
  <c r="W27" i="4"/>
  <c r="Y27" i="4" s="1"/>
  <c r="Z27" i="4" s="1"/>
  <c r="W52" i="4"/>
  <c r="Y52" i="4" s="1"/>
  <c r="W84" i="4"/>
  <c r="Y84" i="4" s="1"/>
  <c r="W24" i="4"/>
  <c r="Y24" i="4" s="1"/>
  <c r="Z24" i="4" s="1"/>
  <c r="W42" i="4"/>
  <c r="Y42" i="4" s="1"/>
  <c r="W74" i="4"/>
  <c r="Y74" i="4" s="1"/>
  <c r="W106" i="4"/>
  <c r="Y106" i="4" s="1"/>
  <c r="Z106" i="4" s="1"/>
  <c r="W15" i="4"/>
  <c r="Y15" i="4" s="1"/>
  <c r="Z15" i="4" s="1"/>
  <c r="W36" i="4"/>
  <c r="Y36" i="4" s="1"/>
  <c r="Z36" i="4" s="1"/>
  <c r="W72" i="4"/>
  <c r="Y72" i="4" s="1"/>
  <c r="Z72" i="4" s="1"/>
  <c r="W104" i="4"/>
  <c r="Y104" i="4" s="1"/>
  <c r="Z104" i="4" s="1"/>
  <c r="AH121" i="4"/>
  <c r="AH49" i="4"/>
  <c r="AH98" i="4"/>
  <c r="AH66" i="4"/>
  <c r="AH83" i="4"/>
  <c r="AH100" i="4"/>
  <c r="AH55" i="4"/>
  <c r="AH15" i="4"/>
  <c r="AH56" i="4"/>
  <c r="AH130" i="4"/>
  <c r="AH104" i="4"/>
  <c r="AH156" i="4"/>
  <c r="AH129" i="4"/>
  <c r="AH10" i="4"/>
  <c r="W118" i="4"/>
  <c r="Y118" i="4" s="1"/>
  <c r="W116" i="4"/>
  <c r="Y116" i="4" s="1"/>
  <c r="W148" i="4"/>
  <c r="Y148" i="4" s="1"/>
  <c r="W136" i="4"/>
  <c r="Y136" i="4" s="1"/>
  <c r="AH69" i="4"/>
  <c r="AH116" i="4"/>
  <c r="AH79" i="4"/>
  <c r="AH139" i="4"/>
  <c r="AH120" i="4"/>
  <c r="AH126" i="4"/>
  <c r="AH133" i="4"/>
  <c r="AH68" i="4"/>
  <c r="AH117" i="4"/>
  <c r="AH36" i="4"/>
  <c r="AH80" i="4"/>
  <c r="AH107" i="4"/>
  <c r="AH33" i="4"/>
  <c r="AH78" i="4"/>
  <c r="AH118" i="4"/>
  <c r="AH23" i="4"/>
  <c r="AH111" i="4"/>
  <c r="AH85" i="4"/>
  <c r="AH97" i="4"/>
  <c r="W30" i="4"/>
  <c r="Y30" i="4" s="1"/>
  <c r="Z30" i="4" s="1"/>
  <c r="W43" i="4"/>
  <c r="Y43" i="4" s="1"/>
  <c r="W51" i="4"/>
  <c r="Y51" i="4" s="1"/>
  <c r="W59" i="4"/>
  <c r="Y59" i="4" s="1"/>
  <c r="Z59" i="4" s="1"/>
  <c r="W67" i="4"/>
  <c r="Y67" i="4" s="1"/>
  <c r="W75" i="4"/>
  <c r="Y75" i="4" s="1"/>
  <c r="W83" i="4"/>
  <c r="Y83" i="4" s="1"/>
  <c r="Z83" i="4" s="1"/>
  <c r="W91" i="4"/>
  <c r="Y91" i="4" s="1"/>
  <c r="Z91" i="4" s="1"/>
  <c r="W99" i="4"/>
  <c r="Y99" i="4" s="1"/>
  <c r="Z99" i="4" s="1"/>
  <c r="W107" i="4"/>
  <c r="Y107" i="4" s="1"/>
  <c r="Z107" i="4" s="1"/>
  <c r="W115" i="4"/>
  <c r="Y115" i="4" s="1"/>
  <c r="Z115" i="4" s="1"/>
  <c r="W123" i="4"/>
  <c r="Y123" i="4" s="1"/>
  <c r="Z123" i="4" s="1"/>
  <c r="W131" i="4"/>
  <c r="Y131" i="4" s="1"/>
  <c r="Z131" i="4" s="1"/>
  <c r="W139" i="4"/>
  <c r="Y139" i="4" s="1"/>
  <c r="Z139" i="4" s="1"/>
  <c r="W147" i="4"/>
  <c r="Y147" i="4" s="1"/>
  <c r="W155" i="4"/>
  <c r="Y155" i="4" s="1"/>
  <c r="Z155" i="4" s="1"/>
  <c r="W13" i="4"/>
  <c r="Y13" i="4" s="1"/>
  <c r="Z13" i="4" s="1"/>
  <c r="W37" i="4"/>
  <c r="Y37" i="4" s="1"/>
  <c r="Z37" i="4" s="1"/>
  <c r="W62" i="4"/>
  <c r="Y62" i="4" s="1"/>
  <c r="W94" i="4"/>
  <c r="Y94" i="4" s="1"/>
  <c r="Z94" i="4" s="1"/>
  <c r="W8" i="4"/>
  <c r="Y8" i="4" s="1"/>
  <c r="Z8" i="4" s="1"/>
  <c r="W31" i="4"/>
  <c r="Y31" i="4" s="1"/>
  <c r="Z31" i="4" s="1"/>
  <c r="W60" i="4"/>
  <c r="Y60" i="4" s="1"/>
  <c r="Z60" i="4" s="1"/>
  <c r="W92" i="4"/>
  <c r="Y92" i="4" s="1"/>
  <c r="Z92" i="4" s="1"/>
  <c r="W124" i="4"/>
  <c r="Y124" i="4" s="1"/>
  <c r="W156" i="4"/>
  <c r="Y156" i="4" s="1"/>
  <c r="Z156" i="4" s="1"/>
  <c r="W28" i="4"/>
  <c r="Y28" i="4" s="1"/>
  <c r="Z28" i="4" s="1"/>
  <c r="W50" i="4"/>
  <c r="Y50" i="4" s="1"/>
  <c r="W82" i="4"/>
  <c r="Y82" i="4" s="1"/>
  <c r="Z82" i="4" s="1"/>
  <c r="W114" i="4"/>
  <c r="Y114" i="4" s="1"/>
  <c r="Z114" i="4" s="1"/>
  <c r="W146" i="4"/>
  <c r="Y146" i="4" s="1"/>
  <c r="Z146" i="4" s="1"/>
  <c r="W18" i="4"/>
  <c r="W48" i="4"/>
  <c r="Y48" i="4" s="1"/>
  <c r="W80" i="4"/>
  <c r="Y80" i="4" s="1"/>
  <c r="Z80" i="4" s="1"/>
  <c r="W112" i="4"/>
  <c r="Y112" i="4" s="1"/>
  <c r="W144" i="4"/>
  <c r="Y144" i="4" s="1"/>
  <c r="W17" i="4"/>
  <c r="Y17" i="4" s="1"/>
  <c r="Z17" i="4" s="1"/>
  <c r="W33" i="4"/>
  <c r="Y33" i="4" s="1"/>
  <c r="Z33" i="4" s="1"/>
  <c r="W45" i="4"/>
  <c r="Y45" i="4" s="1"/>
  <c r="Z45" i="4" s="1"/>
  <c r="W53" i="4"/>
  <c r="W61" i="4"/>
  <c r="W69" i="4"/>
  <c r="W77" i="4"/>
  <c r="W85" i="4"/>
  <c r="W93" i="4"/>
  <c r="W101" i="4"/>
  <c r="W109" i="4"/>
  <c r="Y109" i="4" s="1"/>
  <c r="W117" i="4"/>
  <c r="Y117" i="4" s="1"/>
  <c r="W133" i="4"/>
  <c r="Y133" i="4" s="1"/>
  <c r="W141" i="4"/>
  <c r="W149" i="4"/>
  <c r="W157" i="4"/>
  <c r="W19" i="4"/>
  <c r="W40" i="4"/>
  <c r="W70" i="4"/>
  <c r="W102" i="4"/>
  <c r="Y102" i="4" s="1"/>
  <c r="W134" i="4"/>
  <c r="W16" i="4"/>
  <c r="W34" i="4"/>
  <c r="Y34" i="4" s="1"/>
  <c r="Z34" i="4" s="1"/>
  <c r="W68" i="4"/>
  <c r="W100" i="4"/>
  <c r="W132" i="4"/>
  <c r="W14" i="4"/>
  <c r="Y14" i="4" s="1"/>
  <c r="Z14" i="4" s="1"/>
  <c r="X14" i="4" s="1"/>
  <c r="W35" i="4"/>
  <c r="Y35" i="4" s="1"/>
  <c r="W58" i="4"/>
  <c r="W90" i="4"/>
  <c r="W154" i="4"/>
  <c r="Y154" i="4" s="1"/>
  <c r="Z154" i="4" s="1"/>
  <c r="W29" i="4"/>
  <c r="Y29" i="4" s="1"/>
  <c r="Z29" i="4" s="1"/>
  <c r="W56" i="4"/>
  <c r="W88" i="4"/>
  <c r="Y88" i="4" s="1"/>
  <c r="W152" i="4"/>
  <c r="W22" i="4"/>
  <c r="W38" i="4"/>
  <c r="W47" i="4"/>
  <c r="W55" i="4"/>
  <c r="W63" i="4"/>
  <c r="W71" i="4"/>
  <c r="W79" i="4"/>
  <c r="W87" i="4"/>
  <c r="W95" i="4"/>
  <c r="W103" i="4"/>
  <c r="W111" i="4"/>
  <c r="W127" i="4"/>
  <c r="W9" i="4"/>
  <c r="W23" i="4"/>
  <c r="W46" i="4"/>
  <c r="W78" i="4"/>
  <c r="W110" i="4"/>
  <c r="W142" i="4"/>
  <c r="W20" i="4"/>
  <c r="W44" i="4"/>
  <c r="W76" i="4"/>
  <c r="W108" i="4"/>
  <c r="W21" i="4"/>
  <c r="W39" i="4"/>
  <c r="W66" i="4"/>
  <c r="W98" i="4"/>
  <c r="W130" i="4"/>
  <c r="W12" i="4"/>
  <c r="W32" i="4"/>
  <c r="W64" i="4"/>
  <c r="W96" i="4"/>
  <c r="W128" i="4"/>
  <c r="W10" i="4"/>
  <c r="W7" i="4"/>
  <c r="AE7" i="4" s="1"/>
  <c r="W138" i="4"/>
  <c r="AH18" i="4"/>
  <c r="AH157" i="4"/>
  <c r="AH76" i="4"/>
  <c r="AH124" i="4"/>
  <c r="AH39" i="4"/>
  <c r="AH149" i="4"/>
  <c r="AH155" i="4"/>
  <c r="AH95" i="4"/>
  <c r="AH29" i="4"/>
  <c r="AH81" i="4"/>
  <c r="AH42" i="4"/>
  <c r="AH40" i="4"/>
  <c r="AH93" i="4"/>
  <c r="AH152" i="4"/>
  <c r="AH17" i="4"/>
  <c r="AH38" i="4"/>
  <c r="AH20" i="4"/>
  <c r="AH101" i="4"/>
  <c r="AH82" i="4"/>
  <c r="AH45" i="4"/>
  <c r="AH94" i="4"/>
  <c r="AH154" i="4"/>
  <c r="W126" i="4"/>
  <c r="W120" i="4"/>
  <c r="W119" i="4"/>
  <c r="W135" i="4"/>
  <c r="W143" i="4"/>
  <c r="W151" i="4"/>
  <c r="W140" i="4"/>
  <c r="W7" i="5"/>
  <c r="Y7" i="5" s="1"/>
  <c r="B187" i="2"/>
  <c r="B181" i="2"/>
  <c r="B201" i="2" s="1"/>
  <c r="Q7" i="5"/>
  <c r="AH349" i="5"/>
  <c r="AI349" i="5"/>
  <c r="AI131" i="5"/>
  <c r="AH131" i="5"/>
  <c r="AH487" i="5"/>
  <c r="AI487" i="5"/>
  <c r="AH153" i="5"/>
  <c r="AI153" i="5"/>
  <c r="AH333" i="5"/>
  <c r="AI333" i="5"/>
  <c r="AI550" i="5"/>
  <c r="AH550" i="5"/>
  <c r="AI478" i="5"/>
  <c r="AH478" i="5"/>
  <c r="AH245" i="5"/>
  <c r="AI245" i="5"/>
  <c r="AI470" i="5"/>
  <c r="AH470" i="5"/>
  <c r="AH235" i="5"/>
  <c r="AI235" i="5"/>
  <c r="AI119" i="5"/>
  <c r="AH119" i="5"/>
  <c r="AH322" i="5"/>
  <c r="AI322" i="5"/>
  <c r="AI356" i="5"/>
  <c r="AH356" i="5"/>
  <c r="AH94" i="5"/>
  <c r="AI94" i="5"/>
  <c r="AH176" i="5"/>
  <c r="AI176" i="5"/>
  <c r="AH116" i="5"/>
  <c r="AI116" i="5"/>
  <c r="AI7" i="5"/>
  <c r="AH7" i="5"/>
  <c r="AH377" i="5"/>
  <c r="AI377" i="5"/>
  <c r="AH248" i="5"/>
  <c r="AI248" i="5"/>
  <c r="AH366" i="5"/>
  <c r="AI366" i="5"/>
  <c r="AI161" i="5"/>
  <c r="AH161" i="5"/>
  <c r="AH43" i="5"/>
  <c r="AI43" i="5"/>
  <c r="AH66" i="5"/>
  <c r="AI66" i="5"/>
  <c r="AI87" i="5"/>
  <c r="AH87" i="5"/>
  <c r="AH105" i="5"/>
  <c r="AI105" i="5"/>
  <c r="AP105" i="5"/>
  <c r="AQ105" i="5" s="1"/>
  <c r="AH499" i="5"/>
  <c r="AI499" i="5"/>
  <c r="AH269" i="5"/>
  <c r="AI288" i="5"/>
  <c r="AH523" i="5"/>
  <c r="AH70" i="5"/>
  <c r="AH104" i="5"/>
  <c r="AI325" i="5"/>
  <c r="AI405" i="5"/>
  <c r="AI290" i="5"/>
  <c r="AI432" i="5"/>
  <c r="U10" i="5"/>
  <c r="V10" i="5"/>
  <c r="B58" i="2"/>
  <c r="H42" i="1"/>
  <c r="AI271" i="5"/>
  <c r="AH271" i="5"/>
  <c r="AI495" i="5"/>
  <c r="AH495" i="5"/>
  <c r="AH501" i="5"/>
  <c r="AI501" i="5"/>
  <c r="AI332" i="5"/>
  <c r="AH332" i="5"/>
  <c r="AI343" i="5"/>
  <c r="AH343" i="5"/>
  <c r="AH19" i="5"/>
  <c r="AI19" i="5"/>
  <c r="AI276" i="5"/>
  <c r="AH276" i="5"/>
  <c r="AH214" i="5"/>
  <c r="AI214" i="5"/>
  <c r="AH441" i="5"/>
  <c r="AI441" i="5"/>
  <c r="AH304" i="5"/>
  <c r="AI304" i="5"/>
  <c r="AI123" i="5"/>
  <c r="AH123" i="5"/>
  <c r="AH528" i="5"/>
  <c r="AI528" i="5"/>
  <c r="AI502" i="5"/>
  <c r="AH502" i="5"/>
  <c r="AH295" i="5"/>
  <c r="AI295" i="5"/>
  <c r="AH353" i="5"/>
  <c r="AP353" i="5"/>
  <c r="BI353" i="5" s="1"/>
  <c r="AI353" i="5"/>
  <c r="AH358" i="5"/>
  <c r="AI358" i="5"/>
  <c r="AH345" i="5"/>
  <c r="AI345" i="5"/>
  <c r="AH138" i="5"/>
  <c r="AI138" i="5"/>
  <c r="AI244" i="5"/>
  <c r="AH244" i="5"/>
  <c r="AH420" i="5"/>
  <c r="AI420" i="5"/>
  <c r="AH236" i="5"/>
  <c r="AI236" i="5"/>
  <c r="AH283" i="5"/>
  <c r="AI283" i="5"/>
  <c r="AH197" i="5"/>
  <c r="AI197" i="5"/>
  <c r="AI92" i="5"/>
  <c r="AH92" i="5"/>
  <c r="AI115" i="5"/>
  <c r="AH115" i="5"/>
  <c r="AH59" i="5"/>
  <c r="AI59" i="5"/>
  <c r="AH489" i="5"/>
  <c r="AP489" i="5"/>
  <c r="AQ489" i="5" s="1"/>
  <c r="AI489" i="5"/>
  <c r="AH426" i="5"/>
  <c r="AI426" i="5"/>
  <c r="AH201" i="5"/>
  <c r="AI201" i="5"/>
  <c r="AH183" i="5"/>
  <c r="AI183" i="5"/>
  <c r="AH122" i="5"/>
  <c r="AI122" i="5"/>
  <c r="AH23" i="5"/>
  <c r="AI23" i="5"/>
  <c r="AI438" i="5"/>
  <c r="AH438" i="5"/>
  <c r="AH231" i="5"/>
  <c r="AI464" i="5"/>
  <c r="AI539" i="5"/>
  <c r="AH44" i="5"/>
  <c r="AI95" i="5"/>
  <c r="AI198" i="5"/>
  <c r="AI423" i="5"/>
  <c r="AI328" i="5"/>
  <c r="AH401" i="5"/>
  <c r="AH484" i="5"/>
  <c r="AH46" i="5"/>
  <c r="AI418" i="5"/>
  <c r="AI20" i="5"/>
  <c r="AI327" i="5"/>
  <c r="AI428" i="5"/>
  <c r="AH33" i="5"/>
  <c r="AI33" i="5"/>
  <c r="AI264" i="5"/>
  <c r="AH264" i="5"/>
  <c r="AI540" i="5"/>
  <c r="AH540" i="5"/>
  <c r="AH534" i="5"/>
  <c r="AI534" i="5"/>
  <c r="AI422" i="5"/>
  <c r="AH422" i="5"/>
  <c r="AI457" i="5"/>
  <c r="AH457" i="5"/>
  <c r="AH344" i="5"/>
  <c r="AI344" i="5"/>
  <c r="AH462" i="5"/>
  <c r="AP462" i="5"/>
  <c r="AQ462" i="5" s="1"/>
  <c r="AP514" i="5"/>
  <c r="AQ514" i="5" s="1"/>
  <c r="AI514" i="5"/>
  <c r="AI194" i="5"/>
  <c r="AH194" i="5"/>
  <c r="AI215" i="5"/>
  <c r="AH215" i="5"/>
  <c r="AI530" i="5"/>
  <c r="AH530" i="5"/>
  <c r="AI376" i="5"/>
  <c r="AH376" i="5"/>
  <c r="AI281" i="5"/>
  <c r="AH281" i="5"/>
  <c r="AH224" i="5"/>
  <c r="AI224" i="5"/>
  <c r="AI483" i="5"/>
  <c r="AH483" i="5"/>
  <c r="AH370" i="5"/>
  <c r="AI370" i="5"/>
  <c r="AH429" i="5"/>
  <c r="AI429" i="5"/>
  <c r="AH247" i="5"/>
  <c r="AI247" i="5"/>
  <c r="AI142" i="5"/>
  <c r="AH142" i="5"/>
  <c r="AH170" i="5"/>
  <c r="AI170" i="5"/>
  <c r="AH188" i="5"/>
  <c r="AI188" i="5"/>
  <c r="AH38" i="5"/>
  <c r="AI38" i="5"/>
  <c r="AI443" i="5"/>
  <c r="AH443" i="5"/>
  <c r="AH255" i="5"/>
  <c r="AI255" i="5"/>
  <c r="AH98" i="5"/>
  <c r="AI98" i="5"/>
  <c r="AH45" i="5"/>
  <c r="AI45" i="5"/>
  <c r="AI163" i="5"/>
  <c r="AH163" i="5"/>
  <c r="AH102" i="5"/>
  <c r="AI102" i="5"/>
  <c r="AH168" i="5"/>
  <c r="AI168" i="5"/>
  <c r="AH34" i="5"/>
  <c r="AI34" i="5"/>
  <c r="AM11" i="5"/>
  <c r="AN11" i="5" s="1"/>
  <c r="AJ11" i="5"/>
  <c r="AK11" i="5" s="1"/>
  <c r="W11" i="5"/>
  <c r="X11" i="5" s="1"/>
  <c r="AZ11" i="5"/>
  <c r="BA11" i="5" s="1"/>
  <c r="AT11" i="5"/>
  <c r="T11" i="5"/>
  <c r="U11" i="5" s="1"/>
  <c r="Q11" i="5"/>
  <c r="R11" i="5" s="1"/>
  <c r="AW11" i="5"/>
  <c r="AX11" i="5" s="1"/>
  <c r="AI241" i="5"/>
  <c r="AH241" i="5"/>
  <c r="AH419" i="5"/>
  <c r="AH415" i="5"/>
  <c r="AI462" i="5"/>
  <c r="AI52" i="5"/>
  <c r="AH286" i="5"/>
  <c r="AH258" i="5"/>
  <c r="AI162" i="5"/>
  <c r="AI219" i="5"/>
  <c r="AH127" i="5"/>
  <c r="AI477" i="5"/>
  <c r="AP115" i="5"/>
  <c r="AR115" i="5" s="1"/>
  <c r="AP499" i="5"/>
  <c r="BI499" i="5" s="1"/>
  <c r="AP276" i="5"/>
  <c r="BI276" i="5" s="1"/>
  <c r="AP59" i="5"/>
  <c r="AR59" i="5" s="1"/>
  <c r="AP123" i="5"/>
  <c r="AQ123" i="5" s="1"/>
  <c r="AP443" i="5"/>
  <c r="BI443" i="5" s="1"/>
  <c r="AP92" i="5"/>
  <c r="BI92" i="5" s="1"/>
  <c r="AP163" i="5"/>
  <c r="AR163" i="5" s="1"/>
  <c r="AP419" i="5"/>
  <c r="AQ419" i="5" s="1"/>
  <c r="AP483" i="5"/>
  <c r="AQ483" i="5" s="1"/>
  <c r="AP43" i="5"/>
  <c r="BI43" i="5" s="1"/>
  <c r="AP235" i="5"/>
  <c r="BI235" i="5" s="1"/>
  <c r="AP19" i="5"/>
  <c r="BI19" i="5" s="1"/>
  <c r="AP295" i="5"/>
  <c r="BI295" i="5" s="1"/>
  <c r="AP423" i="5"/>
  <c r="AR423" i="5" s="1"/>
  <c r="AP328" i="5"/>
  <c r="BI328" i="5" s="1"/>
  <c r="AP183" i="5"/>
  <c r="BI183" i="5" s="1"/>
  <c r="AP464" i="5"/>
  <c r="AQ464" i="5" s="1"/>
  <c r="AP95" i="5"/>
  <c r="BI95" i="5" s="1"/>
  <c r="AP332" i="5"/>
  <c r="AR332" i="5" s="1"/>
  <c r="AP34" i="5"/>
  <c r="AQ34" i="5" s="1"/>
  <c r="AP176" i="5"/>
  <c r="AR176" i="5" s="1"/>
  <c r="AP420" i="5"/>
  <c r="BI420" i="5" s="1"/>
  <c r="AP23" i="5"/>
  <c r="AR23" i="5" s="1"/>
  <c r="AP245" i="5"/>
  <c r="AQ245" i="5" s="1"/>
  <c r="AP142" i="5"/>
  <c r="AQ142" i="5" s="1"/>
  <c r="AP153" i="5"/>
  <c r="AR153" i="5" s="1"/>
  <c r="AP281" i="5"/>
  <c r="AQ281" i="5" s="1"/>
  <c r="AP102" i="5"/>
  <c r="BI102" i="5" s="1"/>
  <c r="AP98" i="5"/>
  <c r="BI98" i="5" s="1"/>
  <c r="AP162" i="5"/>
  <c r="BI162" i="5" s="1"/>
  <c r="AP533" i="5"/>
  <c r="BI533" i="5" s="1"/>
  <c r="AP426" i="5"/>
  <c r="AQ426" i="5" s="1"/>
  <c r="AP198" i="5"/>
  <c r="AQ198" i="5" s="1"/>
  <c r="AP422" i="5"/>
  <c r="AQ422" i="5" s="1"/>
  <c r="AP286" i="5"/>
  <c r="BI286" i="5" s="1"/>
  <c r="AP327" i="5"/>
  <c r="AQ327" i="5" s="1"/>
  <c r="AP168" i="5"/>
  <c r="AR168" i="5" s="1"/>
  <c r="AP264" i="5"/>
  <c r="AR264" i="5" s="1"/>
  <c r="AP344" i="5"/>
  <c r="AR344" i="5" s="1"/>
  <c r="AP87" i="5"/>
  <c r="BI87" i="5" s="1"/>
  <c r="AP215" i="5"/>
  <c r="BI215" i="5" s="1"/>
  <c r="AP343" i="5"/>
  <c r="BI343" i="5" s="1"/>
  <c r="AP415" i="5"/>
  <c r="AQ415" i="5" s="1"/>
  <c r="AP224" i="5"/>
  <c r="BI224" i="5" s="1"/>
  <c r="AP484" i="5"/>
  <c r="AR484" i="5" s="1"/>
  <c r="AP269" i="5"/>
  <c r="BI269" i="5" s="1"/>
  <c r="AP333" i="5"/>
  <c r="BI333" i="5" s="1"/>
  <c r="AP197" i="5"/>
  <c r="BI197" i="5" s="1"/>
  <c r="AP325" i="5"/>
  <c r="BI325" i="5" s="1"/>
  <c r="AP377" i="5"/>
  <c r="AR377" i="5" s="1"/>
  <c r="AP441" i="5"/>
  <c r="AQ441" i="5" s="1"/>
  <c r="AP94" i="5"/>
  <c r="AR94" i="5" s="1"/>
  <c r="AP401" i="5"/>
  <c r="AQ401" i="5" s="1"/>
  <c r="AP161" i="5"/>
  <c r="AR161" i="5" s="1"/>
  <c r="AP290" i="5"/>
  <c r="BI290" i="5" s="1"/>
  <c r="AP418" i="5"/>
  <c r="AR418" i="5" s="1"/>
  <c r="AP138" i="5"/>
  <c r="BI138" i="5" s="1"/>
  <c r="AP366" i="5"/>
  <c r="BI366" i="5" s="1"/>
  <c r="AP478" i="5"/>
  <c r="BI478" i="5" s="1"/>
  <c r="AP438" i="5"/>
  <c r="BI438" i="5" s="1"/>
  <c r="AP534" i="5"/>
  <c r="BI534" i="5" s="1"/>
  <c r="AP33" i="5"/>
  <c r="AQ33" i="5" s="1"/>
  <c r="AP131" i="5"/>
  <c r="AR131" i="5" s="1"/>
  <c r="AP38" i="5"/>
  <c r="AQ38" i="5" s="1"/>
  <c r="AP523" i="5"/>
  <c r="AR523" i="5" s="1"/>
  <c r="AP44" i="5"/>
  <c r="AR44" i="5" s="1"/>
  <c r="AP231" i="5"/>
  <c r="AQ231" i="5" s="1"/>
  <c r="AP359" i="5"/>
  <c r="BI359" i="5" s="1"/>
  <c r="AP487" i="5"/>
  <c r="AQ487" i="5" s="1"/>
  <c r="AP119" i="5"/>
  <c r="AQ119" i="5" s="1"/>
  <c r="AP247" i="5"/>
  <c r="BI247" i="5" s="1"/>
  <c r="AP432" i="5"/>
  <c r="AQ432" i="5" s="1"/>
  <c r="AP127" i="5"/>
  <c r="BI127" i="5" s="1"/>
  <c r="AP255" i="5"/>
  <c r="BI255" i="5" s="1"/>
  <c r="AP248" i="5"/>
  <c r="AQ248" i="5" s="1"/>
  <c r="AP271" i="5"/>
  <c r="AQ271" i="5" s="1"/>
  <c r="AP160" i="5"/>
  <c r="AQ160" i="5" s="1"/>
  <c r="AP349" i="5"/>
  <c r="BI349" i="5" s="1"/>
  <c r="AP236" i="5"/>
  <c r="AQ236" i="5" s="1"/>
  <c r="AP540" i="5"/>
  <c r="AQ540" i="5" s="1"/>
  <c r="AP457" i="5"/>
  <c r="AR457" i="5" s="1"/>
  <c r="AP521" i="5"/>
  <c r="AQ521" i="5" s="1"/>
  <c r="AP46" i="5"/>
  <c r="AQ46" i="5" s="1"/>
  <c r="AP345" i="5"/>
  <c r="AQ345" i="5" s="1"/>
  <c r="AP70" i="5"/>
  <c r="AQ70" i="5" s="1"/>
  <c r="AP194" i="5"/>
  <c r="AR194" i="5" s="1"/>
  <c r="AP370" i="5"/>
  <c r="BI370" i="5" s="1"/>
  <c r="AP405" i="5"/>
  <c r="AR405" i="5" s="1"/>
  <c r="AP122" i="5"/>
  <c r="AR122" i="5" s="1"/>
  <c r="AP398" i="5"/>
  <c r="AR398" i="5" s="1"/>
  <c r="AP494" i="5"/>
  <c r="AR494" i="5" s="1"/>
  <c r="AP310" i="5"/>
  <c r="AQ310" i="5" s="1"/>
  <c r="AP470" i="5"/>
  <c r="AQ470" i="5" s="1"/>
  <c r="AP550" i="5"/>
  <c r="AQ550" i="5" s="1"/>
  <c r="AP502" i="5"/>
  <c r="BI502" i="5" s="1"/>
  <c r="AP406" i="5"/>
  <c r="AQ406" i="5" s="1"/>
  <c r="AP490" i="5"/>
  <c r="BI490" i="5" s="1"/>
  <c r="AP537" i="5"/>
  <c r="AR537" i="5" s="1"/>
  <c r="AP417" i="5"/>
  <c r="AQ417" i="5" s="1"/>
  <c r="AH490" i="5"/>
  <c r="AH537" i="5"/>
  <c r="AP86" i="5"/>
  <c r="AQ86" i="5" s="1"/>
  <c r="AI54" i="5"/>
  <c r="AI86" i="5"/>
  <c r="AI417" i="5"/>
  <c r="AH465" i="5"/>
  <c r="AH348" i="5"/>
  <c r="AI200" i="5"/>
  <c r="AI371" i="5"/>
  <c r="AI452" i="5"/>
  <c r="AI497" i="5"/>
  <c r="AH548" i="5"/>
  <c r="AP348" i="5"/>
  <c r="BI348" i="5" s="1"/>
  <c r="AP390" i="5"/>
  <c r="BI390" i="5" s="1"/>
  <c r="AP497" i="5"/>
  <c r="BI497" i="5" s="1"/>
  <c r="AP179" i="5"/>
  <c r="BI179" i="5" s="1"/>
  <c r="AP371" i="5"/>
  <c r="BI371" i="5" s="1"/>
  <c r="AP511" i="5"/>
  <c r="BI511" i="5" s="1"/>
  <c r="AP543" i="5"/>
  <c r="BI543" i="5" s="1"/>
  <c r="AP452" i="5"/>
  <c r="AQ452" i="5" s="1"/>
  <c r="AP261" i="5"/>
  <c r="AQ261" i="5" s="1"/>
  <c r="AP465" i="5"/>
  <c r="AR465" i="5" s="1"/>
  <c r="AP54" i="5"/>
  <c r="AQ54" i="5" s="1"/>
  <c r="AP211" i="5"/>
  <c r="AR211" i="5" s="1"/>
  <c r="AP287" i="5"/>
  <c r="BI287" i="5" s="1"/>
  <c r="BB10" i="5"/>
  <c r="H32" i="1"/>
  <c r="B63" i="2"/>
  <c r="B66" i="2"/>
  <c r="B80" i="2"/>
  <c r="R10" i="5"/>
  <c r="BC10" i="5"/>
  <c r="BD10" i="5" s="1"/>
  <c r="AJ9" i="5"/>
  <c r="AK9" i="5" s="1"/>
  <c r="AY10" i="5"/>
  <c r="B38" i="2"/>
  <c r="H21" i="1" s="1"/>
  <c r="AG9" i="5"/>
  <c r="AP10" i="5"/>
  <c r="AQ10" i="5" s="1"/>
  <c r="BI108" i="5"/>
  <c r="AQ108" i="5"/>
  <c r="AR108" i="5"/>
  <c r="BI469" i="5"/>
  <c r="AQ469" i="5"/>
  <c r="AR469" i="5"/>
  <c r="BI12" i="5"/>
  <c r="AR12" i="5"/>
  <c r="AQ12" i="5"/>
  <c r="AQ52" i="5"/>
  <c r="BI52" i="5"/>
  <c r="AR52" i="5"/>
  <c r="BI217" i="5"/>
  <c r="AQ217" i="5"/>
  <c r="AR217" i="5"/>
  <c r="AN10" i="5"/>
  <c r="AO10" i="5"/>
  <c r="BI339" i="5"/>
  <c r="AQ339" i="5"/>
  <c r="AR339" i="5"/>
  <c r="BI188" i="5"/>
  <c r="AQ188" i="5"/>
  <c r="AR188" i="5"/>
  <c r="BI225" i="5"/>
  <c r="AR225" i="5"/>
  <c r="AQ225" i="5"/>
  <c r="BI20" i="5"/>
  <c r="AQ20" i="5"/>
  <c r="AR20" i="5"/>
  <c r="BI47" i="5"/>
  <c r="AQ47" i="5"/>
  <c r="AR47" i="5"/>
  <c r="BI240" i="5"/>
  <c r="AQ240" i="5"/>
  <c r="AR240" i="5"/>
  <c r="AQ169" i="5"/>
  <c r="BI169" i="5"/>
  <c r="AR169" i="5"/>
  <c r="BI233" i="5"/>
  <c r="AR233" i="5"/>
  <c r="AQ233" i="5"/>
  <c r="BI167" i="5"/>
  <c r="AR167" i="5"/>
  <c r="AQ167" i="5"/>
  <c r="AH10" i="5"/>
  <c r="AI10" i="5"/>
  <c r="BI204" i="5"/>
  <c r="AQ204" i="5"/>
  <c r="AR204" i="5"/>
  <c r="BI256" i="5"/>
  <c r="AR256" i="5"/>
  <c r="AQ256" i="5"/>
  <c r="AR170" i="5"/>
  <c r="BI170" i="5"/>
  <c r="AQ170" i="5"/>
  <c r="BI57" i="5"/>
  <c r="AR57" i="5"/>
  <c r="AQ57" i="5"/>
  <c r="AK10" i="5"/>
  <c r="AL10" i="5"/>
  <c r="AN9" i="5"/>
  <c r="AO9" i="5"/>
  <c r="AC19" i="5"/>
  <c r="AE19" i="5" s="1"/>
  <c r="BI515" i="5"/>
  <c r="AR515" i="5"/>
  <c r="AQ515" i="5"/>
  <c r="BI292" i="5"/>
  <c r="AR292" i="5"/>
  <c r="AQ292" i="5"/>
  <c r="BI254" i="5"/>
  <c r="AQ254" i="5"/>
  <c r="AR254" i="5"/>
  <c r="BI56" i="5"/>
  <c r="AR56" i="5"/>
  <c r="BI504" i="5"/>
  <c r="AQ504" i="5"/>
  <c r="AR504" i="5"/>
  <c r="BI27" i="5"/>
  <c r="AQ27" i="5"/>
  <c r="AR27" i="5"/>
  <c r="B227" i="2"/>
  <c r="B228" i="2" s="1"/>
  <c r="B229" i="2" s="1"/>
  <c r="B223" i="2"/>
  <c r="AC536" i="5"/>
  <c r="AD536" i="5" s="1"/>
  <c r="Y59" i="5"/>
  <c r="AA10" i="5"/>
  <c r="AB7" i="5"/>
  <c r="AA7" i="5"/>
  <c r="AC475" i="5"/>
  <c r="BF475" i="5" s="1"/>
  <c r="X434" i="5"/>
  <c r="X223" i="5"/>
  <c r="X64" i="5"/>
  <c r="X551" i="5"/>
  <c r="Y486" i="5"/>
  <c r="X525" i="5"/>
  <c r="AC447" i="5"/>
  <c r="BF447" i="5" s="1"/>
  <c r="BG447" i="5" s="1"/>
  <c r="Y154" i="5"/>
  <c r="AC238" i="5"/>
  <c r="BF238" i="5" s="1"/>
  <c r="AC376" i="5"/>
  <c r="AD376" i="5" s="1"/>
  <c r="AC537" i="5"/>
  <c r="AD537" i="5" s="1"/>
  <c r="AC468" i="5"/>
  <c r="BF468" i="5" s="1"/>
  <c r="BG468" i="5" s="1"/>
  <c r="X515" i="5"/>
  <c r="Y206" i="5"/>
  <c r="Y514" i="5"/>
  <c r="Y266" i="5"/>
  <c r="Y29" i="5"/>
  <c r="Y87" i="5"/>
  <c r="Y252" i="5"/>
  <c r="Y415" i="5"/>
  <c r="X427" i="5"/>
  <c r="Y373" i="5"/>
  <c r="Y216" i="5"/>
  <c r="Y281" i="5"/>
  <c r="X475" i="5"/>
  <c r="X448" i="5"/>
  <c r="Y380" i="5"/>
  <c r="Y396" i="5"/>
  <c r="X560" i="5"/>
  <c r="X557" i="5"/>
  <c r="Y555" i="5"/>
  <c r="Y45" i="5"/>
  <c r="X58" i="5"/>
  <c r="X310" i="5"/>
  <c r="Y337" i="5"/>
  <c r="AC515" i="5"/>
  <c r="AD515" i="5" s="1"/>
  <c r="Y200" i="5"/>
  <c r="X455" i="5"/>
  <c r="X552" i="5"/>
  <c r="Y235" i="5"/>
  <c r="X548" i="5"/>
  <c r="X152" i="5"/>
  <c r="X44" i="5"/>
  <c r="X202" i="5"/>
  <c r="Y410" i="5"/>
  <c r="X540" i="5"/>
  <c r="X125" i="5"/>
  <c r="X160" i="5"/>
  <c r="Y255" i="5"/>
  <c r="Y307" i="5"/>
  <c r="Y318" i="5"/>
  <c r="X528" i="5"/>
  <c r="X547" i="5"/>
  <c r="Y143" i="5"/>
  <c r="X315" i="5"/>
  <c r="Y268" i="5"/>
  <c r="Y343" i="5"/>
  <c r="Y376" i="5"/>
  <c r="Y353" i="5"/>
  <c r="Y365" i="5"/>
  <c r="Y72" i="5"/>
  <c r="Y134" i="5"/>
  <c r="X329" i="5"/>
  <c r="X335" i="5"/>
  <c r="Y186" i="5"/>
  <c r="X546" i="5"/>
  <c r="X27" i="5"/>
  <c r="X508" i="5"/>
  <c r="X472" i="5"/>
  <c r="Y379" i="5"/>
  <c r="AC290" i="5"/>
  <c r="BF290" i="5" s="1"/>
  <c r="AC547" i="5"/>
  <c r="AD547" i="5" s="1"/>
  <c r="AC281" i="5"/>
  <c r="BF281" i="5" s="1"/>
  <c r="AC427" i="5"/>
  <c r="AE427" i="5" s="1"/>
  <c r="AC514" i="5"/>
  <c r="AE514" i="5" s="1"/>
  <c r="AC44" i="5"/>
  <c r="AE44" i="5" s="1"/>
  <c r="Y239" i="5"/>
  <c r="Y467" i="5"/>
  <c r="Y253" i="5"/>
  <c r="Y444" i="5"/>
  <c r="X541" i="5"/>
  <c r="X488" i="5"/>
  <c r="Y440" i="5"/>
  <c r="Y531" i="5"/>
  <c r="AB257" i="5"/>
  <c r="X320" i="5"/>
  <c r="Y107" i="5"/>
  <c r="X498" i="5"/>
  <c r="X484" i="5"/>
  <c r="X115" i="5"/>
  <c r="X301" i="5"/>
  <c r="Y190" i="5"/>
  <c r="X214" i="5"/>
  <c r="X375" i="5"/>
  <c r="X559" i="5"/>
  <c r="AB536" i="5"/>
  <c r="X398" i="5"/>
  <c r="Y339" i="5"/>
  <c r="X536" i="5"/>
  <c r="Y524" i="5"/>
  <c r="Y554" i="5"/>
  <c r="Y99" i="5"/>
  <c r="Y332" i="5"/>
  <c r="Y446" i="5"/>
  <c r="AA241" i="5"/>
  <c r="AC554" i="5"/>
  <c r="AE554" i="5" s="1"/>
  <c r="X132" i="5"/>
  <c r="X243" i="5"/>
  <c r="Y346" i="5"/>
  <c r="Y236" i="5"/>
  <c r="X462" i="5"/>
  <c r="Y181" i="5"/>
  <c r="AA495" i="5"/>
  <c r="X378" i="5"/>
  <c r="Y402" i="5"/>
  <c r="X102" i="5"/>
  <c r="Y158" i="5"/>
  <c r="Y97" i="5"/>
  <c r="X194" i="5"/>
  <c r="X231" i="5"/>
  <c r="Y251" i="5"/>
  <c r="X259" i="5"/>
  <c r="Y361" i="5"/>
  <c r="Y411" i="5"/>
  <c r="X438" i="5"/>
  <c r="Y523" i="5"/>
  <c r="Y500" i="5"/>
  <c r="Y530" i="5"/>
  <c r="Y70" i="5"/>
  <c r="X305" i="5"/>
  <c r="Y407" i="5"/>
  <c r="Y430" i="5"/>
  <c r="X491" i="5"/>
  <c r="X453" i="5"/>
  <c r="Y544" i="5"/>
  <c r="X533" i="5"/>
  <c r="AC486" i="5"/>
  <c r="AD486" i="5" s="1"/>
  <c r="X128" i="5"/>
  <c r="X248" i="5"/>
  <c r="X238" i="5"/>
  <c r="Y308" i="5"/>
  <c r="X328" i="5"/>
  <c r="Y357" i="5"/>
  <c r="Y217" i="5"/>
  <c r="Y456" i="5"/>
  <c r="Y492" i="5"/>
  <c r="AB475" i="5"/>
  <c r="Y421" i="5"/>
  <c r="Y503" i="5"/>
  <c r="X451" i="5"/>
  <c r="X537" i="5"/>
  <c r="AC206" i="5"/>
  <c r="BF206" i="5" s="1"/>
  <c r="X273" i="5"/>
  <c r="X404" i="5"/>
  <c r="Y558" i="5"/>
  <c r="Y385" i="5"/>
  <c r="AB96" i="5"/>
  <c r="Y126" i="5"/>
  <c r="Y277" i="5"/>
  <c r="Y284" i="5"/>
  <c r="Y485" i="5"/>
  <c r="X35" i="5"/>
  <c r="X177" i="5"/>
  <c r="X351" i="5"/>
  <c r="X285" i="5"/>
  <c r="X535" i="5"/>
  <c r="Y502" i="5"/>
  <c r="X534" i="5"/>
  <c r="AA199" i="5"/>
  <c r="X136" i="5"/>
  <c r="Y369" i="5"/>
  <c r="Y545" i="5"/>
  <c r="X474" i="5"/>
  <c r="AB211" i="5"/>
  <c r="AB547" i="5"/>
  <c r="Y41" i="5"/>
  <c r="Y196" i="5"/>
  <c r="X370" i="5"/>
  <c r="Y371" i="5"/>
  <c r="Y487" i="5"/>
  <c r="X441" i="5"/>
  <c r="X468" i="5"/>
  <c r="X549" i="5"/>
  <c r="Y386" i="5"/>
  <c r="X481" i="5"/>
  <c r="AC310" i="5"/>
  <c r="AD310" i="5" s="1"/>
  <c r="AC411" i="5"/>
  <c r="AE411" i="5" s="1"/>
  <c r="AC455" i="5"/>
  <c r="AD455" i="5" s="1"/>
  <c r="AC462" i="5"/>
  <c r="BF462" i="5" s="1"/>
  <c r="BG462" i="5" s="1"/>
  <c r="AC345" i="5"/>
  <c r="AD345" i="5" s="1"/>
  <c r="AC395" i="5"/>
  <c r="BF395" i="5" s="1"/>
  <c r="BG395" i="5" s="1"/>
  <c r="AC493" i="5"/>
  <c r="BF493" i="5" s="1"/>
  <c r="BG493" i="5" s="1"/>
  <c r="AC35" i="5"/>
  <c r="AD35" i="5" s="1"/>
  <c r="AC560" i="5"/>
  <c r="AD560" i="5" s="1"/>
  <c r="AC186" i="5"/>
  <c r="AE186" i="5" s="1"/>
  <c r="X123" i="5"/>
  <c r="Y429" i="5"/>
  <c r="X275" i="5"/>
  <c r="X499" i="5"/>
  <c r="X43" i="5"/>
  <c r="X40" i="5"/>
  <c r="X86" i="5"/>
  <c r="X137" i="5"/>
  <c r="Y246" i="5"/>
  <c r="Y211" i="5"/>
  <c r="Y213" i="5"/>
  <c r="Y345" i="5"/>
  <c r="Y395" i="5"/>
  <c r="X364" i="5"/>
  <c r="Y490" i="5"/>
  <c r="X447" i="5"/>
  <c r="X296" i="5"/>
  <c r="AB26" i="5"/>
  <c r="AA168" i="5"/>
  <c r="AA540" i="5"/>
  <c r="X387" i="5"/>
  <c r="X470" i="5"/>
  <c r="X509" i="5"/>
  <c r="X414" i="5"/>
  <c r="Y464" i="5"/>
  <c r="Y425" i="5"/>
  <c r="AB34" i="5"/>
  <c r="AA547" i="5"/>
  <c r="AC490" i="5"/>
  <c r="AE490" i="5" s="1"/>
  <c r="X96" i="5"/>
  <c r="X227" i="5"/>
  <c r="Y265" i="5"/>
  <c r="X292" i="5"/>
  <c r="Y450" i="5"/>
  <c r="X471" i="5"/>
  <c r="X261" i="5"/>
  <c r="Y418" i="5"/>
  <c r="Y518" i="5"/>
  <c r="X428" i="5"/>
  <c r="Y389" i="5"/>
  <c r="Y454" i="5"/>
  <c r="Y556" i="5"/>
  <c r="AC57" i="5"/>
  <c r="BF57" i="5" s="1"/>
  <c r="AC556" i="5"/>
  <c r="AE556" i="5" s="1"/>
  <c r="AC58" i="5"/>
  <c r="AE58" i="5" s="1"/>
  <c r="AC226" i="5"/>
  <c r="AD226" i="5" s="1"/>
  <c r="X360" i="5"/>
  <c r="X479" i="5"/>
  <c r="Y391" i="5"/>
  <c r="X495" i="5"/>
  <c r="Y76" i="5"/>
  <c r="X31" i="5"/>
  <c r="Y119" i="5"/>
  <c r="Y229" i="5"/>
  <c r="Y354" i="5"/>
  <c r="Y460" i="5"/>
  <c r="Y439" i="5"/>
  <c r="AC414" i="5"/>
  <c r="AD414" i="5" s="1"/>
  <c r="X195" i="5"/>
  <c r="X422" i="5"/>
  <c r="AB35" i="5"/>
  <c r="AA427" i="5"/>
  <c r="X226" i="5"/>
  <c r="X313" i="5"/>
  <c r="Y416" i="5"/>
  <c r="X420" i="5"/>
  <c r="Y423" i="5"/>
  <c r="Y527" i="5"/>
  <c r="X538" i="5"/>
  <c r="X19" i="5"/>
  <c r="AA475" i="5"/>
  <c r="AC557" i="5"/>
  <c r="BF557" i="5" s="1"/>
  <c r="X349" i="5"/>
  <c r="X449" i="5"/>
  <c r="Y436" i="5"/>
  <c r="Y493" i="5"/>
  <c r="Y452" i="5"/>
  <c r="AC487" i="5"/>
  <c r="AD487" i="5" s="1"/>
  <c r="AC349" i="5"/>
  <c r="AD349" i="5" s="1"/>
  <c r="AC478" i="5"/>
  <c r="AE478" i="5" s="1"/>
  <c r="AC351" i="5"/>
  <c r="AD351" i="5" s="1"/>
  <c r="AC377" i="5"/>
  <c r="AD377" i="5" s="1"/>
  <c r="AC375" i="5"/>
  <c r="AD375" i="5" s="1"/>
  <c r="AC378" i="5"/>
  <c r="AD378" i="5" s="1"/>
  <c r="AC500" i="5"/>
  <c r="AE500" i="5" s="1"/>
  <c r="AC484" i="5"/>
  <c r="BF484" i="5" s="1"/>
  <c r="BG484" i="5" s="1"/>
  <c r="X103" i="5"/>
  <c r="X496" i="5"/>
  <c r="Y417" i="5"/>
  <c r="X507" i="5"/>
  <c r="AC320" i="5"/>
  <c r="AE320" i="5" s="1"/>
  <c r="Y176" i="5"/>
  <c r="Y169" i="5"/>
  <c r="Y180" i="5"/>
  <c r="Y366" i="5"/>
  <c r="Y469" i="5"/>
  <c r="Y480" i="5"/>
  <c r="Y150" i="5"/>
  <c r="X207" i="5"/>
  <c r="X340" i="5"/>
  <c r="Y394" i="5"/>
  <c r="X553" i="5"/>
  <c r="Y397" i="5"/>
  <c r="X465" i="5"/>
  <c r="Y443" i="5"/>
  <c r="Y513" i="5"/>
  <c r="X532" i="5"/>
  <c r="AC391" i="5"/>
  <c r="AD391" i="5" s="1"/>
  <c r="AC446" i="5"/>
  <c r="BF446" i="5" s="1"/>
  <c r="Y147" i="5"/>
  <c r="Y267" i="5"/>
  <c r="Y506" i="5"/>
  <c r="AB19" i="5"/>
  <c r="X431" i="5"/>
  <c r="X435" i="5"/>
  <c r="AC207" i="5"/>
  <c r="BF207" i="5" s="1"/>
  <c r="BH207" i="5" s="1"/>
  <c r="X85" i="5"/>
  <c r="Y297" i="5"/>
  <c r="X69" i="5"/>
  <c r="X184" i="5"/>
  <c r="Y288" i="5"/>
  <c r="X390" i="5"/>
  <c r="Y466" i="5"/>
  <c r="Y388" i="5"/>
  <c r="X23" i="5"/>
  <c r="Y218" i="5"/>
  <c r="Y287" i="5"/>
  <c r="X289" i="5"/>
  <c r="Y298" i="5"/>
  <c r="X504" i="5"/>
  <c r="Y437" i="5"/>
  <c r="AC440" i="5"/>
  <c r="AD440" i="5" s="1"/>
  <c r="AC553" i="5"/>
  <c r="BF553" i="5" s="1"/>
  <c r="BG553" i="5" s="1"/>
  <c r="AC479" i="5"/>
  <c r="BF479" i="5" s="1"/>
  <c r="AC498" i="5"/>
  <c r="BF498" i="5" s="1"/>
  <c r="BH498" i="5" s="1"/>
  <c r="AC360" i="5"/>
  <c r="BF360" i="5" s="1"/>
  <c r="BG360" i="5" s="1"/>
  <c r="AC509" i="5"/>
  <c r="AD509" i="5" s="1"/>
  <c r="Y458" i="5"/>
  <c r="X458" i="5"/>
  <c r="Y476" i="5"/>
  <c r="X476" i="5"/>
  <c r="Y300" i="5"/>
  <c r="X300" i="5"/>
  <c r="X463" i="5"/>
  <c r="Y463" i="5"/>
  <c r="Y110" i="5"/>
  <c r="X110" i="5"/>
  <c r="X34" i="5"/>
  <c r="AC34" i="5"/>
  <c r="AD34" i="5" s="1"/>
  <c r="X401" i="5"/>
  <c r="Y401" i="5"/>
  <c r="X73" i="5"/>
  <c r="Y66" i="5"/>
  <c r="Y148" i="5"/>
  <c r="Y209" i="5"/>
  <c r="Y323" i="5"/>
  <c r="Y381" i="5"/>
  <c r="X512" i="5"/>
  <c r="X400" i="5"/>
  <c r="X516" i="5"/>
  <c r="X324" i="5"/>
  <c r="AA359" i="5"/>
  <c r="AB359" i="5"/>
  <c r="X49" i="5"/>
  <c r="Y92" i="5"/>
  <c r="X164" i="5"/>
  <c r="Y279" i="5"/>
  <c r="X333" i="5"/>
  <c r="Y412" i="5"/>
  <c r="Y459" i="5"/>
  <c r="Y526" i="5"/>
  <c r="X482" i="5"/>
  <c r="X355" i="5"/>
  <c r="Y494" i="5"/>
  <c r="X442" i="5"/>
  <c r="AC288" i="5"/>
  <c r="AD288" i="5" s="1"/>
  <c r="AC49" i="5"/>
  <c r="BF49" i="5" s="1"/>
  <c r="AC300" i="5"/>
  <c r="AE300" i="5" s="1"/>
  <c r="AC66" i="5"/>
  <c r="BF66" i="5" s="1"/>
  <c r="BH66" i="5" s="1"/>
  <c r="AC128" i="5"/>
  <c r="BF128" i="5" s="1"/>
  <c r="BG128" i="5" s="1"/>
  <c r="AC409" i="5"/>
  <c r="AE409" i="5" s="1"/>
  <c r="AB295" i="5"/>
  <c r="AA295" i="5"/>
  <c r="X543" i="5"/>
  <c r="Y543" i="5"/>
  <c r="X290" i="5"/>
  <c r="Y290" i="5"/>
  <c r="Y426" i="5"/>
  <c r="X426" i="5"/>
  <c r="X356" i="5"/>
  <c r="Y356" i="5"/>
  <c r="Y240" i="5"/>
  <c r="X240" i="5"/>
  <c r="Y517" i="5"/>
  <c r="X517" i="5"/>
  <c r="Y473" i="5"/>
  <c r="AC473" i="5"/>
  <c r="AD473" i="5" s="1"/>
  <c r="Y403" i="5"/>
  <c r="X403" i="5"/>
  <c r="AC540" i="5"/>
  <c r="AE540" i="5" s="1"/>
  <c r="Y139" i="5"/>
  <c r="X139" i="5"/>
  <c r="X519" i="5"/>
  <c r="Y519" i="5"/>
  <c r="Y529" i="5"/>
  <c r="X529" i="5"/>
  <c r="Y406" i="5"/>
  <c r="X406" i="5"/>
  <c r="Y319" i="5"/>
  <c r="X319" i="5"/>
  <c r="Y167" i="5"/>
  <c r="X167" i="5"/>
  <c r="Y522" i="5"/>
  <c r="X522" i="5"/>
  <c r="Y511" i="5"/>
  <c r="X511" i="5"/>
  <c r="X510" i="5"/>
  <c r="Y510" i="5"/>
  <c r="X409" i="5"/>
  <c r="Y409" i="5"/>
  <c r="X10" i="5"/>
  <c r="Y10" i="5"/>
  <c r="X283" i="5"/>
  <c r="Y405" i="5"/>
  <c r="Y520" i="5"/>
  <c r="X94" i="5"/>
  <c r="X203" i="5"/>
  <c r="X309" i="5"/>
  <c r="X501" i="5"/>
  <c r="AC43" i="5"/>
  <c r="BF43" i="5" s="1"/>
  <c r="BG43" i="5" s="1"/>
  <c r="AA43" i="5"/>
  <c r="AB317" i="5"/>
  <c r="AA317" i="5"/>
  <c r="Y201" i="5"/>
  <c r="X201" i="5"/>
  <c r="X149" i="5"/>
  <c r="Y149" i="5"/>
  <c r="AC496" i="5"/>
  <c r="AD496" i="5" s="1"/>
  <c r="AB496" i="5"/>
  <c r="AA244" i="5"/>
  <c r="AB244" i="5"/>
  <c r="Y489" i="5"/>
  <c r="X457" i="5"/>
  <c r="X325" i="5"/>
  <c r="Y269" i="5"/>
  <c r="Y461" i="5"/>
  <c r="Y539" i="5"/>
  <c r="Y521" i="5"/>
  <c r="Y22" i="5"/>
  <c r="Y189" i="5"/>
  <c r="X341" i="5"/>
  <c r="Y433" i="5"/>
  <c r="X372" i="5"/>
  <c r="Y293" i="5"/>
  <c r="X505" i="5"/>
  <c r="X542" i="5"/>
  <c r="AC335" i="5"/>
  <c r="AE335" i="5" s="1"/>
  <c r="AB335" i="5"/>
  <c r="AA364" i="5"/>
  <c r="AC364" i="5"/>
  <c r="BF364" i="5" s="1"/>
  <c r="AA473" i="5"/>
  <c r="AB473" i="5"/>
  <c r="AC489" i="5"/>
  <c r="BF489" i="5" s="1"/>
  <c r="BH489" i="5" s="1"/>
  <c r="AA489" i="5"/>
  <c r="AB516" i="5"/>
  <c r="AA516" i="5"/>
  <c r="AA542" i="5"/>
  <c r="AB542" i="5"/>
  <c r="AA71" i="5"/>
  <c r="AB71" i="5"/>
  <c r="AC152" i="5"/>
  <c r="BF152" i="5" s="1"/>
  <c r="BH152" i="5" s="1"/>
  <c r="AC323" i="5"/>
  <c r="AD323" i="5" s="1"/>
  <c r="AC266" i="5"/>
  <c r="AE266" i="5" s="1"/>
  <c r="AA266" i="5"/>
  <c r="AC405" i="5"/>
  <c r="AE405" i="5" s="1"/>
  <c r="AA405" i="5"/>
  <c r="AA557" i="5"/>
  <c r="AB557" i="5"/>
  <c r="AC272" i="5"/>
  <c r="AD272" i="5" s="1"/>
  <c r="X257" i="5"/>
  <c r="Y257" i="5"/>
  <c r="X80" i="5"/>
  <c r="Y80" i="5"/>
  <c r="Y322" i="5"/>
  <c r="X322" i="5"/>
  <c r="Y57" i="5"/>
  <c r="X57" i="5"/>
  <c r="AC470" i="5"/>
  <c r="AD470" i="5" s="1"/>
  <c r="AA470" i="5"/>
  <c r="AC488" i="5"/>
  <c r="AE488" i="5" s="1"/>
  <c r="AC472" i="5"/>
  <c r="AD472" i="5" s="1"/>
  <c r="AC541" i="5"/>
  <c r="BF541" i="5" s="1"/>
  <c r="BG541" i="5" s="1"/>
  <c r="AC467" i="5"/>
  <c r="BF467" i="5" s="1"/>
  <c r="BH467" i="5" s="1"/>
  <c r="AC355" i="5"/>
  <c r="AD355" i="5" s="1"/>
  <c r="AC421" i="5"/>
  <c r="AE421" i="5" s="1"/>
  <c r="AC442" i="5"/>
  <c r="BF442" i="5" s="1"/>
  <c r="BH442" i="5" s="1"/>
  <c r="AC508" i="5"/>
  <c r="BF508" i="5" s="1"/>
  <c r="AC388" i="5"/>
  <c r="AD388" i="5" s="1"/>
  <c r="AC248" i="5"/>
  <c r="BF248" i="5" s="1"/>
  <c r="AC370" i="5"/>
  <c r="AD370" i="5" s="1"/>
  <c r="AC76" i="5"/>
  <c r="AD76" i="5" s="1"/>
  <c r="AC169" i="5"/>
  <c r="BF169" i="5" s="1"/>
  <c r="BG169" i="5" s="1"/>
  <c r="AC276" i="5"/>
  <c r="AE276" i="5" s="1"/>
  <c r="AC512" i="5"/>
  <c r="BF512" i="5" s="1"/>
  <c r="BG512" i="5" s="1"/>
  <c r="AC94" i="5"/>
  <c r="AE94" i="5" s="1"/>
  <c r="AC10" i="5"/>
  <c r="AD10" i="5" s="1"/>
  <c r="AC27" i="5"/>
  <c r="BF27" i="5" s="1"/>
  <c r="AC530" i="5"/>
  <c r="AD530" i="5" s="1"/>
  <c r="AC520" i="5"/>
  <c r="BF520" i="5" s="1"/>
  <c r="BG520" i="5" s="1"/>
  <c r="AC259" i="5"/>
  <c r="AE259" i="5" s="1"/>
  <c r="AC492" i="5"/>
  <c r="AE492" i="5" s="1"/>
  <c r="AC318" i="5"/>
  <c r="AD318" i="5" s="1"/>
  <c r="AC97" i="5"/>
  <c r="AD97" i="5" s="1"/>
  <c r="AC521" i="5"/>
  <c r="AE521" i="5" s="1"/>
  <c r="AC456" i="5"/>
  <c r="AD456" i="5" s="1"/>
  <c r="AA249" i="5"/>
  <c r="AB232" i="5"/>
  <c r="AB554" i="5"/>
  <c r="Y230" i="5"/>
  <c r="X311" i="5"/>
  <c r="AA482" i="5"/>
  <c r="AB555" i="5"/>
  <c r="Y98" i="5"/>
  <c r="AC491" i="5"/>
  <c r="AE491" i="5" s="1"/>
  <c r="AC412" i="5"/>
  <c r="BF412" i="5" s="1"/>
  <c r="BG412" i="5" s="1"/>
  <c r="AC505" i="5"/>
  <c r="AD505" i="5" s="1"/>
  <c r="AC279" i="5"/>
  <c r="BF279" i="5" s="1"/>
  <c r="BH279" i="5" s="1"/>
  <c r="AC501" i="5"/>
  <c r="BF501" i="5" s="1"/>
  <c r="BH501" i="5" s="1"/>
  <c r="AC270" i="5"/>
  <c r="AC13" i="5"/>
  <c r="BF13" i="5" s="1"/>
  <c r="AB334" i="5"/>
  <c r="AA374" i="5"/>
  <c r="Y233" i="5"/>
  <c r="AC148" i="5"/>
  <c r="AE148" i="5" s="1"/>
  <c r="AC189" i="5"/>
  <c r="AD189" i="5" s="1"/>
  <c r="AC406" i="5"/>
  <c r="AE406" i="5" s="1"/>
  <c r="AC308" i="5"/>
  <c r="BF308" i="5" s="1"/>
  <c r="BG308" i="5" s="1"/>
  <c r="AC12" i="5"/>
  <c r="AD12" i="5" s="1"/>
  <c r="AC384" i="5"/>
  <c r="BF384" i="5" s="1"/>
  <c r="BG384" i="5" s="1"/>
  <c r="Y175" i="5"/>
  <c r="X263" i="5"/>
  <c r="X271" i="5"/>
  <c r="AA58" i="5"/>
  <c r="X210" i="5"/>
  <c r="AA491" i="5"/>
  <c r="AC417" i="5"/>
  <c r="AE417" i="5" s="1"/>
  <c r="AC542" i="5"/>
  <c r="AE542" i="5" s="1"/>
  <c r="AC394" i="5"/>
  <c r="AD394" i="5" s="1"/>
  <c r="AC463" i="5"/>
  <c r="AE463" i="5" s="1"/>
  <c r="X8" i="5"/>
  <c r="Y8" i="5"/>
  <c r="AB442" i="5"/>
  <c r="X306" i="5"/>
  <c r="Y347" i="5"/>
  <c r="AA42" i="5"/>
  <c r="AB160" i="5"/>
  <c r="AB378" i="5"/>
  <c r="X21" i="5"/>
  <c r="X256" i="5"/>
  <c r="X445" i="5"/>
  <c r="X363" i="5"/>
  <c r="Y383" i="5"/>
  <c r="X550" i="5"/>
  <c r="Y477" i="5"/>
  <c r="AC256" i="5"/>
  <c r="BF256" i="5" s="1"/>
  <c r="AC497" i="5"/>
  <c r="AD497" i="5" s="1"/>
  <c r="AB11" i="5"/>
  <c r="AA11" i="5"/>
  <c r="AB13" i="5"/>
  <c r="AA13" i="5"/>
  <c r="W9" i="5"/>
  <c r="AT9" i="5"/>
  <c r="T9" i="5"/>
  <c r="Q9" i="5"/>
  <c r="Z9" i="5"/>
  <c r="AZ9" i="5"/>
  <c r="AW9" i="5"/>
  <c r="X74" i="5"/>
  <c r="Y116" i="5"/>
  <c r="Y172" i="5"/>
  <c r="X225" i="5"/>
  <c r="X260" i="5"/>
  <c r="X302" i="5"/>
  <c r="X377" i="5"/>
  <c r="AB108" i="5"/>
  <c r="AA94" i="5"/>
  <c r="AA206" i="5"/>
  <c r="AB349" i="5"/>
  <c r="Y51" i="5"/>
  <c r="AB97" i="5"/>
  <c r="AA224" i="5"/>
  <c r="Y65" i="5"/>
  <c r="Y171" i="5"/>
  <c r="X367" i="5"/>
  <c r="X393" i="5"/>
  <c r="X497" i="5"/>
  <c r="X478" i="5"/>
  <c r="X483" i="5"/>
  <c r="Y424" i="5"/>
  <c r="AC160" i="5"/>
  <c r="BF160" i="5" s="1"/>
  <c r="X295" i="5"/>
  <c r="AC235" i="5"/>
  <c r="AD235" i="5" s="1"/>
  <c r="AC363" i="5"/>
  <c r="AD363" i="5" s="1"/>
  <c r="AC137" i="5"/>
  <c r="BF137" i="5" s="1"/>
  <c r="BH137" i="5" s="1"/>
  <c r="AC8" i="5"/>
  <c r="BF8" i="5" s="1"/>
  <c r="BG8" i="5" s="1"/>
  <c r="AB12" i="5"/>
  <c r="AA12" i="5"/>
  <c r="Y13" i="5"/>
  <c r="X13" i="5"/>
  <c r="AA161" i="5"/>
  <c r="AB279" i="5"/>
  <c r="AC367" i="5"/>
  <c r="AE367" i="5" s="1"/>
  <c r="AC69" i="5"/>
  <c r="BF69" i="5" s="1"/>
  <c r="BG69" i="5" s="1"/>
  <c r="AA472" i="5"/>
  <c r="AA69" i="5"/>
  <c r="AB105" i="5"/>
  <c r="AA169" i="5"/>
  <c r="AA406" i="5"/>
  <c r="AB258" i="5"/>
  <c r="AA521" i="5"/>
  <c r="Y384" i="5"/>
  <c r="AB308" i="5"/>
  <c r="AC402" i="5"/>
  <c r="AE402" i="5" s="1"/>
  <c r="AC396" i="5"/>
  <c r="AE396" i="5" s="1"/>
  <c r="AC251" i="5"/>
  <c r="BF251" i="5" s="1"/>
  <c r="BH251" i="5" s="1"/>
  <c r="AC450" i="5"/>
  <c r="BF450" i="5" s="1"/>
  <c r="BH450" i="5" s="1"/>
  <c r="AC397" i="5"/>
  <c r="AD397" i="5" s="1"/>
  <c r="AC550" i="5"/>
  <c r="BF550" i="5" s="1"/>
  <c r="BH550" i="5" s="1"/>
  <c r="AA8" i="5"/>
  <c r="AB8" i="5"/>
  <c r="Y12" i="5"/>
  <c r="X12" i="5"/>
  <c r="AA259" i="5"/>
  <c r="AB69" i="5"/>
  <c r="AB110" i="5"/>
  <c r="AB384" i="5"/>
  <c r="AB521" i="5"/>
  <c r="AB560" i="5"/>
  <c r="AA308" i="5"/>
  <c r="AC436" i="5"/>
  <c r="AD436" i="5" s="1"/>
  <c r="AC115" i="5"/>
  <c r="AE115" i="5" s="1"/>
  <c r="AA554" i="5"/>
  <c r="X104" i="5"/>
  <c r="AB22" i="5"/>
  <c r="AA178" i="5"/>
  <c r="AC25" i="5"/>
  <c r="AD25" i="5" s="1"/>
  <c r="Y26" i="5"/>
  <c r="Y142" i="5"/>
  <c r="Y314" i="5"/>
  <c r="AC22" i="5"/>
  <c r="AE22" i="5" s="1"/>
  <c r="AC482" i="5"/>
  <c r="AE482" i="5" s="1"/>
  <c r="AB146" i="5"/>
  <c r="AB106" i="5"/>
  <c r="AA347" i="5"/>
  <c r="X122" i="5"/>
  <c r="X166" i="5"/>
  <c r="AB509" i="5"/>
  <c r="AB488" i="5"/>
  <c r="X108" i="5"/>
  <c r="Y28" i="5"/>
  <c r="X133" i="5"/>
  <c r="X312" i="5"/>
  <c r="Y299" i="5"/>
  <c r="AA550" i="5"/>
  <c r="AC516" i="5"/>
  <c r="AE516" i="5" s="1"/>
  <c r="AC495" i="5"/>
  <c r="BF495" i="5" s="1"/>
  <c r="BH495" i="5" s="1"/>
  <c r="AC555" i="5"/>
  <c r="AD555" i="5" s="1"/>
  <c r="AB251" i="5"/>
  <c r="X135" i="5"/>
  <c r="X151" i="5"/>
  <c r="Y245" i="5"/>
  <c r="Y264" i="5"/>
  <c r="AB58" i="5"/>
  <c r="AA397" i="5"/>
  <c r="AB470" i="5"/>
  <c r="AA488" i="5"/>
  <c r="X161" i="5"/>
  <c r="Y374" i="5"/>
  <c r="AC347" i="5"/>
  <c r="AE347" i="5" s="1"/>
  <c r="AC96" i="5"/>
  <c r="BF96" i="5" s="1"/>
  <c r="BH96" i="5" s="1"/>
  <c r="AC289" i="5"/>
  <c r="AD289" i="5" s="1"/>
  <c r="AC223" i="5"/>
  <c r="BF223" i="5" s="1"/>
  <c r="BG223" i="5" s="1"/>
  <c r="AB322" i="5"/>
  <c r="AC134" i="5"/>
  <c r="BF134" i="5" s="1"/>
  <c r="BH134" i="5" s="1"/>
  <c r="AA436" i="5"/>
  <c r="AA207" i="5"/>
  <c r="AA536" i="5"/>
  <c r="AA497" i="5"/>
  <c r="AC253" i="5"/>
  <c r="BF253" i="5" s="1"/>
  <c r="BG253" i="5" s="1"/>
  <c r="AA411" i="5"/>
  <c r="AA189" i="5"/>
  <c r="AB305" i="5"/>
  <c r="AA36" i="5"/>
  <c r="AB486" i="5"/>
  <c r="X222" i="5"/>
  <c r="X348" i="5"/>
  <c r="AB367" i="5"/>
  <c r="AA83" i="5"/>
  <c r="AB148" i="5"/>
  <c r="AA203" i="5"/>
  <c r="AB320" i="5"/>
  <c r="AB455" i="5"/>
  <c r="AA200" i="5"/>
  <c r="AC200" i="5"/>
  <c r="BF200" i="5" s="1"/>
  <c r="AC110" i="5"/>
  <c r="BF110" i="5" s="1"/>
  <c r="BH110" i="5" s="1"/>
  <c r="AB20" i="5"/>
  <c r="AB291" i="5"/>
  <c r="AA212" i="5"/>
  <c r="AA373" i="5"/>
  <c r="AA442" i="5"/>
  <c r="AB421" i="5"/>
  <c r="AA355" i="5"/>
  <c r="AA487" i="5"/>
  <c r="AA501" i="5"/>
  <c r="AA111" i="5"/>
  <c r="AA248" i="5"/>
  <c r="AB551" i="5"/>
  <c r="AA159" i="5"/>
  <c r="AA412" i="5"/>
  <c r="X304" i="5"/>
  <c r="AA30" i="5"/>
  <c r="AB100" i="5"/>
  <c r="AB250" i="5"/>
  <c r="AB375" i="5"/>
  <c r="AB61" i="5"/>
  <c r="AB94" i="5"/>
  <c r="AB478" i="5"/>
  <c r="AA541" i="5"/>
  <c r="Y37" i="5"/>
  <c r="Y68" i="5"/>
  <c r="Y82" i="5"/>
  <c r="Y205" i="5"/>
  <c r="X368" i="5"/>
  <c r="AA46" i="5"/>
  <c r="AA145" i="5"/>
  <c r="AA370" i="5"/>
  <c r="AA484" i="5"/>
  <c r="AB512" i="5"/>
  <c r="Y197" i="5"/>
  <c r="AC551" i="5"/>
  <c r="AD551" i="5" s="1"/>
  <c r="AC161" i="5"/>
  <c r="AE161" i="5" s="1"/>
  <c r="AB351" i="5"/>
  <c r="AA358" i="5"/>
  <c r="AA478" i="5"/>
  <c r="AB467" i="5"/>
  <c r="AA215" i="5"/>
  <c r="AA279" i="5"/>
  <c r="AA546" i="5"/>
  <c r="X25" i="5"/>
  <c r="Y55" i="5"/>
  <c r="AB206" i="5"/>
  <c r="AA351" i="5"/>
  <c r="AA421" i="5"/>
  <c r="AB355" i="5"/>
  <c r="AA467" i="5"/>
  <c r="AB487" i="5"/>
  <c r="AB472" i="5"/>
  <c r="AC273" i="5"/>
  <c r="AE273" i="5" s="1"/>
  <c r="X124" i="5"/>
  <c r="AA76" i="5"/>
  <c r="AA273" i="5"/>
  <c r="AA375" i="5"/>
  <c r="AB500" i="5"/>
  <c r="AA443" i="5"/>
  <c r="AA512" i="5"/>
  <c r="AC426" i="5"/>
  <c r="AD426" i="5" s="1"/>
  <c r="AB426" i="5"/>
  <c r="AA545" i="5"/>
  <c r="AC373" i="5"/>
  <c r="BF373" i="5" s="1"/>
  <c r="BH373" i="5" s="1"/>
  <c r="AC546" i="5"/>
  <c r="AD546" i="5" s="1"/>
  <c r="AC70" i="5"/>
  <c r="BF70" i="5" s="1"/>
  <c r="AA349" i="5"/>
  <c r="AB541" i="5"/>
  <c r="AB39" i="5"/>
  <c r="AB395" i="5"/>
  <c r="AB345" i="5"/>
  <c r="AB394" i="5"/>
  <c r="AB462" i="5"/>
  <c r="AB451" i="5"/>
  <c r="X156" i="5"/>
  <c r="X254" i="5"/>
  <c r="X291" i="5"/>
  <c r="AA152" i="5"/>
  <c r="AB207" i="5"/>
  <c r="AB235" i="5"/>
  <c r="AB323" i="5"/>
  <c r="AB363" i="5"/>
  <c r="AB390" i="5"/>
  <c r="AB406" i="5"/>
  <c r="AA391" i="5"/>
  <c r="AB405" i="5"/>
  <c r="AB427" i="5"/>
  <c r="AA560" i="5"/>
  <c r="Y131" i="5"/>
  <c r="AA476" i="5"/>
  <c r="AB497" i="5"/>
  <c r="AC249" i="5"/>
  <c r="BF249" i="5" s="1"/>
  <c r="BG249" i="5" s="1"/>
  <c r="AC390" i="5"/>
  <c r="AD390" i="5" s="1"/>
  <c r="AC46" i="5"/>
  <c r="BF46" i="5" s="1"/>
  <c r="BG46" i="5" s="1"/>
  <c r="AB530" i="5"/>
  <c r="AB31" i="5"/>
  <c r="AA140" i="5"/>
  <c r="AA167" i="5"/>
  <c r="AB403" i="5"/>
  <c r="AB520" i="5"/>
  <c r="AB447" i="5"/>
  <c r="AB260" i="5"/>
  <c r="AA493" i="5"/>
  <c r="AC324" i="5"/>
  <c r="AE324" i="5" s="1"/>
  <c r="AA324" i="5"/>
  <c r="AB175" i="5"/>
  <c r="AA175" i="5"/>
  <c r="AB107" i="5"/>
  <c r="AA107" i="5"/>
  <c r="AC72" i="5"/>
  <c r="AD72" i="5" s="1"/>
  <c r="AA72" i="5"/>
  <c r="AB72" i="5"/>
  <c r="AB33" i="5"/>
  <c r="AA33" i="5"/>
  <c r="AA85" i="5"/>
  <c r="AC85" i="5"/>
  <c r="AE85" i="5" s="1"/>
  <c r="AC457" i="5"/>
  <c r="AD457" i="5" s="1"/>
  <c r="AA457" i="5"/>
  <c r="AB457" i="5"/>
  <c r="AC410" i="5"/>
  <c r="AE410" i="5" s="1"/>
  <c r="AA410" i="5"/>
  <c r="AC209" i="5"/>
  <c r="AD209" i="5" s="1"/>
  <c r="AA209" i="5"/>
  <c r="AC65" i="5"/>
  <c r="AD65" i="5" s="1"/>
  <c r="AA65" i="5"/>
  <c r="AB454" i="5"/>
  <c r="AC454" i="5"/>
  <c r="BF454" i="5" s="1"/>
  <c r="BH454" i="5" s="1"/>
  <c r="AC131" i="5"/>
  <c r="AE131" i="5" s="1"/>
  <c r="AA131" i="5"/>
  <c r="AC298" i="5"/>
  <c r="AE298" i="5" s="1"/>
  <c r="AB298" i="5"/>
  <c r="AB466" i="5"/>
  <c r="AA466" i="5"/>
  <c r="AA342" i="5"/>
  <c r="AB342" i="5"/>
  <c r="AA350" i="5"/>
  <c r="AB350" i="5"/>
  <c r="AA448" i="5"/>
  <c r="AB448" i="5"/>
  <c r="AC448" i="5"/>
  <c r="BF448" i="5" s="1"/>
  <c r="X145" i="5"/>
  <c r="Y145" i="5"/>
  <c r="Y109" i="5"/>
  <c r="X109" i="5"/>
  <c r="X334" i="5"/>
  <c r="AC334" i="5"/>
  <c r="AD334" i="5" s="1"/>
  <c r="Y334" i="5"/>
  <c r="Y219" i="5"/>
  <c r="X219" i="5"/>
  <c r="X163" i="5"/>
  <c r="Y163" i="5"/>
  <c r="AC353" i="5"/>
  <c r="BF353" i="5" s="1"/>
  <c r="AB353" i="5"/>
  <c r="AC428" i="5"/>
  <c r="AE428" i="5" s="1"/>
  <c r="AA428" i="5"/>
  <c r="AA276" i="5"/>
  <c r="AB276" i="5"/>
  <c r="AC559" i="5"/>
  <c r="AD559" i="5" s="1"/>
  <c r="AA559" i="5"/>
  <c r="AB79" i="5"/>
  <c r="AB209" i="5"/>
  <c r="AB270" i="5"/>
  <c r="AB376" i="5"/>
  <c r="AB514" i="5"/>
  <c r="AC107" i="5"/>
  <c r="AE107" i="5" s="1"/>
  <c r="X146" i="5"/>
  <c r="X101" i="5"/>
  <c r="Y274" i="5"/>
  <c r="Y185" i="5"/>
  <c r="Y399" i="5"/>
  <c r="AA151" i="5"/>
  <c r="AA515" i="5"/>
  <c r="X60" i="5"/>
  <c r="X140" i="5"/>
  <c r="AB559" i="5"/>
  <c r="Y61" i="5"/>
  <c r="X316" i="5"/>
  <c r="AC466" i="5"/>
  <c r="AD466" i="5" s="1"/>
  <c r="AC365" i="5"/>
  <c r="BF365" i="5" s="1"/>
  <c r="AB365" i="5"/>
  <c r="AA121" i="5"/>
  <c r="AB121" i="5"/>
  <c r="AC218" i="5"/>
  <c r="BF218" i="5" s="1"/>
  <c r="BG218" i="5" s="1"/>
  <c r="AB218" i="5"/>
  <c r="AC45" i="5"/>
  <c r="AE45" i="5" s="1"/>
  <c r="AB45" i="5"/>
  <c r="AA283" i="5"/>
  <c r="AC283" i="5"/>
  <c r="BF283" i="5" s="1"/>
  <c r="AA336" i="5"/>
  <c r="AB336" i="5"/>
  <c r="AA449" i="5"/>
  <c r="AB449" i="5"/>
  <c r="AC449" i="5"/>
  <c r="AE449" i="5" s="1"/>
  <c r="AC354" i="5"/>
  <c r="AD354" i="5" s="1"/>
  <c r="AA354" i="5"/>
  <c r="AA524" i="5"/>
  <c r="AB524" i="5"/>
  <c r="AC524" i="5"/>
  <c r="AD524" i="5" s="1"/>
  <c r="AA533" i="5"/>
  <c r="AC533" i="5"/>
  <c r="AD533" i="5" s="1"/>
  <c r="AC494" i="5"/>
  <c r="AD494" i="5" s="1"/>
  <c r="AB494" i="5"/>
  <c r="AC103" i="5"/>
  <c r="AD103" i="5" s="1"/>
  <c r="AB103" i="5"/>
  <c r="AC29" i="5"/>
  <c r="AD29" i="5" s="1"/>
  <c r="AA29" i="5"/>
  <c r="AB247" i="5"/>
  <c r="AA247" i="5"/>
  <c r="AB205" i="5"/>
  <c r="AA205" i="5"/>
  <c r="AC461" i="5"/>
  <c r="AB461" i="5"/>
  <c r="AB433" i="5"/>
  <c r="AA433" i="5"/>
  <c r="AC433" i="5"/>
  <c r="BF433" i="5" s="1"/>
  <c r="AA523" i="5"/>
  <c r="AB523" i="5"/>
  <c r="AC328" i="5"/>
  <c r="AE328" i="5" s="1"/>
  <c r="AB328" i="5"/>
  <c r="Y392" i="5"/>
  <c r="X392" i="5"/>
  <c r="Y270" i="5"/>
  <c r="X270" i="5"/>
  <c r="Y262" i="5"/>
  <c r="X262" i="5"/>
  <c r="Y204" i="5"/>
  <c r="X204" i="5"/>
  <c r="Y174" i="5"/>
  <c r="X174" i="5"/>
  <c r="X144" i="5"/>
  <c r="Y144" i="5"/>
  <c r="X138" i="5"/>
  <c r="Y138" i="5"/>
  <c r="X56" i="5"/>
  <c r="Y56" i="5"/>
  <c r="Y338" i="5"/>
  <c r="X338" i="5"/>
  <c r="Y62" i="5"/>
  <c r="X62" i="5"/>
  <c r="AC71" i="5"/>
  <c r="BF71" i="5" s="1"/>
  <c r="BH71" i="5" s="1"/>
  <c r="X71" i="5"/>
  <c r="AA434" i="5"/>
  <c r="AC434" i="5"/>
  <c r="BF434" i="5" s="1"/>
  <c r="BG434" i="5" s="1"/>
  <c r="X130" i="5"/>
  <c r="Y130" i="5"/>
  <c r="AC64" i="5"/>
  <c r="AE64" i="5" s="1"/>
  <c r="AB64" i="5"/>
  <c r="AA64" i="5"/>
  <c r="AB372" i="5"/>
  <c r="AA372" i="5"/>
  <c r="AB85" i="5"/>
  <c r="AB186" i="5"/>
  <c r="AB233" i="5"/>
  <c r="AA188" i="5"/>
  <c r="AA223" i="5"/>
  <c r="AB283" i="5"/>
  <c r="AA360" i="5"/>
  <c r="AA376" i="5"/>
  <c r="AB498" i="5"/>
  <c r="Y71" i="5"/>
  <c r="Y84" i="5"/>
  <c r="X272" i="5"/>
  <c r="Y330" i="5"/>
  <c r="AB131" i="5"/>
  <c r="AB193" i="5"/>
  <c r="AA414" i="5"/>
  <c r="AB468" i="5"/>
  <c r="AA90" i="5"/>
  <c r="AB428" i="5"/>
  <c r="AB43" i="5"/>
  <c r="AA148" i="5"/>
  <c r="AB223" i="5"/>
  <c r="AB321" i="5"/>
  <c r="AB411" i="5"/>
  <c r="AB360" i="5"/>
  <c r="AA251" i="5"/>
  <c r="AA498" i="5"/>
  <c r="AA396" i="5"/>
  <c r="AB479" i="5"/>
  <c r="AB410" i="5"/>
  <c r="AA494" i="5"/>
  <c r="AA553" i="5"/>
  <c r="AB533" i="5"/>
  <c r="X46" i="5"/>
  <c r="Y90" i="5"/>
  <c r="X170" i="5"/>
  <c r="X212" i="5"/>
  <c r="AB312" i="5"/>
  <c r="AA423" i="5"/>
  <c r="AA461" i="5"/>
  <c r="X165" i="5"/>
  <c r="AC372" i="5"/>
  <c r="BF372" i="5" s="1"/>
  <c r="BG372" i="5" s="1"/>
  <c r="AC330" i="5"/>
  <c r="AD330" i="5" s="1"/>
  <c r="AC163" i="5"/>
  <c r="AE163" i="5" s="1"/>
  <c r="AB430" i="5"/>
  <c r="AC430" i="5"/>
  <c r="BF430" i="5" s="1"/>
  <c r="BH430" i="5" s="1"/>
  <c r="AA430" i="5"/>
  <c r="AA332" i="5"/>
  <c r="AB332" i="5"/>
  <c r="AC332" i="5"/>
  <c r="BF332" i="5" s="1"/>
  <c r="AB315" i="5"/>
  <c r="AC315" i="5"/>
  <c r="AE315" i="5" s="1"/>
  <c r="AB269" i="5"/>
  <c r="AC269" i="5"/>
  <c r="AE269" i="5" s="1"/>
  <c r="AA219" i="5"/>
  <c r="AC219" i="5"/>
  <c r="AE219" i="5" s="1"/>
  <c r="AA127" i="5"/>
  <c r="AB127" i="5"/>
  <c r="AA75" i="5"/>
  <c r="AB75" i="5"/>
  <c r="AC339" i="5"/>
  <c r="BF339" i="5" s="1"/>
  <c r="BH339" i="5" s="1"/>
  <c r="AA339" i="5"/>
  <c r="AA329" i="5"/>
  <c r="AC329" i="5"/>
  <c r="AE329" i="5" s="1"/>
  <c r="AB329" i="5"/>
  <c r="AA285" i="5"/>
  <c r="AB285" i="5"/>
  <c r="AA231" i="5"/>
  <c r="AC231" i="5"/>
  <c r="BF231" i="5" s="1"/>
  <c r="AB231" i="5"/>
  <c r="AA191" i="5"/>
  <c r="AB191" i="5"/>
  <c r="AB115" i="5"/>
  <c r="AA115" i="5"/>
  <c r="AB154" i="5"/>
  <c r="AC154" i="5"/>
  <c r="AE154" i="5" s="1"/>
  <c r="AA154" i="5"/>
  <c r="AA89" i="5"/>
  <c r="AB89" i="5"/>
  <c r="AA54" i="5"/>
  <c r="AB54" i="5"/>
  <c r="AB48" i="5"/>
  <c r="AA48" i="5"/>
  <c r="AC483" i="5"/>
  <c r="AB483" i="5"/>
  <c r="AA558" i="5"/>
  <c r="AC558" i="5"/>
  <c r="AE558" i="5" s="1"/>
  <c r="AB510" i="5"/>
  <c r="AC510" i="5"/>
  <c r="BF510" i="5" s="1"/>
  <c r="AA506" i="5"/>
  <c r="AC506" i="5"/>
  <c r="BF506" i="5" s="1"/>
  <c r="AB506" i="5"/>
  <c r="AC507" i="5"/>
  <c r="AD507" i="5" s="1"/>
  <c r="AA507" i="5"/>
  <c r="AB507" i="5"/>
  <c r="AC452" i="5"/>
  <c r="AD452" i="5" s="1"/>
  <c r="AB452" i="5"/>
  <c r="AC385" i="5"/>
  <c r="AE385" i="5" s="1"/>
  <c r="AA385" i="5"/>
  <c r="AC268" i="5"/>
  <c r="AE268" i="5" s="1"/>
  <c r="AA268" i="5"/>
  <c r="AB268" i="5"/>
  <c r="AC132" i="5"/>
  <c r="AE132" i="5" s="1"/>
  <c r="AB132" i="5"/>
  <c r="AB129" i="5"/>
  <c r="AA129" i="5"/>
  <c r="AA458" i="5"/>
  <c r="AC458" i="5"/>
  <c r="AE458" i="5" s="1"/>
  <c r="AB458" i="5"/>
  <c r="AC465" i="5"/>
  <c r="AA465" i="5"/>
  <c r="AB465" i="5"/>
  <c r="AB477" i="5"/>
  <c r="AA477" i="5"/>
  <c r="AC477" i="5"/>
  <c r="AE477" i="5" s="1"/>
  <c r="AC356" i="5"/>
  <c r="AA356" i="5"/>
  <c r="AB435" i="5"/>
  <c r="AA435" i="5"/>
  <c r="AC435" i="5"/>
  <c r="AA326" i="5"/>
  <c r="AB326" i="5"/>
  <c r="AA228" i="5"/>
  <c r="AB228" i="5"/>
  <c r="AC99" i="5"/>
  <c r="AD99" i="5" s="1"/>
  <c r="AA99" i="5"/>
  <c r="AB99" i="5"/>
  <c r="AB88" i="5"/>
  <c r="AA88" i="5"/>
  <c r="AA47" i="5"/>
  <c r="AB47" i="5"/>
  <c r="AB313" i="5"/>
  <c r="AA313" i="5"/>
  <c r="AC313" i="5"/>
  <c r="AE313" i="5" s="1"/>
  <c r="AA538" i="5"/>
  <c r="AC538" i="5"/>
  <c r="BF538" i="5" s="1"/>
  <c r="AB538" i="5"/>
  <c r="X342" i="5"/>
  <c r="Y342" i="5"/>
  <c r="X250" i="5"/>
  <c r="AC250" i="5"/>
  <c r="AE250" i="5" s="1"/>
  <c r="Y250" i="5"/>
  <c r="Y192" i="5"/>
  <c r="X192" i="5"/>
  <c r="Y228" i="5"/>
  <c r="X228" i="5"/>
  <c r="AC228" i="5"/>
  <c r="AD228" i="5" s="1"/>
  <c r="X173" i="5"/>
  <c r="Y173" i="5"/>
  <c r="Y153" i="5"/>
  <c r="X153" i="5"/>
  <c r="AC153" i="5"/>
  <c r="AD153" i="5" s="1"/>
  <c r="Y78" i="5"/>
  <c r="X78" i="5"/>
  <c r="Y413" i="5"/>
  <c r="X413" i="5"/>
  <c r="AC336" i="5"/>
  <c r="AD336" i="5" s="1"/>
  <c r="X336" i="5"/>
  <c r="Y336" i="5"/>
  <c r="AC232" i="5"/>
  <c r="X232" i="5"/>
  <c r="Y215" i="5"/>
  <c r="X215" i="5"/>
  <c r="X188" i="5"/>
  <c r="Y188" i="5"/>
  <c r="X155" i="5"/>
  <c r="Y155" i="5"/>
  <c r="X159" i="5"/>
  <c r="Y159" i="5"/>
  <c r="AC88" i="5"/>
  <c r="BF88" i="5" s="1"/>
  <c r="BH88" i="5" s="1"/>
  <c r="Y88" i="5"/>
  <c r="X88" i="5"/>
  <c r="Y52" i="5"/>
  <c r="X52" i="5"/>
  <c r="X20" i="5"/>
  <c r="Y20" i="5"/>
  <c r="AA382" i="5"/>
  <c r="AB382" i="5"/>
  <c r="Y39" i="5"/>
  <c r="AC39" i="5"/>
  <c r="AE39" i="5" s="1"/>
  <c r="Y95" i="5"/>
  <c r="X95" i="5"/>
  <c r="X179" i="5"/>
  <c r="Y179" i="5"/>
  <c r="AC296" i="5"/>
  <c r="AE296" i="5" s="1"/>
  <c r="AB296" i="5"/>
  <c r="AC480" i="5"/>
  <c r="BF480" i="5" s="1"/>
  <c r="BH480" i="5" s="1"/>
  <c r="AA480" i="5"/>
  <c r="AB480" i="5"/>
  <c r="AC534" i="5"/>
  <c r="AD534" i="5" s="1"/>
  <c r="AA534" i="5"/>
  <c r="AB534" i="5"/>
  <c r="AA132" i="5"/>
  <c r="AB289" i="5"/>
  <c r="AA510" i="5"/>
  <c r="X32" i="5"/>
  <c r="X117" i="5"/>
  <c r="Y237" i="5"/>
  <c r="Y232" i="5"/>
  <c r="Y221" i="5"/>
  <c r="Y258" i="5"/>
  <c r="X350" i="5"/>
  <c r="AB339" i="5"/>
  <c r="AB219" i="5"/>
  <c r="AC325" i="5"/>
  <c r="AD325" i="5" s="1"/>
  <c r="AB70" i="5"/>
  <c r="AA118" i="5"/>
  <c r="AB271" i="5"/>
  <c r="AA289" i="5"/>
  <c r="AB325" i="5"/>
  <c r="AB558" i="5"/>
  <c r="AC149" i="5"/>
  <c r="AE149" i="5" s="1"/>
  <c r="AA296" i="5"/>
  <c r="AC220" i="5"/>
  <c r="AD220" i="5" s="1"/>
  <c r="AC481" i="5"/>
  <c r="AE481" i="5" s="1"/>
  <c r="X36" i="5"/>
  <c r="Y157" i="5"/>
  <c r="AC350" i="5"/>
  <c r="AE350" i="5" s="1"/>
  <c r="AC81" i="5"/>
  <c r="BF81" i="5" s="1"/>
  <c r="BG81" i="5" s="1"/>
  <c r="AC379" i="5"/>
  <c r="AB379" i="5"/>
  <c r="AB282" i="5"/>
  <c r="AA282" i="5"/>
  <c r="AC262" i="5"/>
  <c r="AA262" i="5"/>
  <c r="AC227" i="5"/>
  <c r="BF227" i="5" s="1"/>
  <c r="BH227" i="5" s="1"/>
  <c r="AB227" i="5"/>
  <c r="AA112" i="5"/>
  <c r="AB112" i="5"/>
  <c r="AC116" i="5"/>
  <c r="BF116" i="5" s="1"/>
  <c r="AA116" i="5"/>
  <c r="AA50" i="5"/>
  <c r="AB50" i="5"/>
  <c r="AB21" i="5"/>
  <c r="AC21" i="5"/>
  <c r="BF21" i="5" s="1"/>
  <c r="AA21" i="5"/>
  <c r="AC471" i="5"/>
  <c r="BF471" i="5" s="1"/>
  <c r="BG471" i="5" s="1"/>
  <c r="AA471" i="5"/>
  <c r="AA517" i="5"/>
  <c r="AB517" i="5"/>
  <c r="AC340" i="5"/>
  <c r="AD340" i="5" s="1"/>
  <c r="AB340" i="5"/>
  <c r="AA340" i="5"/>
  <c r="AC441" i="5"/>
  <c r="AE441" i="5" s="1"/>
  <c r="AA441" i="5"/>
  <c r="AC444" i="5"/>
  <c r="AE444" i="5" s="1"/>
  <c r="AB444" i="5"/>
  <c r="AA380" i="5"/>
  <c r="AC380" i="5"/>
  <c r="AE380" i="5" s="1"/>
  <c r="AB380" i="5"/>
  <c r="AC239" i="5"/>
  <c r="AE239" i="5" s="1"/>
  <c r="AA239" i="5"/>
  <c r="AB239" i="5"/>
  <c r="AC177" i="5"/>
  <c r="AB177" i="5"/>
  <c r="AC539" i="5"/>
  <c r="AB539" i="5"/>
  <c r="AA539" i="5"/>
  <c r="AA327" i="5"/>
  <c r="AB327" i="5"/>
  <c r="AC341" i="5"/>
  <c r="BF341" i="5" s="1"/>
  <c r="BH341" i="5" s="1"/>
  <c r="AA341" i="5"/>
  <c r="AC420" i="5"/>
  <c r="AD420" i="5" s="1"/>
  <c r="AB420" i="5"/>
  <c r="AA420" i="5"/>
  <c r="AA408" i="5"/>
  <c r="AB408" i="5"/>
  <c r="AB337" i="5"/>
  <c r="AC337" i="5"/>
  <c r="BF337" i="5" s="1"/>
  <c r="AA281" i="5"/>
  <c r="AB281" i="5"/>
  <c r="AC190" i="5"/>
  <c r="AD190" i="5" s="1"/>
  <c r="AA190" i="5"/>
  <c r="AA53" i="5"/>
  <c r="AC53" i="5"/>
  <c r="AD53" i="5" s="1"/>
  <c r="AB53" i="5"/>
  <c r="AC150" i="5"/>
  <c r="AE150" i="5" s="1"/>
  <c r="AB150" i="5"/>
  <c r="AC401" i="5"/>
  <c r="AE401" i="5" s="1"/>
  <c r="AA401" i="5"/>
  <c r="AA464" i="5"/>
  <c r="AB464" i="5"/>
  <c r="AC464" i="5"/>
  <c r="AD464" i="5" s="1"/>
  <c r="X408" i="5"/>
  <c r="AC408" i="5"/>
  <c r="BF408" i="5" s="1"/>
  <c r="Y331" i="5"/>
  <c r="X331" i="5"/>
  <c r="Y278" i="5"/>
  <c r="X278" i="5"/>
  <c r="Y208" i="5"/>
  <c r="X208" i="5"/>
  <c r="X182" i="5"/>
  <c r="Y182" i="5"/>
  <c r="Y111" i="5"/>
  <c r="X111" i="5"/>
  <c r="AC89" i="5"/>
  <c r="AD89" i="5" s="1"/>
  <c r="Y89" i="5"/>
  <c r="X89" i="5"/>
  <c r="X67" i="5"/>
  <c r="Y67" i="5"/>
  <c r="AC282" i="5"/>
  <c r="AE282" i="5" s="1"/>
  <c r="Y282" i="5"/>
  <c r="X282" i="5"/>
  <c r="X286" i="5"/>
  <c r="Y286" i="5"/>
  <c r="AC178" i="5"/>
  <c r="BF178" i="5" s="1"/>
  <c r="BH178" i="5" s="1"/>
  <c r="X178" i="5"/>
  <c r="AC136" i="5"/>
  <c r="AA136" i="5"/>
  <c r="AA549" i="5"/>
  <c r="AC549" i="5"/>
  <c r="AE549" i="5" s="1"/>
  <c r="Y79" i="5"/>
  <c r="X79" i="5"/>
  <c r="AC79" i="5"/>
  <c r="AD79" i="5" s="1"/>
  <c r="AC118" i="5"/>
  <c r="BF118" i="5" s="1"/>
  <c r="BG118" i="5" s="1"/>
  <c r="X118" i="5"/>
  <c r="X241" i="5"/>
  <c r="Y241" i="5"/>
  <c r="AC381" i="5"/>
  <c r="AD381" i="5" s="1"/>
  <c r="AA381" i="5"/>
  <c r="AB381" i="5"/>
  <c r="AC229" i="5"/>
  <c r="AD229" i="5" s="1"/>
  <c r="AB229" i="5"/>
  <c r="AA424" i="5"/>
  <c r="AB424" i="5"/>
  <c r="AC424" i="5"/>
  <c r="BF424" i="5" s="1"/>
  <c r="BG424" i="5" s="1"/>
  <c r="AA70" i="5"/>
  <c r="AA303" i="5"/>
  <c r="AA394" i="5"/>
  <c r="Y75" i="5"/>
  <c r="Y93" i="5"/>
  <c r="Y352" i="5"/>
  <c r="AA177" i="5"/>
  <c r="AB385" i="5"/>
  <c r="AA452" i="5"/>
  <c r="AB441" i="5"/>
  <c r="AA153" i="5"/>
  <c r="AB190" i="5"/>
  <c r="AA229" i="5"/>
  <c r="X39" i="5"/>
  <c r="AB116" i="5"/>
  <c r="AA227" i="5"/>
  <c r="AB401" i="5"/>
  <c r="X24" i="5"/>
  <c r="X280" i="5"/>
  <c r="AA38" i="5"/>
  <c r="AB356" i="5"/>
  <c r="AA481" i="5"/>
  <c r="AC342" i="5"/>
  <c r="AD342" i="5" s="1"/>
  <c r="AA463" i="5"/>
  <c r="AB463" i="5"/>
  <c r="AA532" i="5"/>
  <c r="AC532" i="5"/>
  <c r="AD532" i="5" s="1"/>
  <c r="AB532" i="5"/>
  <c r="AC303" i="5"/>
  <c r="AC321" i="5"/>
  <c r="AD321" i="5" s="1"/>
  <c r="Y321" i="5"/>
  <c r="X327" i="5"/>
  <c r="AC327" i="5"/>
  <c r="AC326" i="5"/>
  <c r="AE326" i="5" s="1"/>
  <c r="Y193" i="5"/>
  <c r="X193" i="5"/>
  <c r="Y198" i="5"/>
  <c r="X198" i="5"/>
  <c r="X83" i="5"/>
  <c r="Y83" i="5"/>
  <c r="Y38" i="5"/>
  <c r="X38" i="5"/>
  <c r="AB128" i="5"/>
  <c r="AA186" i="5"/>
  <c r="AB187" i="5"/>
  <c r="AA496" i="5"/>
  <c r="AC38" i="5"/>
  <c r="AE38" i="5" s="1"/>
  <c r="Y46" i="5"/>
  <c r="AA272" i="5"/>
  <c r="AA353" i="5"/>
  <c r="AC193" i="5"/>
  <c r="AE193" i="5" s="1"/>
  <c r="Y81" i="5"/>
  <c r="AA504" i="5"/>
  <c r="Y326" i="5"/>
  <c r="X303" i="5"/>
  <c r="AB434" i="5"/>
  <c r="AC504" i="5"/>
  <c r="BF504" i="5" s="1"/>
  <c r="BG504" i="5" s="1"/>
  <c r="AC109" i="5"/>
  <c r="BF109" i="5" s="1"/>
  <c r="BH109" i="5" s="1"/>
  <c r="AA499" i="5"/>
  <c r="AC499" i="5"/>
  <c r="BF499" i="5" s="1"/>
  <c r="BH499" i="5" s="1"/>
  <c r="AC526" i="5"/>
  <c r="AE526" i="5" s="1"/>
  <c r="AA526" i="5"/>
  <c r="AC237" i="5"/>
  <c r="AD237" i="5" s="1"/>
  <c r="AA422" i="5"/>
  <c r="AC422" i="5"/>
  <c r="BF422" i="5" s="1"/>
  <c r="BG422" i="5" s="1"/>
  <c r="AC204" i="5"/>
  <c r="AE204" i="5" s="1"/>
  <c r="AC60" i="5"/>
  <c r="AC366" i="5"/>
  <c r="BF366" i="5" s="1"/>
  <c r="AA366" i="5"/>
  <c r="AC338" i="5"/>
  <c r="BF338" i="5" s="1"/>
  <c r="BH338" i="5" s="1"/>
  <c r="AC222" i="5"/>
  <c r="AC130" i="5"/>
  <c r="AD130" i="5" s="1"/>
  <c r="AC258" i="5"/>
  <c r="BF258" i="5" s="1"/>
  <c r="AC460" i="5"/>
  <c r="AD460" i="5" s="1"/>
  <c r="AA460" i="5"/>
  <c r="AB460" i="5"/>
  <c r="AB456" i="5"/>
  <c r="AA456" i="5"/>
  <c r="AC274" i="5"/>
  <c r="AC331" i="5"/>
  <c r="AD331" i="5" s="1"/>
  <c r="AC90" i="5"/>
  <c r="AE90" i="5" s="1"/>
  <c r="AC188" i="5"/>
  <c r="BF188" i="5" s="1"/>
  <c r="AC146" i="5"/>
  <c r="BF146" i="5" s="1"/>
  <c r="BG146" i="5" s="1"/>
  <c r="AC52" i="5"/>
  <c r="AE52" i="5" s="1"/>
  <c r="AC182" i="5"/>
  <c r="BF182" i="5" s="1"/>
  <c r="BG182" i="5" s="1"/>
  <c r="AC359" i="5"/>
  <c r="AC127" i="5"/>
  <c r="AE127" i="5" s="1"/>
  <c r="AC382" i="5"/>
  <c r="AE382" i="5" s="1"/>
  <c r="AC77" i="5"/>
  <c r="AD77" i="5" s="1"/>
  <c r="AC30" i="5"/>
  <c r="AC278" i="5"/>
  <c r="AE278" i="5" s="1"/>
  <c r="AC191" i="5"/>
  <c r="AE191" i="5" s="1"/>
  <c r="AC198" i="5"/>
  <c r="AE198" i="5" s="1"/>
  <c r="AC212" i="5"/>
  <c r="AD212" i="5" s="1"/>
  <c r="AC241" i="5"/>
  <c r="BF241" i="5" s="1"/>
  <c r="BH241" i="5" s="1"/>
  <c r="AC159" i="5"/>
  <c r="AD159" i="5" s="1"/>
  <c r="AC61" i="5"/>
  <c r="BF61" i="5" s="1"/>
  <c r="BH61" i="5" s="1"/>
  <c r="AC20" i="5"/>
  <c r="AD20" i="5" s="1"/>
  <c r="AC145" i="5"/>
  <c r="BF145" i="5" s="1"/>
  <c r="BG145" i="5" s="1"/>
  <c r="AC111" i="5"/>
  <c r="AD111" i="5" s="1"/>
  <c r="AC95" i="5"/>
  <c r="AE95" i="5" s="1"/>
  <c r="AC208" i="5"/>
  <c r="AD208" i="5" s="1"/>
  <c r="AB208" i="5"/>
  <c r="AB202" i="5"/>
  <c r="AC202" i="5"/>
  <c r="BF202" i="5" s="1"/>
  <c r="AB27" i="5"/>
  <c r="AA27" i="5"/>
  <c r="AB425" i="5"/>
  <c r="AA425" i="5"/>
  <c r="AC309" i="5"/>
  <c r="AB309" i="5"/>
  <c r="AC453" i="5"/>
  <c r="AE453" i="5" s="1"/>
  <c r="AB453" i="5"/>
  <c r="AA246" i="5"/>
  <c r="AC246" i="5"/>
  <c r="AA535" i="5"/>
  <c r="AC535" i="5"/>
  <c r="AD535" i="5" s="1"/>
  <c r="AA485" i="5"/>
  <c r="AC485" i="5"/>
  <c r="AD485" i="5" s="1"/>
  <c r="AC162" i="5"/>
  <c r="BF162" i="5" s="1"/>
  <c r="Y162" i="5"/>
  <c r="AC47" i="5"/>
  <c r="Y47" i="5"/>
  <c r="AC317" i="5"/>
  <c r="BF317" i="5" s="1"/>
  <c r="X317" i="5"/>
  <c r="AC48" i="5"/>
  <c r="AE48" i="5" s="1"/>
  <c r="Y48" i="5"/>
  <c r="AC112" i="5"/>
  <c r="AE112" i="5" s="1"/>
  <c r="Y112" i="5"/>
  <c r="AC543" i="5"/>
  <c r="AA543" i="5"/>
  <c r="AA44" i="5"/>
  <c r="AB182" i="5"/>
  <c r="AB501" i="5"/>
  <c r="AC138" i="5"/>
  <c r="AD138" i="5" s="1"/>
  <c r="AC151" i="5"/>
  <c r="BF151" i="5" s="1"/>
  <c r="AC443" i="5"/>
  <c r="AE443" i="5" s="1"/>
  <c r="AB76" i="5"/>
  <c r="AA162" i="5"/>
  <c r="AA413" i="5"/>
  <c r="AB543" i="5"/>
  <c r="AC275" i="5"/>
  <c r="BF275" i="5" s="1"/>
  <c r="Y53" i="5"/>
  <c r="X191" i="5"/>
  <c r="AA275" i="5"/>
  <c r="AB535" i="5"/>
  <c r="Y127" i="5"/>
  <c r="Y359" i="5"/>
  <c r="AA208" i="5"/>
  <c r="AB550" i="5"/>
  <c r="AC203" i="5"/>
  <c r="AD203" i="5" s="1"/>
  <c r="AC84" i="5"/>
  <c r="AA84" i="5"/>
  <c r="AC172" i="5"/>
  <c r="AE172" i="5" s="1"/>
  <c r="AA172" i="5"/>
  <c r="AC348" i="5"/>
  <c r="AB348" i="5"/>
  <c r="AB527" i="5"/>
  <c r="AC527" i="5"/>
  <c r="AC23" i="5"/>
  <c r="AE23" i="5" s="1"/>
  <c r="AA23" i="5"/>
  <c r="AC548" i="5"/>
  <c r="BF548" i="5" s="1"/>
  <c r="BG548" i="5" s="1"/>
  <c r="AB548" i="5"/>
  <c r="AB393" i="5"/>
  <c r="AA393" i="5"/>
  <c r="AA318" i="5"/>
  <c r="AB318" i="5"/>
  <c r="AB174" i="5"/>
  <c r="AC174" i="5"/>
  <c r="BF174" i="5" s="1"/>
  <c r="AA77" i="5"/>
  <c r="AB77" i="5"/>
  <c r="AB138" i="5"/>
  <c r="AC438" i="5"/>
  <c r="AD438" i="5" s="1"/>
  <c r="AA438" i="5"/>
  <c r="AB52" i="5"/>
  <c r="AB278" i="5"/>
  <c r="AC425" i="5"/>
  <c r="AE425" i="5" s="1"/>
  <c r="Y30" i="5"/>
  <c r="Y77" i="5"/>
  <c r="X382" i="5"/>
  <c r="AB169" i="5"/>
  <c r="X91" i="5"/>
  <c r="X112" i="5"/>
  <c r="AB324" i="5"/>
  <c r="AA365" i="5"/>
  <c r="AB415" i="5"/>
  <c r="AC83" i="5"/>
  <c r="AD83" i="5" s="1"/>
  <c r="X114" i="5"/>
  <c r="Y187" i="5"/>
  <c r="Y234" i="5"/>
  <c r="AA202" i="5"/>
  <c r="AA310" i="5"/>
  <c r="AA492" i="5"/>
  <c r="AA407" i="5"/>
  <c r="AB485" i="5"/>
  <c r="AC413" i="5"/>
  <c r="BF413" i="5" s="1"/>
  <c r="AC31" i="5"/>
  <c r="AC167" i="5"/>
  <c r="AD167" i="5" s="1"/>
  <c r="AC415" i="5"/>
  <c r="AE415" i="5" s="1"/>
  <c r="AC423" i="5"/>
  <c r="AD423" i="5" s="1"/>
  <c r="AA331" i="5"/>
  <c r="AC432" i="5"/>
  <c r="AE432" i="5" s="1"/>
  <c r="AC129" i="5"/>
  <c r="AE129" i="5" s="1"/>
  <c r="AC224" i="5"/>
  <c r="AC247" i="5"/>
  <c r="BF247" i="5" s="1"/>
  <c r="AC121" i="5"/>
  <c r="AD121" i="5" s="1"/>
  <c r="AC105" i="5"/>
  <c r="BF105" i="5" s="1"/>
  <c r="BG105" i="5" s="1"/>
  <c r="AC104" i="5"/>
  <c r="AC210" i="5"/>
  <c r="AC264" i="5"/>
  <c r="AD264" i="5" s="1"/>
  <c r="AC374" i="5"/>
  <c r="AE374" i="5" s="1"/>
  <c r="AC233" i="5"/>
  <c r="AE233" i="5" s="1"/>
  <c r="AC312" i="5"/>
  <c r="AE312" i="5" s="1"/>
  <c r="AC195" i="5"/>
  <c r="AE195" i="5" s="1"/>
  <c r="AC26" i="5"/>
  <c r="AE26" i="5" s="1"/>
  <c r="AC257" i="5"/>
  <c r="AC108" i="5"/>
  <c r="BF108" i="5" s="1"/>
  <c r="BH108" i="5" s="1"/>
  <c r="AC216" i="5"/>
  <c r="BF216" i="5" s="1"/>
  <c r="BG216" i="5" s="1"/>
  <c r="AA216" i="5"/>
  <c r="AC525" i="5"/>
  <c r="AA525" i="5"/>
  <c r="X362" i="5"/>
  <c r="Y362" i="5"/>
  <c r="AC362" i="5"/>
  <c r="Y358" i="5"/>
  <c r="AC358" i="5"/>
  <c r="AD358" i="5" s="1"/>
  <c r="X276" i="5"/>
  <c r="Y276" i="5"/>
  <c r="X242" i="5"/>
  <c r="Y242" i="5"/>
  <c r="Y244" i="5"/>
  <c r="AC244" i="5"/>
  <c r="AE244" i="5" s="1"/>
  <c r="Y183" i="5"/>
  <c r="X183" i="5"/>
  <c r="X100" i="5"/>
  <c r="Y100" i="5"/>
  <c r="X42" i="5"/>
  <c r="Y42" i="5"/>
  <c r="AC502" i="5"/>
  <c r="BF502" i="5" s="1"/>
  <c r="AA502" i="5"/>
  <c r="AC50" i="5"/>
  <c r="AE50" i="5" s="1"/>
  <c r="X50" i="5"/>
  <c r="AC168" i="5"/>
  <c r="Y168" i="5"/>
  <c r="AA120" i="5"/>
  <c r="AB216" i="5"/>
  <c r="AC469" i="5"/>
  <c r="AD469" i="5" s="1"/>
  <c r="Y33" i="5"/>
  <c r="AB502" i="5"/>
  <c r="Y249" i="5"/>
  <c r="AA357" i="5"/>
  <c r="AC357" i="5"/>
  <c r="BF357" i="5" s="1"/>
  <c r="AC343" i="5"/>
  <c r="AB343" i="5"/>
  <c r="AC265" i="5"/>
  <c r="AD265" i="5" s="1"/>
  <c r="AA265" i="5"/>
  <c r="AB293" i="5"/>
  <c r="AC293" i="5"/>
  <c r="AD293" i="5" s="1"/>
  <c r="AA293" i="5"/>
  <c r="AB256" i="5"/>
  <c r="AA256" i="5"/>
  <c r="AC196" i="5"/>
  <c r="AE196" i="5" s="1"/>
  <c r="AB196" i="5"/>
  <c r="AC141" i="5"/>
  <c r="BF141" i="5" s="1"/>
  <c r="BH141" i="5" s="1"/>
  <c r="AB141" i="5"/>
  <c r="AA135" i="5"/>
  <c r="AB135" i="5"/>
  <c r="AC93" i="5"/>
  <c r="AE93" i="5" s="1"/>
  <c r="AA93" i="5"/>
  <c r="AC55" i="5"/>
  <c r="AD55" i="5" s="1"/>
  <c r="AA55" i="5"/>
  <c r="AC214" i="5"/>
  <c r="BF214" i="5" s="1"/>
  <c r="BG214" i="5" s="1"/>
  <c r="AB214" i="5"/>
  <c r="AC113" i="5"/>
  <c r="BF113" i="5" s="1"/>
  <c r="AA113" i="5"/>
  <c r="AC147" i="5"/>
  <c r="BF147" i="5" s="1"/>
  <c r="BH147" i="5" s="1"/>
  <c r="AB147" i="5"/>
  <c r="AC33" i="5"/>
  <c r="BF33" i="5" s="1"/>
  <c r="BG33" i="5" s="1"/>
  <c r="AB362" i="5"/>
  <c r="AA362" i="5"/>
  <c r="AA519" i="5"/>
  <c r="AC519" i="5"/>
  <c r="AD519" i="5" s="1"/>
  <c r="AB537" i="5"/>
  <c r="AA537" i="5"/>
  <c r="AA400" i="5"/>
  <c r="AC400" i="5"/>
  <c r="AE400" i="5" s="1"/>
  <c r="AB400" i="5"/>
  <c r="AB344" i="5"/>
  <c r="AA344" i="5"/>
  <c r="AB392" i="5"/>
  <c r="AA392" i="5"/>
  <c r="AC392" i="5"/>
  <c r="BF392" i="5" s="1"/>
  <c r="AC284" i="5"/>
  <c r="AA284" i="5"/>
  <c r="AC194" i="5"/>
  <c r="AE194" i="5" s="1"/>
  <c r="AA194" i="5"/>
  <c r="AC87" i="5"/>
  <c r="AE87" i="5" s="1"/>
  <c r="AA87" i="5"/>
  <c r="AC73" i="5"/>
  <c r="AE73" i="5" s="1"/>
  <c r="AB73" i="5"/>
  <c r="AC144" i="5"/>
  <c r="BF144" i="5" s="1"/>
  <c r="BH144" i="5" s="1"/>
  <c r="AB144" i="5"/>
  <c r="AC261" i="5"/>
  <c r="AE261" i="5" s="1"/>
  <c r="AA261" i="5"/>
  <c r="AC399" i="5"/>
  <c r="AE399" i="5" s="1"/>
  <c r="AB399" i="5"/>
  <c r="AA513" i="5"/>
  <c r="AC513" i="5"/>
  <c r="AE513" i="5" s="1"/>
  <c r="Y344" i="5"/>
  <c r="AC344" i="5"/>
  <c r="BF344" i="5" s="1"/>
  <c r="X344" i="5"/>
  <c r="X294" i="5"/>
  <c r="Y294" i="5"/>
  <c r="X199" i="5"/>
  <c r="Y199" i="5"/>
  <c r="Y113" i="5"/>
  <c r="X113" i="5"/>
  <c r="X54" i="5"/>
  <c r="Y54" i="5"/>
  <c r="AC371" i="5"/>
  <c r="AE371" i="5" s="1"/>
  <c r="AA371" i="5"/>
  <c r="AC106" i="5"/>
  <c r="AD106" i="5" s="1"/>
  <c r="Y106" i="5"/>
  <c r="AA552" i="5"/>
  <c r="AC552" i="5"/>
  <c r="AD552" i="5" s="1"/>
  <c r="AB552" i="5"/>
  <c r="AB210" i="5"/>
  <c r="AB513" i="5"/>
  <c r="AC211" i="5"/>
  <c r="AD211" i="5" s="1"/>
  <c r="X168" i="5"/>
  <c r="AB371" i="5"/>
  <c r="X120" i="5"/>
  <c r="AC418" i="5"/>
  <c r="BF418" i="5" s="1"/>
  <c r="BG418" i="5" s="1"/>
  <c r="AA418" i="5"/>
  <c r="AB418" i="5"/>
  <c r="AB319" i="5"/>
  <c r="AC319" i="5"/>
  <c r="BF319" i="5" s="1"/>
  <c r="BH319" i="5" s="1"/>
  <c r="AA319" i="5"/>
  <c r="AC230" i="5"/>
  <c r="AE230" i="5" s="1"/>
  <c r="AA230" i="5"/>
  <c r="AB230" i="5"/>
  <c r="AC180" i="5"/>
  <c r="AD180" i="5" s="1"/>
  <c r="AA180" i="5"/>
  <c r="AB180" i="5"/>
  <c r="AB102" i="5"/>
  <c r="AC102" i="5"/>
  <c r="AD102" i="5" s="1"/>
  <c r="AC62" i="5"/>
  <c r="BF62" i="5" s="1"/>
  <c r="BG62" i="5" s="1"/>
  <c r="AB62" i="5"/>
  <c r="AA62" i="5"/>
  <c r="AC41" i="5"/>
  <c r="AE41" i="5" s="1"/>
  <c r="AB41" i="5"/>
  <c r="AA41" i="5"/>
  <c r="AC236" i="5"/>
  <c r="AE236" i="5" s="1"/>
  <c r="AB236" i="5"/>
  <c r="AC157" i="5"/>
  <c r="BF157" i="5" s="1"/>
  <c r="BH157" i="5" s="1"/>
  <c r="AB157" i="5"/>
  <c r="AA445" i="5"/>
  <c r="AC445" i="5"/>
  <c r="AE445" i="5" s="1"/>
  <c r="AA104" i="5"/>
  <c r="AA431" i="5"/>
  <c r="AB396" i="5"/>
  <c r="AA479" i="5"/>
  <c r="AB553" i="5"/>
  <c r="AC135" i="5"/>
  <c r="Y105" i="5"/>
  <c r="Y121" i="5"/>
  <c r="X247" i="5"/>
  <c r="X224" i="5"/>
  <c r="X129" i="5"/>
  <c r="X432" i="5"/>
  <c r="AA210" i="5"/>
  <c r="AB525" i="5"/>
  <c r="AB515" i="5"/>
  <c r="Y141" i="5"/>
  <c r="AB113" i="5"/>
  <c r="AA218" i="5"/>
  <c r="AA264" i="5"/>
  <c r="AA309" i="5"/>
  <c r="AA274" i="5"/>
  <c r="AB445" i="5"/>
  <c r="AB354" i="5"/>
  <c r="AC36" i="5"/>
  <c r="AD36" i="5" s="1"/>
  <c r="Y63" i="5"/>
  <c r="Y220" i="5"/>
  <c r="Y419" i="5"/>
  <c r="AA196" i="5"/>
  <c r="AB310" i="5"/>
  <c r="AB357" i="5"/>
  <c r="AA454" i="5"/>
  <c r="AB519" i="5"/>
  <c r="AC120" i="5"/>
  <c r="AD120" i="5" s="1"/>
  <c r="AC199" i="5"/>
  <c r="AC322" i="5"/>
  <c r="AD322" i="5" s="1"/>
  <c r="AC175" i="5"/>
  <c r="AE175" i="5" s="1"/>
  <c r="AC183" i="5"/>
  <c r="BF183" i="5" s="1"/>
  <c r="BH183" i="5" s="1"/>
  <c r="AC156" i="5"/>
  <c r="AC37" i="5"/>
  <c r="AE37" i="5" s="1"/>
  <c r="AC291" i="5"/>
  <c r="AE291" i="5" s="1"/>
  <c r="AC100" i="5"/>
  <c r="BF100" i="5" s="1"/>
  <c r="AC42" i="5"/>
  <c r="AE42" i="5" s="1"/>
  <c r="AB490" i="5"/>
  <c r="AA490" i="5"/>
  <c r="AC528" i="5"/>
  <c r="BF528" i="5" s="1"/>
  <c r="BG528" i="5" s="1"/>
  <c r="AB528" i="5"/>
  <c r="AC68" i="5"/>
  <c r="AD68" i="5" s="1"/>
  <c r="AC245" i="5"/>
  <c r="AC306" i="5"/>
  <c r="AE306" i="5" s="1"/>
  <c r="AC368" i="5"/>
  <c r="AE368" i="5" s="1"/>
  <c r="AC294" i="5"/>
  <c r="AE294" i="5" s="1"/>
  <c r="AC419" i="5"/>
  <c r="AD419" i="5" s="1"/>
  <c r="AC205" i="5"/>
  <c r="AE205" i="5" s="1"/>
  <c r="AC523" i="5"/>
  <c r="AE523" i="5" s="1"/>
  <c r="AC215" i="5"/>
  <c r="BF215" i="5" s="1"/>
  <c r="BH215" i="5" s="1"/>
  <c r="AC271" i="5"/>
  <c r="AC54" i="5"/>
  <c r="BF54" i="5" s="1"/>
  <c r="AC295" i="5"/>
  <c r="AC234" i="5"/>
  <c r="BF234" i="5" s="1"/>
  <c r="BH234" i="5" s="1"/>
  <c r="AA234" i="5"/>
  <c r="AC173" i="5"/>
  <c r="BF173" i="5" s="1"/>
  <c r="AB173" i="5"/>
  <c r="AC117" i="5"/>
  <c r="BF117" i="5" s="1"/>
  <c r="BH117" i="5" s="1"/>
  <c r="AB117" i="5"/>
  <c r="AC254" i="5"/>
  <c r="AD254" i="5" s="1"/>
  <c r="AA254" i="5"/>
  <c r="AA238" i="5"/>
  <c r="AB238" i="5"/>
  <c r="AC164" i="5"/>
  <c r="AD164" i="5" s="1"/>
  <c r="AA164" i="5"/>
  <c r="AB226" i="5"/>
  <c r="AA514" i="5"/>
  <c r="AC114" i="5"/>
  <c r="AD114" i="5" s="1"/>
  <c r="AC383" i="5"/>
  <c r="AE383" i="5" s="1"/>
  <c r="AB137" i="5"/>
  <c r="AA328" i="5"/>
  <c r="AC511" i="5"/>
  <c r="AD511" i="5" s="1"/>
  <c r="AB23" i="5"/>
  <c r="AA114" i="5"/>
  <c r="AB213" i="5"/>
  <c r="AA163" i="5"/>
  <c r="AB254" i="5"/>
  <c r="AB297" i="5"/>
  <c r="AB474" i="5"/>
  <c r="AC187" i="5"/>
  <c r="AD187" i="5" s="1"/>
  <c r="AC286" i="5"/>
  <c r="BF286" i="5" s="1"/>
  <c r="AA383" i="5"/>
  <c r="AC139" i="5"/>
  <c r="AD139" i="5" s="1"/>
  <c r="AC74" i="5"/>
  <c r="AD74" i="5" s="1"/>
  <c r="AC213" i="5"/>
  <c r="BF213" i="5" s="1"/>
  <c r="AC369" i="5"/>
  <c r="AE369" i="5" s="1"/>
  <c r="AA369" i="5"/>
  <c r="AA277" i="5"/>
  <c r="AC277" i="5"/>
  <c r="AE277" i="5" s="1"/>
  <c r="AC165" i="5"/>
  <c r="AD165" i="5" s="1"/>
  <c r="AB165" i="5"/>
  <c r="AC240" i="5"/>
  <c r="AD240" i="5" s="1"/>
  <c r="AA240" i="5"/>
  <c r="AC170" i="5"/>
  <c r="AB170" i="5"/>
  <c r="AC158" i="5"/>
  <c r="AE158" i="5" s="1"/>
  <c r="AB158" i="5"/>
  <c r="AB92" i="5"/>
  <c r="AC92" i="5"/>
  <c r="AE92" i="5" s="1"/>
  <c r="AC51" i="5"/>
  <c r="BF51" i="5" s="1"/>
  <c r="BG51" i="5" s="1"/>
  <c r="AA51" i="5"/>
  <c r="AA439" i="5"/>
  <c r="AC439" i="5"/>
  <c r="AD439" i="5" s="1"/>
  <c r="AC252" i="5"/>
  <c r="BF252" i="5" s="1"/>
  <c r="AA252" i="5"/>
  <c r="AC171" i="5"/>
  <c r="BF171" i="5" s="1"/>
  <c r="BH171" i="5" s="1"/>
  <c r="AA171" i="5"/>
  <c r="AC474" i="5"/>
  <c r="AC287" i="5"/>
  <c r="AD287" i="5" s="1"/>
  <c r="AA287" i="5"/>
  <c r="AC267" i="5"/>
  <c r="BF267" i="5" s="1"/>
  <c r="AA267" i="5"/>
  <c r="AA126" i="5"/>
  <c r="AC126" i="5"/>
  <c r="BF126" i="5" s="1"/>
  <c r="AC67" i="5"/>
  <c r="AE67" i="5" s="1"/>
  <c r="AA67" i="5"/>
  <c r="AB179" i="5"/>
  <c r="AC179" i="5"/>
  <c r="BF179" i="5" s="1"/>
  <c r="BG179" i="5" s="1"/>
  <c r="AA531" i="5"/>
  <c r="AC531" i="5"/>
  <c r="AC529" i="5"/>
  <c r="AA529" i="5"/>
  <c r="AA245" i="5"/>
  <c r="AC431" i="5"/>
  <c r="AD431" i="5" s="1"/>
  <c r="AA66" i="5"/>
  <c r="AA226" i="5"/>
  <c r="AB245" i="5"/>
  <c r="AB306" i="5"/>
  <c r="AA137" i="5"/>
  <c r="AB446" i="5"/>
  <c r="AA409" i="5"/>
  <c r="AC297" i="5"/>
  <c r="AE297" i="5" s="1"/>
  <c r="AB74" i="5"/>
  <c r="AB163" i="5"/>
  <c r="AB300" i="5"/>
  <c r="AA379" i="5"/>
  <c r="AA286" i="5"/>
  <c r="AA398" i="5"/>
  <c r="AB531" i="5"/>
  <c r="AA469" i="5"/>
  <c r="AC75" i="5"/>
  <c r="AC185" i="5"/>
  <c r="AD185" i="5" s="1"/>
  <c r="AB40" i="5"/>
  <c r="AA158" i="5"/>
  <c r="AB185" i="5"/>
  <c r="AA173" i="5"/>
  <c r="AA165" i="5"/>
  <c r="AA315" i="5"/>
  <c r="AB287" i="5"/>
  <c r="AC40" i="5"/>
  <c r="AC518" i="5"/>
  <c r="AC522" i="5"/>
  <c r="AD522" i="5" s="1"/>
  <c r="AB522" i="5"/>
  <c r="AA450" i="5"/>
  <c r="AB450" i="5"/>
  <c r="AC459" i="5"/>
  <c r="AD459" i="5" s="1"/>
  <c r="AA459" i="5"/>
  <c r="AB459" i="5"/>
  <c r="AC28" i="5"/>
  <c r="AA28" i="5"/>
  <c r="AA402" i="5"/>
  <c r="AB402" i="5"/>
  <c r="AB59" i="5"/>
  <c r="AC59" i="5"/>
  <c r="AE59" i="5" s="1"/>
  <c r="AB66" i="5"/>
  <c r="AB95" i="5"/>
  <c r="AA128" i="5"/>
  <c r="AA306" i="5"/>
  <c r="AB272" i="5"/>
  <c r="AA446" i="5"/>
  <c r="AB438" i="5"/>
  <c r="AB409" i="5"/>
  <c r="AB68" i="5"/>
  <c r="AB139" i="5"/>
  <c r="AA300" i="5"/>
  <c r="AA511" i="5"/>
  <c r="AA518" i="5"/>
  <c r="AC124" i="5"/>
  <c r="AD124" i="5" s="1"/>
  <c r="AA81" i="5"/>
  <c r="AA149" i="5"/>
  <c r="AB124" i="5"/>
  <c r="AA220" i="5"/>
  <c r="AA269" i="5"/>
  <c r="AB267" i="5"/>
  <c r="AC285" i="5"/>
  <c r="AC280" i="5"/>
  <c r="BF280" i="5" s="1"/>
  <c r="AC133" i="5"/>
  <c r="AD133" i="5" s="1"/>
  <c r="AC56" i="5"/>
  <c r="AE56" i="5" s="1"/>
  <c r="AA56" i="5"/>
  <c r="AC122" i="5"/>
  <c r="AB122" i="5"/>
  <c r="AC221" i="5"/>
  <c r="AE221" i="5" s="1"/>
  <c r="AB221" i="5"/>
  <c r="AC304" i="5"/>
  <c r="AE304" i="5" s="1"/>
  <c r="AA304" i="5"/>
  <c r="AB416" i="5"/>
  <c r="AC416" i="5"/>
  <c r="AE416" i="5" s="1"/>
  <c r="AB299" i="5"/>
  <c r="AC299" i="5"/>
  <c r="BF299" i="5" s="1"/>
  <c r="BG299" i="5" s="1"/>
  <c r="AA299" i="5"/>
  <c r="AB387" i="5"/>
  <c r="AC387" i="5"/>
  <c r="AD387" i="5" s="1"/>
  <c r="AB386" i="5"/>
  <c r="AC386" i="5"/>
  <c r="AA386" i="5"/>
  <c r="AA544" i="5"/>
  <c r="AC544" i="5"/>
  <c r="AA301" i="5"/>
  <c r="AC301" i="5"/>
  <c r="BF301" i="5" s="1"/>
  <c r="AB217" i="5"/>
  <c r="AC217" i="5"/>
  <c r="BF217" i="5" s="1"/>
  <c r="AA142" i="5"/>
  <c r="AC142" i="5"/>
  <c r="BF142" i="5" s="1"/>
  <c r="AB119" i="5"/>
  <c r="AC119" i="5"/>
  <c r="AD119" i="5" s="1"/>
  <c r="AB86" i="5"/>
  <c r="AC86" i="5"/>
  <c r="AD86" i="5" s="1"/>
  <c r="AB352" i="5"/>
  <c r="AC352" i="5"/>
  <c r="BF352" i="5" s="1"/>
  <c r="BH352" i="5" s="1"/>
  <c r="AA333" i="5"/>
  <c r="AC333" i="5"/>
  <c r="AD333" i="5" s="1"/>
  <c r="AB263" i="5"/>
  <c r="AC263" i="5"/>
  <c r="AE263" i="5" s="1"/>
  <c r="AB201" i="5"/>
  <c r="AC201" i="5"/>
  <c r="BF201" i="5" s="1"/>
  <c r="BG201" i="5" s="1"/>
  <c r="AB225" i="5"/>
  <c r="AC225" i="5"/>
  <c r="AD225" i="5" s="1"/>
  <c r="AB78" i="5"/>
  <c r="AC78" i="5"/>
  <c r="BF78" i="5" s="1"/>
  <c r="AB24" i="5"/>
  <c r="AC24" i="5"/>
  <c r="AD24" i="5" s="1"/>
  <c r="AC166" i="5"/>
  <c r="AD166" i="5" s="1"/>
  <c r="AC184" i="5"/>
  <c r="BF184" i="5" s="1"/>
  <c r="AC197" i="5"/>
  <c r="AD197" i="5" s="1"/>
  <c r="AC140" i="5"/>
  <c r="AD140" i="5" s="1"/>
  <c r="AC476" i="5"/>
  <c r="AD476" i="5" s="1"/>
  <c r="AC407" i="5"/>
  <c r="AE407" i="5" s="1"/>
  <c r="AC305" i="5"/>
  <c r="BF305" i="5" s="1"/>
  <c r="BH305" i="5" s="1"/>
  <c r="AC517" i="5"/>
  <c r="BF517" i="5" s="1"/>
  <c r="AB109" i="5"/>
  <c r="AB370" i="5"/>
  <c r="AA378" i="5"/>
  <c r="AA500" i="5"/>
  <c r="AB484" i="5"/>
  <c r="AB471" i="5"/>
  <c r="AA483" i="5"/>
  <c r="AC403" i="5"/>
  <c r="AD403" i="5" s="1"/>
  <c r="AB366" i="5"/>
  <c r="AB492" i="5"/>
  <c r="AB493" i="5"/>
  <c r="AB526" i="5"/>
  <c r="AC451" i="5"/>
  <c r="BF451" i="5" s="1"/>
  <c r="BG451" i="5" s="1"/>
  <c r="AC260" i="5"/>
  <c r="BF260" i="5" s="1"/>
  <c r="BH260" i="5" s="1"/>
  <c r="AB389" i="5"/>
  <c r="AC389" i="5"/>
  <c r="BF389" i="5" s="1"/>
  <c r="AB556" i="5"/>
  <c r="AA556" i="5"/>
  <c r="AC316" i="5"/>
  <c r="AD316" i="5" s="1"/>
  <c r="AA316" i="5"/>
  <c r="AB316" i="5"/>
  <c r="AA508" i="5"/>
  <c r="AB508" i="5"/>
  <c r="AC429" i="5"/>
  <c r="AD429" i="5" s="1"/>
  <c r="AA429" i="5"/>
  <c r="AB429" i="5"/>
  <c r="AB503" i="5"/>
  <c r="AA503" i="5"/>
  <c r="AA432" i="5"/>
  <c r="AB432" i="5"/>
  <c r="AB505" i="5"/>
  <c r="AA505" i="5"/>
  <c r="AA437" i="5"/>
  <c r="AC437" i="5"/>
  <c r="AD437" i="5" s="1"/>
  <c r="AB437" i="5"/>
  <c r="AA388" i="5"/>
  <c r="AB388" i="5"/>
  <c r="AA311" i="5"/>
  <c r="AC311" i="5"/>
  <c r="BF311" i="5" s="1"/>
  <c r="BH311" i="5" s="1"/>
  <c r="AB311" i="5"/>
  <c r="AA377" i="5"/>
  <c r="AB377" i="5"/>
  <c r="AC398" i="5"/>
  <c r="AA60" i="5"/>
  <c r="AA204" i="5"/>
  <c r="AB259" i="5"/>
  <c r="AA294" i="5"/>
  <c r="AA320" i="5"/>
  <c r="AA395" i="5"/>
  <c r="AA345" i="5"/>
  <c r="AA462" i="5"/>
  <c r="AB189" i="5"/>
  <c r="AA455" i="5"/>
  <c r="AA520" i="5"/>
  <c r="AA530" i="5"/>
  <c r="AB368" i="5"/>
  <c r="AA447" i="5"/>
  <c r="AC393" i="5"/>
  <c r="BF393" i="5" s="1"/>
  <c r="AA35" i="5"/>
  <c r="AA97" i="5"/>
  <c r="AB130" i="5"/>
  <c r="AA222" i="5"/>
  <c r="AA338" i="5"/>
  <c r="AC545" i="5"/>
  <c r="AD545" i="5" s="1"/>
  <c r="AB419" i="5"/>
  <c r="AA367" i="5"/>
  <c r="AA548" i="5"/>
  <c r="AA440" i="5"/>
  <c r="AB440" i="5"/>
  <c r="AB346" i="5"/>
  <c r="AC346" i="5"/>
  <c r="AA346" i="5"/>
  <c r="AA330" i="5"/>
  <c r="AB330" i="5"/>
  <c r="AA288" i="5"/>
  <c r="AB288" i="5"/>
  <c r="AB237" i="5"/>
  <c r="AA237" i="5"/>
  <c r="AA192" i="5"/>
  <c r="AC192" i="5"/>
  <c r="BF192" i="5" s="1"/>
  <c r="AB192" i="5"/>
  <c r="AB143" i="5"/>
  <c r="AA143" i="5"/>
  <c r="AC143" i="5"/>
  <c r="AD143" i="5" s="1"/>
  <c r="AB155" i="5"/>
  <c r="AC155" i="5"/>
  <c r="AA155" i="5"/>
  <c r="AB101" i="5"/>
  <c r="AC101" i="5"/>
  <c r="AE101" i="5" s="1"/>
  <c r="AA101" i="5"/>
  <c r="AB57" i="5"/>
  <c r="AA57" i="5"/>
  <c r="AA49" i="5"/>
  <c r="AB49" i="5"/>
  <c r="AC361" i="5"/>
  <c r="AE361" i="5" s="1"/>
  <c r="AB361" i="5"/>
  <c r="AC181" i="5"/>
  <c r="AB181" i="5"/>
  <c r="AC123" i="5"/>
  <c r="AB123" i="5"/>
  <c r="AC80" i="5"/>
  <c r="AE80" i="5" s="1"/>
  <c r="AA80" i="5"/>
  <c r="AC503" i="5"/>
  <c r="AA37" i="5"/>
  <c r="AA24" i="5"/>
  <c r="AA78" i="5"/>
  <c r="AB91" i="5"/>
  <c r="AB98" i="5"/>
  <c r="AB133" i="5"/>
  <c r="AA134" i="5"/>
  <c r="AA156" i="5"/>
  <c r="AA176" i="5"/>
  <c r="AA195" i="5"/>
  <c r="AA225" i="5"/>
  <c r="AA197" i="5"/>
  <c r="AA201" i="5"/>
  <c r="AB253" i="5"/>
  <c r="AB307" i="5"/>
  <c r="AB290" i="5"/>
  <c r="AA263" i="5"/>
  <c r="AB314" i="5"/>
  <c r="AB333" i="5"/>
  <c r="AA417" i="5"/>
  <c r="AA352" i="5"/>
  <c r="AC32" i="5"/>
  <c r="BF32" i="5" s="1"/>
  <c r="AC302" i="5"/>
  <c r="AD302" i="5" s="1"/>
  <c r="AA25" i="5"/>
  <c r="AA63" i="5"/>
  <c r="AB32" i="5"/>
  <c r="AA82" i="5"/>
  <c r="AA86" i="5"/>
  <c r="AA125" i="5"/>
  <c r="AA119" i="5"/>
  <c r="AB142" i="5"/>
  <c r="AA166" i="5"/>
  <c r="AA183" i="5"/>
  <c r="AA217" i="5"/>
  <c r="AA184" i="5"/>
  <c r="AB198" i="5"/>
  <c r="AB242" i="5"/>
  <c r="AB302" i="5"/>
  <c r="AB280" i="5"/>
  <c r="AA255" i="5"/>
  <c r="AB301" i="5"/>
  <c r="AA243" i="5"/>
  <c r="AB404" i="5"/>
  <c r="AB292" i="5"/>
  <c r="AC242" i="5"/>
  <c r="AD242" i="5" s="1"/>
  <c r="AC404" i="5"/>
  <c r="AD404" i="5" s="1"/>
  <c r="AC307" i="5"/>
  <c r="AC176" i="5"/>
  <c r="AC98" i="5"/>
  <c r="AC243" i="5"/>
  <c r="AC82" i="5"/>
  <c r="AE82" i="5" s="1"/>
  <c r="AC314" i="5"/>
  <c r="AD314" i="5" s="1"/>
  <c r="AC292" i="5"/>
  <c r="AD292" i="5" s="1"/>
  <c r="AC91" i="5"/>
  <c r="AD91" i="5" s="1"/>
  <c r="AC63" i="5"/>
  <c r="BF63" i="5" s="1"/>
  <c r="AC255" i="5"/>
  <c r="AD255" i="5" s="1"/>
  <c r="AB37" i="5"/>
  <c r="AB134" i="5"/>
  <c r="AB156" i="5"/>
  <c r="AB195" i="5"/>
  <c r="AA253" i="5"/>
  <c r="AA290" i="5"/>
  <c r="AB417" i="5"/>
  <c r="AC125" i="5"/>
  <c r="AE125" i="5" s="1"/>
  <c r="AB183" i="5"/>
  <c r="AA198" i="5"/>
  <c r="BI273" i="5" l="1"/>
  <c r="AR63" i="5"/>
  <c r="AR36" i="5"/>
  <c r="AQ63" i="5"/>
  <c r="AQ36" i="5"/>
  <c r="AR273" i="5"/>
  <c r="AR299" i="5"/>
  <c r="AQ299" i="5"/>
  <c r="AR182" i="5"/>
  <c r="BI182" i="5"/>
  <c r="BJ182" i="5" s="1"/>
  <c r="BL182" i="5" s="1"/>
  <c r="AQ330" i="5"/>
  <c r="BI330" i="5"/>
  <c r="BK330" i="5" s="1"/>
  <c r="AR304" i="5"/>
  <c r="BI340" i="5"/>
  <c r="BJ340" i="5" s="1"/>
  <c r="AQ304" i="5"/>
  <c r="AQ340" i="5"/>
  <c r="BI495" i="5"/>
  <c r="BK495" i="5" s="1"/>
  <c r="BM495" i="5" s="1"/>
  <c r="AQ495" i="5"/>
  <c r="AR477" i="5"/>
  <c r="BI477" i="5"/>
  <c r="BJ477" i="5" s="1"/>
  <c r="AR283" i="5"/>
  <c r="AQ283" i="5"/>
  <c r="AR258" i="5"/>
  <c r="AQ258" i="5"/>
  <c r="AR358" i="5"/>
  <c r="AQ358" i="5"/>
  <c r="BI496" i="5"/>
  <c r="BK496" i="5" s="1"/>
  <c r="AQ45" i="5"/>
  <c r="AR322" i="5"/>
  <c r="BI45" i="5"/>
  <c r="BK45" i="5" s="1"/>
  <c r="AQ199" i="5"/>
  <c r="BI322" i="5"/>
  <c r="BJ322" i="5" s="1"/>
  <c r="AR199" i="5"/>
  <c r="AR496" i="5"/>
  <c r="AR156" i="5"/>
  <c r="BI306" i="5"/>
  <c r="BJ306" i="5" s="1"/>
  <c r="AR306" i="5"/>
  <c r="BI156" i="5"/>
  <c r="BK156" i="5" s="1"/>
  <c r="AR67" i="5"/>
  <c r="AQ67" i="5"/>
  <c r="AR113" i="5"/>
  <c r="BI113" i="5"/>
  <c r="BJ113" i="5" s="1"/>
  <c r="AQ209" i="5"/>
  <c r="AR209" i="5"/>
  <c r="AQ114" i="5"/>
  <c r="AR114" i="5"/>
  <c r="AR125" i="5"/>
  <c r="AQ125" i="5"/>
  <c r="BI439" i="5"/>
  <c r="BK439" i="5" s="1"/>
  <c r="AQ219" i="5"/>
  <c r="BI219" i="5"/>
  <c r="BK219" i="5" s="1"/>
  <c r="AR234" i="5"/>
  <c r="AQ234" i="5"/>
  <c r="AQ439" i="5"/>
  <c r="BI172" i="5"/>
  <c r="BK172" i="5" s="1"/>
  <c r="BI208" i="5"/>
  <c r="BK208" i="5" s="1"/>
  <c r="AQ360" i="5"/>
  <c r="BI360" i="5"/>
  <c r="BK360" i="5" s="1"/>
  <c r="AQ172" i="5"/>
  <c r="AR208" i="5"/>
  <c r="AQ99" i="5"/>
  <c r="BI99" i="5"/>
  <c r="BJ99" i="5" s="1"/>
  <c r="AQ110" i="5"/>
  <c r="AQ51" i="5"/>
  <c r="AR51" i="5"/>
  <c r="AR110" i="5"/>
  <c r="AQ505" i="5"/>
  <c r="AR505" i="5"/>
  <c r="AR22" i="5"/>
  <c r="BI22" i="5"/>
  <c r="BK22" i="5" s="1"/>
  <c r="AR447" i="5"/>
  <c r="BI447" i="5"/>
  <c r="BJ447" i="5" s="1"/>
  <c r="BL447" i="5" s="1"/>
  <c r="AQ341" i="5"/>
  <c r="AQ556" i="5"/>
  <c r="AR556" i="5"/>
  <c r="BI466" i="5"/>
  <c r="BJ466" i="5" s="1"/>
  <c r="AR341" i="5"/>
  <c r="AR466" i="5"/>
  <c r="AQ461" i="5"/>
  <c r="AQ317" i="5"/>
  <c r="BI317" i="5"/>
  <c r="BJ317" i="5" s="1"/>
  <c r="AR145" i="5"/>
  <c r="AR461" i="5"/>
  <c r="AQ76" i="5"/>
  <c r="BI76" i="5"/>
  <c r="BK76" i="5" s="1"/>
  <c r="AQ145" i="5"/>
  <c r="AR78" i="5"/>
  <c r="AR226" i="5"/>
  <c r="AQ361" i="5"/>
  <c r="AQ226" i="5"/>
  <c r="AQ311" i="5"/>
  <c r="AR311" i="5"/>
  <c r="AQ78" i="5"/>
  <c r="AR242" i="5"/>
  <c r="AQ242" i="5"/>
  <c r="AR107" i="5"/>
  <c r="AR361" i="5"/>
  <c r="AQ107" i="5"/>
  <c r="AQ307" i="5"/>
  <c r="BI307" i="5"/>
  <c r="BK307" i="5" s="1"/>
  <c r="BI40" i="5"/>
  <c r="BJ40" i="5" s="1"/>
  <c r="AR493" i="5"/>
  <c r="AQ493" i="5"/>
  <c r="BI133" i="5"/>
  <c r="BJ133" i="5" s="1"/>
  <c r="AR71" i="5"/>
  <c r="AQ40" i="5"/>
  <c r="AR133" i="5"/>
  <c r="AQ227" i="5"/>
  <c r="AR227" i="5"/>
  <c r="AQ196" i="5"/>
  <c r="AR196" i="5"/>
  <c r="AQ71" i="5"/>
  <c r="AR26" i="5"/>
  <c r="BI26" i="5"/>
  <c r="BK26" i="5" s="1"/>
  <c r="BI66" i="5"/>
  <c r="BJ66" i="5" s="1"/>
  <c r="BI551" i="5"/>
  <c r="BJ551" i="5" s="1"/>
  <c r="AR186" i="5"/>
  <c r="BI186" i="5"/>
  <c r="BK186" i="5" s="1"/>
  <c r="AQ193" i="5"/>
  <c r="BI193" i="5"/>
  <c r="BJ193" i="5" s="1"/>
  <c r="BI326" i="5"/>
  <c r="BK326" i="5" s="1"/>
  <c r="AR449" i="5"/>
  <c r="BI449" i="5"/>
  <c r="BK449" i="5" s="1"/>
  <c r="AQ518" i="5"/>
  <c r="AR66" i="5"/>
  <c r="AR518" i="5"/>
  <c r="AQ326" i="5"/>
  <c r="AR55" i="5"/>
  <c r="AQ55" i="5"/>
  <c r="AR491" i="5"/>
  <c r="BI491" i="5"/>
  <c r="BJ491" i="5" s="1"/>
  <c r="AR288" i="5"/>
  <c r="AQ288" i="5"/>
  <c r="AQ551" i="5"/>
  <c r="AR83" i="5"/>
  <c r="BI83" i="5"/>
  <c r="BJ83" i="5" s="1"/>
  <c r="AQ376" i="5"/>
  <c r="AR509" i="5"/>
  <c r="AQ137" i="5"/>
  <c r="BI509" i="5"/>
  <c r="BJ509" i="5" s="1"/>
  <c r="BI376" i="5"/>
  <c r="BK376" i="5" s="1"/>
  <c r="AQ270" i="5"/>
  <c r="AQ41" i="5"/>
  <c r="BI137" i="5"/>
  <c r="BJ137" i="5" s="1"/>
  <c r="AR514" i="5"/>
  <c r="AQ448" i="5"/>
  <c r="BI96" i="5"/>
  <c r="BK96" i="5" s="1"/>
  <c r="BM96" i="5" s="1"/>
  <c r="BI520" i="5"/>
  <c r="BJ520" i="5" s="1"/>
  <c r="BL520" i="5" s="1"/>
  <c r="AQ413" i="5"/>
  <c r="AR126" i="5"/>
  <c r="BI126" i="5"/>
  <c r="BJ126" i="5" s="1"/>
  <c r="AR546" i="5"/>
  <c r="AQ525" i="5"/>
  <c r="BI546" i="5"/>
  <c r="BK546" i="5" s="1"/>
  <c r="AR409" i="5"/>
  <c r="AQ266" i="5"/>
  <c r="BI266" i="5"/>
  <c r="BK266" i="5" s="1"/>
  <c r="AQ174" i="5"/>
  <c r="BI246" i="5"/>
  <c r="BK246" i="5" s="1"/>
  <c r="AQ203" i="5"/>
  <c r="AR244" i="5"/>
  <c r="BI244" i="5"/>
  <c r="BK244" i="5" s="1"/>
  <c r="AQ503" i="5"/>
  <c r="BI514" i="5"/>
  <c r="BJ514" i="5" s="1"/>
  <c r="BI237" i="5"/>
  <c r="BK237" i="5" s="1"/>
  <c r="BI192" i="5"/>
  <c r="BJ192" i="5" s="1"/>
  <c r="X7" i="5"/>
  <c r="AR228" i="5"/>
  <c r="BI207" i="5"/>
  <c r="BJ207" i="5" s="1"/>
  <c r="AQ73" i="5"/>
  <c r="BI184" i="5"/>
  <c r="BJ184" i="5" s="1"/>
  <c r="AR25" i="5"/>
  <c r="AQ488" i="5"/>
  <c r="BI427" i="5"/>
  <c r="BJ427" i="5" s="1"/>
  <c r="BI58" i="5"/>
  <c r="BJ58" i="5" s="1"/>
  <c r="AQ53" i="5"/>
  <c r="BI403" i="5"/>
  <c r="BJ403" i="5" s="1"/>
  <c r="BI362" i="5"/>
  <c r="BK362" i="5" s="1"/>
  <c r="BI526" i="5"/>
  <c r="BJ526" i="5" s="1"/>
  <c r="AR267" i="5"/>
  <c r="AR526" i="5"/>
  <c r="BI267" i="5"/>
  <c r="BK267" i="5" s="1"/>
  <c r="AR8" i="5"/>
  <c r="AR202" i="5"/>
  <c r="AQ402" i="5"/>
  <c r="AR420" i="5"/>
  <c r="AQ331" i="5"/>
  <c r="BI8" i="5"/>
  <c r="BK8" i="5" s="1"/>
  <c r="AQ549" i="5"/>
  <c r="AQ395" i="5"/>
  <c r="BI180" i="5"/>
  <c r="BK180" i="5" s="1"/>
  <c r="AQ516" i="5"/>
  <c r="BI331" i="5"/>
  <c r="BK331" i="5" s="1"/>
  <c r="AR488" i="5"/>
  <c r="AR272" i="5"/>
  <c r="AQ222" i="5"/>
  <c r="BI222" i="5"/>
  <c r="BK222" i="5" s="1"/>
  <c r="AR387" i="5"/>
  <c r="BI387" i="5"/>
  <c r="BJ387" i="5" s="1"/>
  <c r="AR92" i="5"/>
  <c r="BI42" i="5"/>
  <c r="BJ42" i="5" s="1"/>
  <c r="AR7" i="5"/>
  <c r="AQ42" i="5"/>
  <c r="AQ427" i="5"/>
  <c r="AQ97" i="5"/>
  <c r="BI516" i="5"/>
  <c r="BJ516" i="5" s="1"/>
  <c r="BI53" i="5"/>
  <c r="BJ53" i="5" s="1"/>
  <c r="BI272" i="5"/>
  <c r="BJ272" i="5" s="1"/>
  <c r="AR35" i="5"/>
  <c r="AQ316" i="5"/>
  <c r="AR41" i="5"/>
  <c r="AR429" i="5"/>
  <c r="AR471" i="5"/>
  <c r="AR65" i="5"/>
  <c r="AR413" i="5"/>
  <c r="AQ435" i="5"/>
  <c r="BI35" i="5"/>
  <c r="BK35" i="5" s="1"/>
  <c r="AR520" i="5"/>
  <c r="AR525" i="5"/>
  <c r="AQ301" i="5"/>
  <c r="AQ471" i="5"/>
  <c r="AQ65" i="5"/>
  <c r="BI435" i="5"/>
  <c r="BJ435" i="5" s="1"/>
  <c r="AR448" i="5"/>
  <c r="BI324" i="5"/>
  <c r="BK324" i="5" s="1"/>
  <c r="AR203" i="5"/>
  <c r="AQ403" i="5"/>
  <c r="AQ223" i="5"/>
  <c r="AQ80" i="5"/>
  <c r="BI442" i="5"/>
  <c r="BJ442" i="5" s="1"/>
  <c r="AR363" i="5"/>
  <c r="AR498" i="5"/>
  <c r="AQ303" i="5"/>
  <c r="AR445" i="5"/>
  <c r="BI33" i="5"/>
  <c r="BJ33" i="5" s="1"/>
  <c r="BL33" i="5" s="1"/>
  <c r="AR134" i="5"/>
  <c r="AQ296" i="5"/>
  <c r="AR152" i="5"/>
  <c r="AR90" i="5"/>
  <c r="AQ539" i="5"/>
  <c r="BI394" i="5"/>
  <c r="BK394" i="5" s="1"/>
  <c r="AQ81" i="5"/>
  <c r="BI356" i="5"/>
  <c r="BJ356" i="5" s="1"/>
  <c r="AR252" i="5"/>
  <c r="AR250" i="5"/>
  <c r="BI303" i="5"/>
  <c r="BJ303" i="5" s="1"/>
  <c r="BI445" i="5"/>
  <c r="BJ445" i="5" s="1"/>
  <c r="AR33" i="5"/>
  <c r="AQ346" i="5"/>
  <c r="AR104" i="5"/>
  <c r="AQ90" i="5"/>
  <c r="AR539" i="5"/>
  <c r="BI241" i="5"/>
  <c r="BK241" i="5" s="1"/>
  <c r="BM241" i="5" s="1"/>
  <c r="BI81" i="5"/>
  <c r="BJ81" i="5" s="1"/>
  <c r="BL81" i="5" s="1"/>
  <c r="BI409" i="5"/>
  <c r="BJ409" i="5" s="1"/>
  <c r="AQ442" i="5"/>
  <c r="AR239" i="5"/>
  <c r="AR402" i="5"/>
  <c r="AR246" i="5"/>
  <c r="AQ237" i="5"/>
  <c r="AQ253" i="5"/>
  <c r="AQ180" i="5"/>
  <c r="BI136" i="5"/>
  <c r="BK136" i="5" s="1"/>
  <c r="AR136" i="5"/>
  <c r="AQ356" i="5"/>
  <c r="AQ252" i="5"/>
  <c r="BI120" i="5"/>
  <c r="BK120" i="5" s="1"/>
  <c r="AR421" i="5"/>
  <c r="AR253" i="5"/>
  <c r="BI437" i="5"/>
  <c r="BK437" i="5" s="1"/>
  <c r="AQ178" i="5"/>
  <c r="BI280" i="5"/>
  <c r="BK280" i="5" s="1"/>
  <c r="AQ154" i="5"/>
  <c r="AQ530" i="5"/>
  <c r="BI364" i="5"/>
  <c r="BJ364" i="5" s="1"/>
  <c r="AQ437" i="5"/>
  <c r="BI178" i="5"/>
  <c r="BK178" i="5" s="1"/>
  <c r="BM178" i="5" s="1"/>
  <c r="AQ260" i="5"/>
  <c r="AR154" i="5"/>
  <c r="BI530" i="5"/>
  <c r="BJ530" i="5" s="1"/>
  <c r="AR473" i="5"/>
  <c r="AQ309" i="5"/>
  <c r="AQ385" i="5"/>
  <c r="AR260" i="5"/>
  <c r="AR301" i="5"/>
  <c r="AR120" i="5"/>
  <c r="AR309" i="5"/>
  <c r="AR385" i="5"/>
  <c r="AR97" i="5"/>
  <c r="AQ241" i="5"/>
  <c r="AQ363" i="5"/>
  <c r="AR316" i="5"/>
  <c r="AI11" i="5"/>
  <c r="AR535" i="5"/>
  <c r="BI190" i="5"/>
  <c r="BK190" i="5" s="1"/>
  <c r="BI250" i="5"/>
  <c r="BJ250" i="5" s="1"/>
  <c r="AQ559" i="5"/>
  <c r="AQ104" i="5"/>
  <c r="AQ118" i="5"/>
  <c r="BI68" i="5"/>
  <c r="BK68" i="5" s="1"/>
  <c r="AQ239" i="5"/>
  <c r="AR109" i="5"/>
  <c r="AQ89" i="5"/>
  <c r="AQ159" i="5"/>
  <c r="BI421" i="5"/>
  <c r="BJ421" i="5" s="1"/>
  <c r="AR43" i="5"/>
  <c r="AQ13" i="5"/>
  <c r="AR355" i="5"/>
  <c r="BI559" i="5"/>
  <c r="BJ559" i="5" s="1"/>
  <c r="AQ412" i="5"/>
  <c r="BI118" i="5"/>
  <c r="BJ118" i="5" s="1"/>
  <c r="BL118" i="5" s="1"/>
  <c r="AQ368" i="5"/>
  <c r="BI278" i="5"/>
  <c r="BK278" i="5" s="1"/>
  <c r="AQ109" i="5"/>
  <c r="AR308" i="5"/>
  <c r="AR13" i="5"/>
  <c r="AR428" i="5"/>
  <c r="AQ190" i="5"/>
  <c r="AQ355" i="5"/>
  <c r="AR440" i="5"/>
  <c r="BI412" i="5"/>
  <c r="BJ412" i="5" s="1"/>
  <c r="BL412" i="5" s="1"/>
  <c r="AR542" i="5"/>
  <c r="AR388" i="5"/>
  <c r="AR368" i="5"/>
  <c r="BI308" i="5"/>
  <c r="BK308" i="5" s="1"/>
  <c r="AQ428" i="5"/>
  <c r="AR80" i="5"/>
  <c r="AQ498" i="5"/>
  <c r="AQ68" i="5"/>
  <c r="BI89" i="5"/>
  <c r="BJ89" i="5" s="1"/>
  <c r="AQ440" i="5"/>
  <c r="AR284" i="5"/>
  <c r="BI542" i="5"/>
  <c r="BJ542" i="5" s="1"/>
  <c r="AQ388" i="5"/>
  <c r="AQ150" i="5"/>
  <c r="Y11" i="5"/>
  <c r="AR191" i="5"/>
  <c r="AR280" i="5"/>
  <c r="AR346" i="5"/>
  <c r="AR394" i="5"/>
  <c r="BI150" i="5"/>
  <c r="BK150" i="5" s="1"/>
  <c r="AR364" i="5"/>
  <c r="AQ191" i="5"/>
  <c r="AQ324" i="5"/>
  <c r="AQ420" i="5"/>
  <c r="AQ284" i="5"/>
  <c r="AR558" i="5"/>
  <c r="AQ513" i="5"/>
  <c r="AR434" i="5"/>
  <c r="AR31" i="5"/>
  <c r="AQ473" i="5"/>
  <c r="BI202" i="5"/>
  <c r="BJ202" i="5" s="1"/>
  <c r="AQ557" i="5"/>
  <c r="BI558" i="5"/>
  <c r="BJ558" i="5" s="1"/>
  <c r="BI148" i="5"/>
  <c r="BK148" i="5" s="1"/>
  <c r="BI513" i="5"/>
  <c r="BK513" i="5" s="1"/>
  <c r="AR96" i="5"/>
  <c r="AR296" i="5"/>
  <c r="AR84" i="5"/>
  <c r="AQ7" i="5"/>
  <c r="AQ429" i="5"/>
  <c r="AR265" i="5"/>
  <c r="AQ506" i="5"/>
  <c r="AQ528" i="5"/>
  <c r="AQ129" i="5"/>
  <c r="AQ285" i="5"/>
  <c r="AR121" i="5"/>
  <c r="AQ320" i="5"/>
  <c r="AR61" i="5"/>
  <c r="AQ116" i="5"/>
  <c r="AR223" i="5"/>
  <c r="AR285" i="5"/>
  <c r="AQ61" i="5"/>
  <c r="AR116" i="5"/>
  <c r="AR528" i="5"/>
  <c r="BI506" i="5"/>
  <c r="BJ506" i="5" s="1"/>
  <c r="BI381" i="5"/>
  <c r="BK381" i="5" s="1"/>
  <c r="AQ510" i="5"/>
  <c r="BI201" i="5"/>
  <c r="BJ201" i="5" s="1"/>
  <c r="BL201" i="5" s="1"/>
  <c r="AR400" i="5"/>
  <c r="AQ77" i="5"/>
  <c r="AR195" i="5"/>
  <c r="AQ112" i="5"/>
  <c r="AQ124" i="5"/>
  <c r="AQ139" i="5"/>
  <c r="AR381" i="5"/>
  <c r="AQ200" i="5"/>
  <c r="AR270" i="5"/>
  <c r="AR395" i="5"/>
  <c r="AR129" i="5"/>
  <c r="BI121" i="5"/>
  <c r="BJ121" i="5" s="1"/>
  <c r="AQ201" i="5"/>
  <c r="BI321" i="5"/>
  <c r="BK321" i="5" s="1"/>
  <c r="BI510" i="5"/>
  <c r="BK510" i="5" s="1"/>
  <c r="AQ400" i="5"/>
  <c r="BI77" i="5"/>
  <c r="BJ77" i="5" s="1"/>
  <c r="AR373" i="5"/>
  <c r="AR192" i="5"/>
  <c r="AQ195" i="5"/>
  <c r="AQ213" i="5"/>
  <c r="AR48" i="5"/>
  <c r="BI124" i="5"/>
  <c r="BJ124" i="5" s="1"/>
  <c r="AR200" i="5"/>
  <c r="AR436" i="5"/>
  <c r="AR352" i="5"/>
  <c r="AR29" i="5"/>
  <c r="AR100" i="5"/>
  <c r="AR207" i="5"/>
  <c r="AR362" i="5"/>
  <c r="AQ373" i="5"/>
  <c r="AQ152" i="5"/>
  <c r="AR213" i="5"/>
  <c r="BI48" i="5"/>
  <c r="BK48" i="5" s="1"/>
  <c r="AQ278" i="5"/>
  <c r="AR372" i="5"/>
  <c r="AR467" i="5"/>
  <c r="BI352" i="5"/>
  <c r="BK352" i="5" s="1"/>
  <c r="BM352" i="5" s="1"/>
  <c r="BI386" i="5"/>
  <c r="BK386" i="5" s="1"/>
  <c r="AR446" i="5"/>
  <c r="AQ404" i="5"/>
  <c r="AQ60" i="5"/>
  <c r="AE24" i="4"/>
  <c r="BI557" i="5"/>
  <c r="BK557" i="5" s="1"/>
  <c r="BI100" i="5"/>
  <c r="BK100" i="5" s="1"/>
  <c r="AQ430" i="5"/>
  <c r="AQ84" i="5"/>
  <c r="AR165" i="5"/>
  <c r="BI408" i="5"/>
  <c r="BJ408" i="5" s="1"/>
  <c r="AR175" i="5"/>
  <c r="BI31" i="5"/>
  <c r="BK31" i="5" s="1"/>
  <c r="BI436" i="5"/>
  <c r="BJ436" i="5" s="1"/>
  <c r="AR548" i="5"/>
  <c r="AR430" i="5"/>
  <c r="AQ165" i="5"/>
  <c r="BI175" i="5"/>
  <c r="BK175" i="5" s="1"/>
  <c r="V11" i="5"/>
  <c r="AQ548" i="5"/>
  <c r="AC11" i="5"/>
  <c r="AE11" i="5" s="1"/>
  <c r="AQ351" i="5"/>
  <c r="BI174" i="5"/>
  <c r="BJ174" i="5" s="1"/>
  <c r="AQ128" i="5"/>
  <c r="BI155" i="5"/>
  <c r="BK155" i="5" s="1"/>
  <c r="BI29" i="5"/>
  <c r="BK29" i="5" s="1"/>
  <c r="AQ155" i="5"/>
  <c r="BI537" i="5"/>
  <c r="BJ537" i="5" s="1"/>
  <c r="AR351" i="5"/>
  <c r="BI128" i="5"/>
  <c r="BK128" i="5" s="1"/>
  <c r="AR177" i="5"/>
  <c r="AQ329" i="5"/>
  <c r="AR479" i="5"/>
  <c r="AQ177" i="5"/>
  <c r="AQ91" i="5"/>
  <c r="AR74" i="5"/>
  <c r="AR214" i="5"/>
  <c r="AR329" i="5"/>
  <c r="AQ379" i="5"/>
  <c r="AQ276" i="5"/>
  <c r="BI479" i="5"/>
  <c r="BJ479" i="5" s="1"/>
  <c r="BI91" i="5"/>
  <c r="BK91" i="5" s="1"/>
  <c r="AQ74" i="5"/>
  <c r="BI214" i="5"/>
  <c r="BJ214" i="5" s="1"/>
  <c r="BL214" i="5" s="1"/>
  <c r="AQ37" i="5"/>
  <c r="AR379" i="5"/>
  <c r="AR276" i="5"/>
  <c r="AR37" i="5"/>
  <c r="AQ541" i="5"/>
  <c r="BI377" i="5"/>
  <c r="BJ377" i="5" s="1"/>
  <c r="AQ212" i="5"/>
  <c r="AR384" i="5"/>
  <c r="AQ476" i="5"/>
  <c r="AR541" i="5"/>
  <c r="AR313" i="5"/>
  <c r="AR212" i="5"/>
  <c r="BI384" i="5"/>
  <c r="BJ384" i="5" s="1"/>
  <c r="BL384" i="5" s="1"/>
  <c r="AR456" i="5"/>
  <c r="S11" i="5"/>
  <c r="AR501" i="5"/>
  <c r="AR337" i="5"/>
  <c r="AR476" i="5"/>
  <c r="AQ313" i="5"/>
  <c r="AQ268" i="5"/>
  <c r="AR282" i="5"/>
  <c r="AQ456" i="5"/>
  <c r="AQ501" i="5"/>
  <c r="AR58" i="5"/>
  <c r="AQ337" i="5"/>
  <c r="AQ148" i="5"/>
  <c r="AR268" i="5"/>
  <c r="AQ282" i="5"/>
  <c r="AQ386" i="5"/>
  <c r="BI147" i="5"/>
  <c r="BJ147" i="5" s="1"/>
  <c r="AR50" i="5"/>
  <c r="AQ312" i="5"/>
  <c r="BI263" i="5"/>
  <c r="BJ263" i="5" s="1"/>
  <c r="AR391" i="5"/>
  <c r="AQ39" i="5"/>
  <c r="AR132" i="5"/>
  <c r="AQ547" i="5"/>
  <c r="AQ399" i="5"/>
  <c r="BB11" i="5"/>
  <c r="AY11" i="5"/>
  <c r="AR274" i="5"/>
  <c r="AQ382" i="5"/>
  <c r="AR393" i="5"/>
  <c r="AR453" i="5"/>
  <c r="AQ460" i="5"/>
  <c r="AQ305" i="5"/>
  <c r="BI72" i="5"/>
  <c r="BJ72" i="5" s="1"/>
  <c r="AR279" i="5"/>
  <c r="AQ458" i="5"/>
  <c r="BI481" i="5"/>
  <c r="BJ481" i="5" s="1"/>
  <c r="AR187" i="5"/>
  <c r="AQ164" i="5"/>
  <c r="AQ431" i="5"/>
  <c r="BI494" i="5"/>
  <c r="BJ494" i="5" s="1"/>
  <c r="AR106" i="5"/>
  <c r="BI517" i="5"/>
  <c r="BJ517" i="5" s="1"/>
  <c r="AQ512" i="5"/>
  <c r="AQ319" i="5"/>
  <c r="BI332" i="5"/>
  <c r="BJ332" i="5" s="1"/>
  <c r="AR218" i="5"/>
  <c r="AQ111" i="5"/>
  <c r="AR173" i="5"/>
  <c r="AQ531" i="5"/>
  <c r="AQ69" i="5"/>
  <c r="AR365" i="5"/>
  <c r="BI157" i="5"/>
  <c r="BJ157" i="5" s="1"/>
  <c r="BI62" i="5"/>
  <c r="BJ62" i="5" s="1"/>
  <c r="BL62" i="5" s="1"/>
  <c r="BI163" i="5"/>
  <c r="BK163" i="5" s="1"/>
  <c r="AR30" i="5"/>
  <c r="AQ374" i="5"/>
  <c r="BI205" i="5"/>
  <c r="BJ205" i="5" s="1"/>
  <c r="AR552" i="5"/>
  <c r="AR455" i="5"/>
  <c r="BI275" i="5"/>
  <c r="BJ275" i="5" s="1"/>
  <c r="AR298" i="5"/>
  <c r="AR333" i="5"/>
  <c r="AR103" i="5"/>
  <c r="BI414" i="5"/>
  <c r="BJ414" i="5" s="1"/>
  <c r="AQ410" i="5"/>
  <c r="AR357" i="5"/>
  <c r="AR527" i="5"/>
  <c r="AQ475" i="5"/>
  <c r="AR342" i="5"/>
  <c r="BI354" i="5"/>
  <c r="BK354" i="5" s="1"/>
  <c r="AR206" i="5"/>
  <c r="AQ416" i="5"/>
  <c r="AQ274" i="5"/>
  <c r="AQ365" i="5"/>
  <c r="AR93" i="5"/>
  <c r="AR312" i="5"/>
  <c r="AQ263" i="5"/>
  <c r="BI73" i="5"/>
  <c r="BJ73" i="5" s="1"/>
  <c r="BI164" i="5"/>
  <c r="BK164" i="5" s="1"/>
  <c r="AQ314" i="5"/>
  <c r="AQ533" i="5"/>
  <c r="BI453" i="5"/>
  <c r="BK453" i="5" s="1"/>
  <c r="BI431" i="5"/>
  <c r="BK431" i="5" s="1"/>
  <c r="AQ143" i="5"/>
  <c r="AR220" i="5"/>
  <c r="BI30" i="5"/>
  <c r="BK30" i="5" s="1"/>
  <c r="AQ235" i="5"/>
  <c r="BI374" i="5"/>
  <c r="BK374" i="5" s="1"/>
  <c r="AQ141" i="5"/>
  <c r="BI552" i="5"/>
  <c r="BK552" i="5" s="1"/>
  <c r="AR424" i="5"/>
  <c r="AQ455" i="5"/>
  <c r="BI391" i="5"/>
  <c r="BJ391" i="5" s="1"/>
  <c r="AQ247" i="5"/>
  <c r="AQ275" i="5"/>
  <c r="BI298" i="5"/>
  <c r="BJ298" i="5" s="1"/>
  <c r="AQ106" i="5"/>
  <c r="AR512" i="5"/>
  <c r="BI319" i="5"/>
  <c r="BJ319" i="5" s="1"/>
  <c r="AQ49" i="5"/>
  <c r="AR460" i="5"/>
  <c r="AR189" i="5"/>
  <c r="AQ103" i="5"/>
  <c r="AR105" i="5"/>
  <c r="AR39" i="5"/>
  <c r="AR547" i="5"/>
  <c r="AQ474" i="5"/>
  <c r="BI410" i="5"/>
  <c r="BK410" i="5" s="1"/>
  <c r="AQ218" i="5"/>
  <c r="AQ24" i="5"/>
  <c r="BI357" i="5"/>
  <c r="BK357" i="5" s="1"/>
  <c r="AR85" i="5"/>
  <c r="AQ527" i="5"/>
  <c r="BI399" i="5"/>
  <c r="BK399" i="5" s="1"/>
  <c r="BI111" i="5"/>
  <c r="BJ111" i="5" s="1"/>
  <c r="AQ230" i="5"/>
  <c r="AQ342" i="5"/>
  <c r="AQ290" i="5"/>
  <c r="AQ173" i="5"/>
  <c r="BI279" i="5"/>
  <c r="BJ279" i="5" s="1"/>
  <c r="BI206" i="5"/>
  <c r="BJ206" i="5" s="1"/>
  <c r="BI531" i="5"/>
  <c r="BK531" i="5" s="1"/>
  <c r="AR458" i="5"/>
  <c r="AR69" i="5"/>
  <c r="BI416" i="5"/>
  <c r="BK416" i="5" s="1"/>
  <c r="BI187" i="5"/>
  <c r="BK187" i="5" s="1"/>
  <c r="AR157" i="5"/>
  <c r="BI93" i="5"/>
  <c r="BJ93" i="5" s="1"/>
  <c r="AR382" i="5"/>
  <c r="AQ62" i="5"/>
  <c r="AQ393" i="5"/>
  <c r="AQ163" i="5"/>
  <c r="AR314" i="5"/>
  <c r="AR533" i="5"/>
  <c r="AR143" i="5"/>
  <c r="BI220" i="5"/>
  <c r="BJ220" i="5" s="1"/>
  <c r="AR235" i="5"/>
  <c r="AR54" i="5"/>
  <c r="AR502" i="5"/>
  <c r="AQ349" i="5"/>
  <c r="AQ205" i="5"/>
  <c r="BI141" i="5"/>
  <c r="BJ141" i="5" s="1"/>
  <c r="AQ424" i="5"/>
  <c r="AR441" i="5"/>
  <c r="AR147" i="5"/>
  <c r="AR517" i="5"/>
  <c r="AR415" i="5"/>
  <c r="AR49" i="5"/>
  <c r="AQ50" i="5"/>
  <c r="AQ189" i="5"/>
  <c r="AQ414" i="5"/>
  <c r="BI105" i="5"/>
  <c r="BK105" i="5" s="1"/>
  <c r="AQ132" i="5"/>
  <c r="AR474" i="5"/>
  <c r="AR24" i="5"/>
  <c r="BI85" i="5"/>
  <c r="BJ85" i="5" s="1"/>
  <c r="AR230" i="5"/>
  <c r="AR305" i="5"/>
  <c r="AR475" i="5"/>
  <c r="AR354" i="5"/>
  <c r="AQ72" i="5"/>
  <c r="AQ372" i="5"/>
  <c r="AR248" i="5"/>
  <c r="BI441" i="5"/>
  <c r="BJ441" i="5" s="1"/>
  <c r="BI415" i="5"/>
  <c r="BJ415" i="5" s="1"/>
  <c r="AQ332" i="5"/>
  <c r="AQ333" i="5"/>
  <c r="AQ344" i="5"/>
  <c r="AR328" i="5"/>
  <c r="AQ481" i="5"/>
  <c r="BI130" i="5"/>
  <c r="BJ130" i="5" s="1"/>
  <c r="BI535" i="5"/>
  <c r="BK535" i="5" s="1"/>
  <c r="BI446" i="5"/>
  <c r="BK446" i="5" s="1"/>
  <c r="AQ265" i="5"/>
  <c r="AQ228" i="5"/>
  <c r="AQ134" i="5"/>
  <c r="BI25" i="5"/>
  <c r="BJ25" i="5" s="1"/>
  <c r="BI404" i="5"/>
  <c r="BJ404" i="5" s="1"/>
  <c r="AR320" i="5"/>
  <c r="AQ321" i="5"/>
  <c r="AQ434" i="5"/>
  <c r="BI112" i="5"/>
  <c r="BK112" i="5" s="1"/>
  <c r="BI139" i="5"/>
  <c r="BJ139" i="5" s="1"/>
  <c r="AR500" i="5"/>
  <c r="BI467" i="5"/>
  <c r="BJ467" i="5" s="1"/>
  <c r="AR243" i="5"/>
  <c r="BI159" i="5"/>
  <c r="BK159" i="5" s="1"/>
  <c r="AQ184" i="5"/>
  <c r="AR503" i="5"/>
  <c r="AQ500" i="5"/>
  <c r="AQ243" i="5"/>
  <c r="AR318" i="5"/>
  <c r="AR181" i="5"/>
  <c r="AQ79" i="5"/>
  <c r="BI468" i="5"/>
  <c r="BJ468" i="5" s="1"/>
  <c r="BL468" i="5" s="1"/>
  <c r="AR294" i="5"/>
  <c r="AR459" i="5"/>
  <c r="BI315" i="5"/>
  <c r="BK315" i="5" s="1"/>
  <c r="AQ378" i="5"/>
  <c r="AQ144" i="5"/>
  <c r="AR334" i="5"/>
  <c r="BI336" i="5"/>
  <c r="BJ336" i="5" s="1"/>
  <c r="AQ101" i="5"/>
  <c r="BI392" i="5"/>
  <c r="BJ392" i="5" s="1"/>
  <c r="AQ318" i="5"/>
  <c r="BI181" i="5"/>
  <c r="BJ181" i="5" s="1"/>
  <c r="AQ336" i="5"/>
  <c r="BI144" i="5"/>
  <c r="BK144" i="5" s="1"/>
  <c r="BM144" i="5" s="1"/>
  <c r="BI79" i="5"/>
  <c r="BJ79" i="5" s="1"/>
  <c r="AQ232" i="5"/>
  <c r="AR499" i="5"/>
  <c r="AR64" i="5"/>
  <c r="BI294" i="5"/>
  <c r="BJ294" i="5" s="1"/>
  <c r="AQ216" i="5"/>
  <c r="AQ538" i="5"/>
  <c r="AR485" i="5"/>
  <c r="AR293" i="5"/>
  <c r="BI149" i="5"/>
  <c r="BK149" i="5" s="1"/>
  <c r="AR151" i="5"/>
  <c r="AQ334" i="5"/>
  <c r="BI480" i="5"/>
  <c r="BJ480" i="5" s="1"/>
  <c r="BI383" i="5"/>
  <c r="BK383" i="5" s="1"/>
  <c r="AR315" i="5"/>
  <c r="BI262" i="5"/>
  <c r="BJ262" i="5" s="1"/>
  <c r="BI232" i="5"/>
  <c r="BK232" i="5" s="1"/>
  <c r="BI64" i="5"/>
  <c r="BK64" i="5" s="1"/>
  <c r="AQ524" i="5"/>
  <c r="BI350" i="5"/>
  <c r="BK350" i="5" s="1"/>
  <c r="AR158" i="5"/>
  <c r="AQ485" i="5"/>
  <c r="AR149" i="5"/>
  <c r="AQ433" i="5"/>
  <c r="BI378" i="5"/>
  <c r="BJ378" i="5" s="1"/>
  <c r="AQ468" i="5"/>
  <c r="BI101" i="5"/>
  <c r="BK101" i="5" s="1"/>
  <c r="BI524" i="5"/>
  <c r="BJ524" i="5" s="1"/>
  <c r="AR140" i="5"/>
  <c r="AQ158" i="5"/>
  <c r="AR60" i="5"/>
  <c r="AQ75" i="5"/>
  <c r="AR553" i="5"/>
  <c r="BI289" i="5"/>
  <c r="BK289" i="5" s="1"/>
  <c r="BI248" i="5"/>
  <c r="BK248" i="5" s="1"/>
  <c r="AR46" i="5"/>
  <c r="AQ502" i="5"/>
  <c r="AR247" i="5"/>
  <c r="AQ494" i="5"/>
  <c r="BI46" i="5"/>
  <c r="BJ46" i="5" s="1"/>
  <c r="BL46" i="5" s="1"/>
  <c r="BI54" i="5"/>
  <c r="BK54" i="5" s="1"/>
  <c r="AQ370" i="5"/>
  <c r="BI257" i="5"/>
  <c r="BJ257" i="5" s="1"/>
  <c r="AR396" i="5"/>
  <c r="AR397" i="5"/>
  <c r="AR408" i="5"/>
  <c r="AR350" i="5"/>
  <c r="AR297" i="5"/>
  <c r="AR538" i="5"/>
  <c r="BI293" i="5"/>
  <c r="BJ293" i="5" s="1"/>
  <c r="AR444" i="5"/>
  <c r="BI75" i="5"/>
  <c r="BJ75" i="5" s="1"/>
  <c r="AR480" i="5"/>
  <c r="AR289" i="5"/>
  <c r="AQ459" i="5"/>
  <c r="BI323" i="5"/>
  <c r="BK323" i="5" s="1"/>
  <c r="BI380" i="5"/>
  <c r="BK380" i="5" s="1"/>
  <c r="AQ543" i="5"/>
  <c r="AQ478" i="5"/>
  <c r="AQ286" i="5"/>
  <c r="BI344" i="5"/>
  <c r="BJ344" i="5" s="1"/>
  <c r="AR478" i="5"/>
  <c r="AR286" i="5"/>
  <c r="AQ59" i="5"/>
  <c r="AR543" i="5"/>
  <c r="AR231" i="5"/>
  <c r="BI131" i="5"/>
  <c r="BJ131" i="5" s="1"/>
  <c r="AR281" i="5"/>
  <c r="AQ23" i="5"/>
  <c r="BI59" i="5"/>
  <c r="BJ59" i="5" s="1"/>
  <c r="AQ328" i="5"/>
  <c r="BI281" i="5"/>
  <c r="BJ281" i="5" s="1"/>
  <c r="BI23" i="5"/>
  <c r="BJ23" i="5" s="1"/>
  <c r="AQ131" i="5"/>
  <c r="AQ451" i="5"/>
  <c r="AQ507" i="5"/>
  <c r="AR370" i="5"/>
  <c r="BI472" i="5"/>
  <c r="BJ472" i="5" s="1"/>
  <c r="BI231" i="5"/>
  <c r="BK231" i="5" s="1"/>
  <c r="AR290" i="5"/>
  <c r="AR238" i="5"/>
  <c r="AQ300" i="5"/>
  <c r="AQ251" i="5"/>
  <c r="AQ425" i="5"/>
  <c r="AR497" i="5"/>
  <c r="BI375" i="5"/>
  <c r="BJ375" i="5" s="1"/>
  <c r="AR166" i="5"/>
  <c r="AR532" i="5"/>
  <c r="AR555" i="5"/>
  <c r="BI560" i="5"/>
  <c r="BJ560" i="5" s="1"/>
  <c r="AQ338" i="5"/>
  <c r="BI146" i="5"/>
  <c r="BK146" i="5" s="1"/>
  <c r="AR221" i="5"/>
  <c r="BI327" i="5"/>
  <c r="BJ327" i="5" s="1"/>
  <c r="BI367" i="5"/>
  <c r="BK367" i="5" s="1"/>
  <c r="AR249" i="5"/>
  <c r="BI32" i="5"/>
  <c r="BK32" i="5" s="1"/>
  <c r="AR492" i="5"/>
  <c r="AQ347" i="5"/>
  <c r="AR454" i="5"/>
  <c r="BI171" i="5"/>
  <c r="BK171" i="5" s="1"/>
  <c r="BM171" i="5" s="1"/>
  <c r="AQ21" i="5"/>
  <c r="BI88" i="5"/>
  <c r="BK88" i="5" s="1"/>
  <c r="BM88" i="5" s="1"/>
  <c r="AQ259" i="5"/>
  <c r="BI463" i="5"/>
  <c r="BK463" i="5" s="1"/>
  <c r="BI545" i="5"/>
  <c r="BJ545" i="5" s="1"/>
  <c r="BI335" i="5"/>
  <c r="BK335" i="5" s="1"/>
  <c r="AR389" i="5"/>
  <c r="AQ117" i="5"/>
  <c r="AR450" i="5"/>
  <c r="AQ302" i="5"/>
  <c r="AR536" i="5"/>
  <c r="AR28" i="5"/>
  <c r="BI482" i="5"/>
  <c r="BJ482" i="5" s="1"/>
  <c r="BI522" i="5"/>
  <c r="BK522" i="5" s="1"/>
  <c r="BI544" i="5"/>
  <c r="BJ544" i="5" s="1"/>
  <c r="BI347" i="5"/>
  <c r="BJ347" i="5" s="1"/>
  <c r="BI454" i="5"/>
  <c r="BK454" i="5" s="1"/>
  <c r="BM454" i="5" s="1"/>
  <c r="AR338" i="5"/>
  <c r="AQ82" i="5"/>
  <c r="BI221" i="5"/>
  <c r="BJ221" i="5" s="1"/>
  <c r="AQ407" i="5"/>
  <c r="BI451" i="5"/>
  <c r="BK451" i="5" s="1"/>
  <c r="AQ389" i="5"/>
  <c r="AQ529" i="5"/>
  <c r="AR21" i="5"/>
  <c r="BI450" i="5"/>
  <c r="BJ450" i="5" s="1"/>
  <c r="AQ519" i="5"/>
  <c r="AR302" i="5"/>
  <c r="BI238" i="5"/>
  <c r="BJ238" i="5" s="1"/>
  <c r="AQ185" i="5"/>
  <c r="AR554" i="5"/>
  <c r="BI555" i="5"/>
  <c r="BK555" i="5" s="1"/>
  <c r="AQ229" i="5"/>
  <c r="BI536" i="5"/>
  <c r="BJ536" i="5" s="1"/>
  <c r="BI28" i="5"/>
  <c r="BJ28" i="5" s="1"/>
  <c r="AQ411" i="5"/>
  <c r="BI492" i="5"/>
  <c r="BJ492" i="5" s="1"/>
  <c r="AR300" i="5"/>
  <c r="AR335" i="5"/>
  <c r="AR146" i="5"/>
  <c r="AR82" i="5"/>
  <c r="AR407" i="5"/>
  <c r="AR117" i="5"/>
  <c r="AQ367" i="5"/>
  <c r="BI529" i="5"/>
  <c r="BJ529" i="5" s="1"/>
  <c r="AR507" i="5"/>
  <c r="AQ171" i="5"/>
  <c r="AR519" i="5"/>
  <c r="AQ249" i="5"/>
  <c r="AR185" i="5"/>
  <c r="AQ532" i="5"/>
  <c r="BI554" i="5"/>
  <c r="BJ554" i="5" s="1"/>
  <c r="AR229" i="5"/>
  <c r="AR472" i="5"/>
  <c r="AR88" i="5"/>
  <c r="AR375" i="5"/>
  <c r="AR425" i="5"/>
  <c r="AR259" i="5"/>
  <c r="AQ560" i="5"/>
  <c r="AR463" i="5"/>
  <c r="AQ166" i="5"/>
  <c r="AR411" i="5"/>
  <c r="AQ482" i="5"/>
  <c r="AQ32" i="5"/>
  <c r="AQ522" i="5"/>
  <c r="AR277" i="5"/>
  <c r="AQ544" i="5"/>
  <c r="AR251" i="5"/>
  <c r="AQ277" i="5"/>
  <c r="AQ545" i="5"/>
  <c r="AR261" i="5"/>
  <c r="AQ497" i="5"/>
  <c r="AQ484" i="5"/>
  <c r="BI401" i="5"/>
  <c r="BK401" i="5" s="1"/>
  <c r="AQ168" i="5"/>
  <c r="AR390" i="5"/>
  <c r="AQ537" i="5"/>
  <c r="AQ92" i="5"/>
  <c r="AQ43" i="5"/>
  <c r="BI194" i="5"/>
  <c r="BJ194" i="5" s="1"/>
  <c r="BI119" i="5"/>
  <c r="BK119" i="5" s="1"/>
  <c r="AQ377" i="5"/>
  <c r="AQ194" i="5"/>
  <c r="AQ366" i="5"/>
  <c r="BI423" i="5"/>
  <c r="BJ423" i="5" s="1"/>
  <c r="AR142" i="5"/>
  <c r="AR262" i="5"/>
  <c r="AQ210" i="5"/>
  <c r="AQ135" i="5"/>
  <c r="AQ291" i="5"/>
  <c r="AR325" i="5"/>
  <c r="BI198" i="5"/>
  <c r="BK198" i="5" s="1"/>
  <c r="BI70" i="5"/>
  <c r="BJ70" i="5" s="1"/>
  <c r="AR401" i="5"/>
  <c r="AQ348" i="5"/>
  <c r="AR443" i="5"/>
  <c r="AQ130" i="5"/>
  <c r="AQ257" i="5"/>
  <c r="BI486" i="5"/>
  <c r="BJ486" i="5" s="1"/>
  <c r="BI216" i="5"/>
  <c r="BK216" i="5" s="1"/>
  <c r="AR295" i="5"/>
  <c r="AR323" i="5"/>
  <c r="BI433" i="5"/>
  <c r="BK433" i="5" s="1"/>
  <c r="BI369" i="5"/>
  <c r="BJ369" i="5" s="1"/>
  <c r="AR508" i="5"/>
  <c r="AR380" i="5"/>
  <c r="AQ392" i="5"/>
  <c r="AQ383" i="5"/>
  <c r="AR210" i="5"/>
  <c r="AR135" i="5"/>
  <c r="BI457" i="5"/>
  <c r="BJ457" i="5" s="1"/>
  <c r="BI484" i="5"/>
  <c r="BJ484" i="5" s="1"/>
  <c r="BL484" i="5" s="1"/>
  <c r="AR291" i="5"/>
  <c r="BI261" i="5"/>
  <c r="BK261" i="5" s="1"/>
  <c r="BI168" i="5"/>
  <c r="BK168" i="5" s="1"/>
  <c r="AQ499" i="5"/>
  <c r="AQ396" i="5"/>
  <c r="AQ140" i="5"/>
  <c r="AR486" i="5"/>
  <c r="AQ397" i="5"/>
  <c r="BI489" i="5"/>
  <c r="BJ489" i="5" s="1"/>
  <c r="BI297" i="5"/>
  <c r="BJ297" i="5" s="1"/>
  <c r="AQ369" i="5"/>
  <c r="AQ508" i="5"/>
  <c r="AQ444" i="5"/>
  <c r="BI151" i="5"/>
  <c r="BK151" i="5" s="1"/>
  <c r="AR462" i="5"/>
  <c r="BI553" i="5"/>
  <c r="BJ553" i="5" s="1"/>
  <c r="BL553" i="5" s="1"/>
  <c r="AR549" i="5"/>
  <c r="AQ457" i="5"/>
  <c r="BI122" i="5"/>
  <c r="BJ122" i="5" s="1"/>
  <c r="BI464" i="5"/>
  <c r="BJ464" i="5" s="1"/>
  <c r="AR198" i="5"/>
  <c r="AR348" i="5"/>
  <c r="AQ443" i="5"/>
  <c r="BI161" i="5"/>
  <c r="BK161" i="5" s="1"/>
  <c r="AQ534" i="5"/>
  <c r="BI462" i="5"/>
  <c r="BK462" i="5" s="1"/>
  <c r="BI487" i="5"/>
  <c r="BK487" i="5" s="1"/>
  <c r="AQ215" i="5"/>
  <c r="AQ122" i="5"/>
  <c r="AQ325" i="5"/>
  <c r="AR464" i="5"/>
  <c r="AR70" i="5"/>
  <c r="AR371" i="5"/>
  <c r="AQ211" i="5"/>
  <c r="AR127" i="5"/>
  <c r="AL11" i="5"/>
  <c r="AQ295" i="5"/>
  <c r="BI94" i="5"/>
  <c r="BJ94" i="5" s="1"/>
  <c r="AR489" i="5"/>
  <c r="AR483" i="5"/>
  <c r="AQ176" i="5"/>
  <c r="AR534" i="5"/>
  <c r="AR98" i="5"/>
  <c r="AR215" i="5"/>
  <c r="AQ127" i="5"/>
  <c r="BI419" i="5"/>
  <c r="BK419" i="5" s="1"/>
  <c r="BI176" i="5"/>
  <c r="BK176" i="5" s="1"/>
  <c r="BI406" i="5"/>
  <c r="BJ406" i="5" s="1"/>
  <c r="AQ98" i="5"/>
  <c r="AR487" i="5"/>
  <c r="BI142" i="5"/>
  <c r="BJ142" i="5" s="1"/>
  <c r="AR521" i="5"/>
  <c r="AR343" i="5"/>
  <c r="AR550" i="5"/>
  <c r="AR422" i="5"/>
  <c r="AR269" i="5"/>
  <c r="BI521" i="5"/>
  <c r="BK521" i="5" s="1"/>
  <c r="AQ255" i="5"/>
  <c r="AQ343" i="5"/>
  <c r="BI422" i="5"/>
  <c r="BK422" i="5" s="1"/>
  <c r="AQ269" i="5"/>
  <c r="AQ153" i="5"/>
  <c r="AR349" i="5"/>
  <c r="AR119" i="5"/>
  <c r="AR366" i="5"/>
  <c r="AR490" i="5"/>
  <c r="AR255" i="5"/>
  <c r="BI550" i="5"/>
  <c r="BJ550" i="5" s="1"/>
  <c r="BI483" i="5"/>
  <c r="BJ483" i="5" s="1"/>
  <c r="AQ162" i="5"/>
  <c r="AQ264" i="5"/>
  <c r="AQ423" i="5"/>
  <c r="AQ95" i="5"/>
  <c r="BI44" i="5"/>
  <c r="BJ44" i="5" s="1"/>
  <c r="BI465" i="5"/>
  <c r="BK465" i="5" s="1"/>
  <c r="AQ161" i="5"/>
  <c r="AR162" i="5"/>
  <c r="BI264" i="5"/>
  <c r="BK264" i="5" s="1"/>
  <c r="AR138" i="5"/>
  <c r="AR271" i="5"/>
  <c r="AR310" i="5"/>
  <c r="BI245" i="5"/>
  <c r="BK245" i="5" s="1"/>
  <c r="AR19" i="5"/>
  <c r="BI432" i="5"/>
  <c r="BK432" i="5" s="1"/>
  <c r="BI418" i="5"/>
  <c r="BK418" i="5" s="1"/>
  <c r="AR540" i="5"/>
  <c r="BI426" i="5"/>
  <c r="BJ426" i="5" s="1"/>
  <c r="AR452" i="5"/>
  <c r="AQ359" i="5"/>
  <c r="AQ115" i="5"/>
  <c r="AR224" i="5"/>
  <c r="AQ183" i="5"/>
  <c r="AQ87" i="5"/>
  <c r="AQ138" i="5"/>
  <c r="BI523" i="5"/>
  <c r="BK523" i="5" s="1"/>
  <c r="AQ523" i="5"/>
  <c r="BI398" i="5"/>
  <c r="BJ398" i="5" s="1"/>
  <c r="AR345" i="5"/>
  <c r="AR197" i="5"/>
  <c r="AQ44" i="5"/>
  <c r="AQ398" i="5"/>
  <c r="BI153" i="5"/>
  <c r="BJ153" i="5" s="1"/>
  <c r="AR95" i="5"/>
  <c r="AE97" i="4"/>
  <c r="BI417" i="5"/>
  <c r="BJ417" i="5" s="1"/>
  <c r="AQ179" i="5"/>
  <c r="BI405" i="5"/>
  <c r="BJ405" i="5" s="1"/>
  <c r="AQ371" i="5"/>
  <c r="AQ490" i="5"/>
  <c r="BI470" i="5"/>
  <c r="BJ470" i="5" s="1"/>
  <c r="BI160" i="5"/>
  <c r="BK160" i="5" s="1"/>
  <c r="AR470" i="5"/>
  <c r="AR160" i="5"/>
  <c r="AQ287" i="5"/>
  <c r="AE42" i="4"/>
  <c r="Z144" i="4"/>
  <c r="AE86" i="4"/>
  <c r="AE121" i="4"/>
  <c r="X45" i="4"/>
  <c r="AA45" i="4" s="1"/>
  <c r="AE137" i="4"/>
  <c r="X72" i="4"/>
  <c r="AK72" i="4" s="1"/>
  <c r="X73" i="4"/>
  <c r="AK73" i="4" s="1"/>
  <c r="AE49" i="4"/>
  <c r="Z52" i="4"/>
  <c r="X52" i="4" s="1"/>
  <c r="AK52" i="4" s="1"/>
  <c r="X59" i="4"/>
  <c r="AK59" i="4" s="1"/>
  <c r="Z84" i="4"/>
  <c r="X84" i="4" s="1"/>
  <c r="Z102" i="4"/>
  <c r="X24" i="4"/>
  <c r="AK24" i="4" s="1"/>
  <c r="Z26" i="4"/>
  <c r="X26" i="4" s="1"/>
  <c r="AK26" i="4" s="1"/>
  <c r="Z57" i="4"/>
  <c r="X57" i="4" s="1"/>
  <c r="AK57" i="4" s="1"/>
  <c r="X25" i="4"/>
  <c r="AK25" i="4" s="1"/>
  <c r="Z62" i="4"/>
  <c r="X62" i="4" s="1"/>
  <c r="X91" i="4"/>
  <c r="AK91" i="4" s="1"/>
  <c r="X131" i="4"/>
  <c r="AK131" i="4" s="1"/>
  <c r="X123" i="4"/>
  <c r="AK123" i="4" s="1"/>
  <c r="Z75" i="4"/>
  <c r="X29" i="4"/>
  <c r="AK29" i="4" s="1"/>
  <c r="Z117" i="4"/>
  <c r="Z105" i="4"/>
  <c r="X105" i="4" s="1"/>
  <c r="X115" i="4"/>
  <c r="AK115" i="4" s="1"/>
  <c r="X99" i="4"/>
  <c r="AK99" i="4" s="1"/>
  <c r="Z148" i="4"/>
  <c r="Z88" i="4"/>
  <c r="X88" i="4" s="1"/>
  <c r="Z133" i="4"/>
  <c r="Z109" i="4"/>
  <c r="X109" i="4" s="1"/>
  <c r="Z50" i="4"/>
  <c r="X50" i="4" s="1"/>
  <c r="AK50" i="4" s="1"/>
  <c r="X60" i="4"/>
  <c r="AK60" i="4" s="1"/>
  <c r="X31" i="4"/>
  <c r="AK31" i="4" s="1"/>
  <c r="X94" i="4"/>
  <c r="AK94" i="4" s="1"/>
  <c r="Z42" i="4"/>
  <c r="X42" i="4" s="1"/>
  <c r="AK42" i="4" s="1"/>
  <c r="Z113" i="4"/>
  <c r="Z125" i="4"/>
  <c r="X125" i="4" s="1"/>
  <c r="X154" i="4"/>
  <c r="AK154" i="4" s="1"/>
  <c r="Z35" i="4"/>
  <c r="X35" i="4" s="1"/>
  <c r="AK35" i="4" s="1"/>
  <c r="X34" i="4"/>
  <c r="AA34" i="4" s="1"/>
  <c r="X102" i="4"/>
  <c r="X144" i="4"/>
  <c r="X80" i="4"/>
  <c r="AK80" i="4" s="1"/>
  <c r="X92" i="4"/>
  <c r="AK92" i="4" s="1"/>
  <c r="AA139" i="4"/>
  <c r="AF139" i="4" s="1"/>
  <c r="Z67" i="4"/>
  <c r="X67" i="4" s="1"/>
  <c r="Z81" i="4"/>
  <c r="Z49" i="4"/>
  <c r="X49" i="4" s="1"/>
  <c r="AA154" i="4"/>
  <c r="AC154" i="4" s="1"/>
  <c r="AD154" i="4" s="1"/>
  <c r="Z124" i="4"/>
  <c r="X139" i="4"/>
  <c r="AK139" i="4" s="1"/>
  <c r="X107" i="4"/>
  <c r="AK107" i="4" s="1"/>
  <c r="X75" i="4"/>
  <c r="X148" i="4"/>
  <c r="AE83" i="4"/>
  <c r="Z153" i="4"/>
  <c r="X153" i="4" s="1"/>
  <c r="AA14" i="4"/>
  <c r="AC14" i="4" s="1"/>
  <c r="AD14" i="4" s="1"/>
  <c r="X33" i="4"/>
  <c r="AK33" i="4" s="1"/>
  <c r="Z48" i="4"/>
  <c r="X83" i="4"/>
  <c r="AK83" i="4" s="1"/>
  <c r="AE89" i="4"/>
  <c r="X65" i="4"/>
  <c r="AK65" i="4" s="1"/>
  <c r="Y140" i="4"/>
  <c r="AE140" i="4"/>
  <c r="Y151" i="4"/>
  <c r="AE151" i="4"/>
  <c r="Y120" i="4"/>
  <c r="AE120" i="4"/>
  <c r="Y138" i="4"/>
  <c r="AE138" i="4"/>
  <c r="Y10" i="4"/>
  <c r="Z10" i="4" s="1"/>
  <c r="AE10" i="4"/>
  <c r="Y128" i="4"/>
  <c r="AE128" i="4"/>
  <c r="Y32" i="4"/>
  <c r="AE32" i="4"/>
  <c r="Y44" i="4"/>
  <c r="AE44" i="4"/>
  <c r="Y23" i="4"/>
  <c r="AE23" i="4"/>
  <c r="Y111" i="4"/>
  <c r="AE111" i="4"/>
  <c r="Y103" i="4"/>
  <c r="AE103" i="4"/>
  <c r="Y79" i="4"/>
  <c r="AE79" i="4"/>
  <c r="Y70" i="4"/>
  <c r="AE70" i="4"/>
  <c r="Y19" i="4"/>
  <c r="Z19" i="4" s="1"/>
  <c r="AE19" i="4"/>
  <c r="Y69" i="4"/>
  <c r="AE69" i="4"/>
  <c r="Y18" i="4"/>
  <c r="Z18" i="4" s="1"/>
  <c r="AE18" i="4"/>
  <c r="X8" i="4"/>
  <c r="AA8" i="4" s="1"/>
  <c r="X13" i="4"/>
  <c r="AK13" i="4" s="1"/>
  <c r="X15" i="4"/>
  <c r="AK15" i="4" s="1"/>
  <c r="X11" i="4"/>
  <c r="AA11" i="4" s="1"/>
  <c r="Y143" i="4"/>
  <c r="AE143" i="4"/>
  <c r="Y64" i="4"/>
  <c r="AE64" i="4"/>
  <c r="Y12" i="4"/>
  <c r="Z12" i="4" s="1"/>
  <c r="AE12" i="4"/>
  <c r="Y130" i="4"/>
  <c r="AE130" i="4"/>
  <c r="Y98" i="4"/>
  <c r="AE98" i="4"/>
  <c r="Y21" i="4"/>
  <c r="Z21" i="4" s="1"/>
  <c r="AE21" i="4"/>
  <c r="Y108" i="4"/>
  <c r="AE108" i="4"/>
  <c r="Y142" i="4"/>
  <c r="AE142" i="4"/>
  <c r="Y9" i="4"/>
  <c r="Z9" i="4" s="1"/>
  <c r="AE9" i="4"/>
  <c r="Y63" i="4"/>
  <c r="AE63" i="4"/>
  <c r="Y47" i="4"/>
  <c r="AE47" i="4"/>
  <c r="Y22" i="4"/>
  <c r="Z22" i="4" s="1"/>
  <c r="AE22" i="4"/>
  <c r="Y152" i="4"/>
  <c r="AE152" i="4"/>
  <c r="Y56" i="4"/>
  <c r="AE56" i="4"/>
  <c r="Y90" i="4"/>
  <c r="AE90" i="4"/>
  <c r="AK14" i="4"/>
  <c r="Y134" i="4"/>
  <c r="AE134" i="4"/>
  <c r="Y101" i="4"/>
  <c r="AE101" i="4"/>
  <c r="Y85" i="4"/>
  <c r="AE85" i="4"/>
  <c r="Y61" i="4"/>
  <c r="AE61" i="4"/>
  <c r="Y135" i="4"/>
  <c r="AE135" i="4"/>
  <c r="Y119" i="4"/>
  <c r="AE119" i="4"/>
  <c r="Y126" i="4"/>
  <c r="AE126" i="4"/>
  <c r="Y39" i="4"/>
  <c r="AE39" i="4"/>
  <c r="Y76" i="4"/>
  <c r="AE76" i="4"/>
  <c r="Y20" i="4"/>
  <c r="Z20" i="4" s="1"/>
  <c r="AE20" i="4"/>
  <c r="Y110" i="4"/>
  <c r="AE110" i="4"/>
  <c r="Y71" i="4"/>
  <c r="AE71" i="4"/>
  <c r="Y55" i="4"/>
  <c r="AE55" i="4"/>
  <c r="Y68" i="4"/>
  <c r="AE68" i="4"/>
  <c r="Y16" i="4"/>
  <c r="Z16" i="4" s="1"/>
  <c r="AE16" i="4"/>
  <c r="Y157" i="4"/>
  <c r="AE157" i="4"/>
  <c r="Y141" i="4"/>
  <c r="AE141" i="4"/>
  <c r="Y53" i="4"/>
  <c r="AE53" i="4"/>
  <c r="X17" i="4"/>
  <c r="AK17" i="4" s="1"/>
  <c r="Y96" i="4"/>
  <c r="AE96" i="4"/>
  <c r="Y66" i="4"/>
  <c r="AE66" i="4"/>
  <c r="Y78" i="4"/>
  <c r="AE78" i="4"/>
  <c r="Y46" i="4"/>
  <c r="AE46" i="4"/>
  <c r="Y127" i="4"/>
  <c r="AE127" i="4"/>
  <c r="Y95" i="4"/>
  <c r="AE95" i="4"/>
  <c r="Y87" i="4"/>
  <c r="AE87" i="4"/>
  <c r="Y38" i="4"/>
  <c r="AE38" i="4"/>
  <c r="Y58" i="4"/>
  <c r="AE58" i="4"/>
  <c r="Y132" i="4"/>
  <c r="AE132" i="4"/>
  <c r="Y100" i="4"/>
  <c r="AE100" i="4"/>
  <c r="Y40" i="4"/>
  <c r="AE40" i="4"/>
  <c r="Y149" i="4"/>
  <c r="AE149" i="4"/>
  <c r="Y93" i="4"/>
  <c r="AE93" i="4"/>
  <c r="Y77" i="4"/>
  <c r="AE77" i="4"/>
  <c r="Z147" i="4"/>
  <c r="X147" i="4" s="1"/>
  <c r="Z51" i="4"/>
  <c r="X51" i="4" s="1"/>
  <c r="Z43" i="4"/>
  <c r="Z136" i="4"/>
  <c r="Z116" i="4"/>
  <c r="X116" i="4" s="1"/>
  <c r="Z118" i="4"/>
  <c r="AE33" i="4"/>
  <c r="AE139" i="4"/>
  <c r="AE94" i="4"/>
  <c r="X104" i="4"/>
  <c r="AK104" i="4" s="1"/>
  <c r="Z54" i="4"/>
  <c r="X54" i="4" s="1"/>
  <c r="Z145" i="4"/>
  <c r="X145" i="4" s="1"/>
  <c r="Z137" i="4"/>
  <c r="Z129" i="4"/>
  <c r="Z121" i="4"/>
  <c r="X121" i="4" s="1"/>
  <c r="Z41" i="4"/>
  <c r="X41" i="4" s="1"/>
  <c r="X122" i="4"/>
  <c r="AK122" i="4" s="1"/>
  <c r="AE29" i="4"/>
  <c r="AE117" i="4"/>
  <c r="AE81" i="4"/>
  <c r="AE82" i="4"/>
  <c r="AE105" i="4"/>
  <c r="AE147" i="4"/>
  <c r="AE43" i="4"/>
  <c r="AE75" i="4"/>
  <c r="AE48" i="4"/>
  <c r="AE145" i="4"/>
  <c r="AE123" i="4"/>
  <c r="AE35" i="4"/>
  <c r="AE17" i="4"/>
  <c r="AE154" i="4"/>
  <c r="AE80" i="4"/>
  <c r="AE92" i="4"/>
  <c r="Z97" i="4"/>
  <c r="Z89" i="4"/>
  <c r="AE107" i="4"/>
  <c r="AE109" i="4"/>
  <c r="AE156" i="4"/>
  <c r="AE104" i="4"/>
  <c r="AE11" i="4"/>
  <c r="AE54" i="4"/>
  <c r="AE67" i="4"/>
  <c r="AE28" i="4"/>
  <c r="AE88" i="4"/>
  <c r="AE146" i="4"/>
  <c r="AE131" i="4"/>
  <c r="AE84" i="4"/>
  <c r="AE57" i="4"/>
  <c r="AE25" i="4"/>
  <c r="AE150" i="4"/>
  <c r="AE50" i="4"/>
  <c r="AA80" i="4"/>
  <c r="X146" i="4"/>
  <c r="AK146" i="4" s="1"/>
  <c r="X114" i="4"/>
  <c r="AK114" i="4" s="1"/>
  <c r="X82" i="4"/>
  <c r="AK82" i="4" s="1"/>
  <c r="X28" i="4"/>
  <c r="AK28" i="4" s="1"/>
  <c r="X37" i="4"/>
  <c r="AK37" i="4" s="1"/>
  <c r="X155" i="4"/>
  <c r="AK155" i="4" s="1"/>
  <c r="X136" i="4"/>
  <c r="AE155" i="4"/>
  <c r="AE136" i="4"/>
  <c r="Z74" i="4"/>
  <c r="X27" i="4"/>
  <c r="AK27" i="4" s="1"/>
  <c r="X137" i="4"/>
  <c r="X129" i="4"/>
  <c r="X113" i="4"/>
  <c r="X97" i="4"/>
  <c r="AE8" i="4"/>
  <c r="AE62" i="4"/>
  <c r="AE15" i="4"/>
  <c r="AE52" i="4"/>
  <c r="AE26" i="4"/>
  <c r="AE115" i="4"/>
  <c r="AE106" i="4"/>
  <c r="AE31" i="4"/>
  <c r="AE27" i="4"/>
  <c r="AE112" i="4"/>
  <c r="AE99" i="4"/>
  <c r="AE113" i="4"/>
  <c r="AE91" i="4"/>
  <c r="AE65" i="4"/>
  <c r="AE51" i="4"/>
  <c r="X133" i="4"/>
  <c r="X117" i="4"/>
  <c r="Z112" i="4"/>
  <c r="X156" i="4"/>
  <c r="AK156" i="4" s="1"/>
  <c r="X124" i="4"/>
  <c r="AA115" i="4"/>
  <c r="X30" i="4"/>
  <c r="AK30" i="4" s="1"/>
  <c r="X118" i="4"/>
  <c r="AE59" i="4"/>
  <c r="AE129" i="4"/>
  <c r="AE133" i="4"/>
  <c r="AE60" i="4"/>
  <c r="X36" i="4"/>
  <c r="AK36" i="4" s="1"/>
  <c r="X106" i="4"/>
  <c r="AK106" i="4" s="1"/>
  <c r="X150" i="4"/>
  <c r="AK150" i="4" s="1"/>
  <c r="X86" i="4"/>
  <c r="AK86" i="4" s="1"/>
  <c r="AA122" i="4"/>
  <c r="AE116" i="4"/>
  <c r="AE45" i="4"/>
  <c r="AE118" i="4"/>
  <c r="AE124" i="4"/>
  <c r="AE36" i="4"/>
  <c r="AE125" i="4"/>
  <c r="AE74" i="4"/>
  <c r="AE37" i="4"/>
  <c r="AE73" i="4"/>
  <c r="AE72" i="4"/>
  <c r="AE30" i="4"/>
  <c r="AE153" i="4"/>
  <c r="AE102" i="4"/>
  <c r="AE148" i="4"/>
  <c r="AE13" i="4"/>
  <c r="AE114" i="4"/>
  <c r="AE41" i="4"/>
  <c r="AE122" i="4"/>
  <c r="AE34" i="4"/>
  <c r="AE14" i="4"/>
  <c r="AE144" i="4"/>
  <c r="AO11" i="5"/>
  <c r="BC11" i="5"/>
  <c r="BE11" i="5" s="1"/>
  <c r="AU11" i="5"/>
  <c r="AV11" i="5"/>
  <c r="BE10" i="5"/>
  <c r="AC7" i="5"/>
  <c r="S7" i="5"/>
  <c r="R7" i="5"/>
  <c r="B202" i="2"/>
  <c r="B189" i="2"/>
  <c r="AR417" i="5"/>
  <c r="BI236" i="5"/>
  <c r="BJ236" i="5" s="1"/>
  <c r="AR236" i="5"/>
  <c r="AR287" i="5"/>
  <c r="AR327" i="5"/>
  <c r="AR38" i="5"/>
  <c r="BI271" i="5"/>
  <c r="BK271" i="5" s="1"/>
  <c r="BI540" i="5"/>
  <c r="BK540" i="5" s="1"/>
  <c r="AP11" i="5"/>
  <c r="AR11" i="5" s="1"/>
  <c r="AR438" i="5"/>
  <c r="BI310" i="5"/>
  <c r="BJ310" i="5" s="1"/>
  <c r="AR183" i="5"/>
  <c r="BI211" i="5"/>
  <c r="BK211" i="5" s="1"/>
  <c r="AR245" i="5"/>
  <c r="BI452" i="5"/>
  <c r="BJ452" i="5" s="1"/>
  <c r="AR102" i="5"/>
  <c r="AR359" i="5"/>
  <c r="AR87" i="5"/>
  <c r="BI345" i="5"/>
  <c r="BJ345" i="5" s="1"/>
  <c r="AR179" i="5"/>
  <c r="BI115" i="5"/>
  <c r="BJ115" i="5" s="1"/>
  <c r="AQ405" i="5"/>
  <c r="AQ197" i="5"/>
  <c r="AQ224" i="5"/>
  <c r="AR34" i="5"/>
  <c r="AQ353" i="5"/>
  <c r="AR123" i="5"/>
  <c r="BI38" i="5"/>
  <c r="BJ38" i="5" s="1"/>
  <c r="AQ438" i="5"/>
  <c r="AR426" i="5"/>
  <c r="AQ19" i="5"/>
  <c r="AQ94" i="5"/>
  <c r="AR419" i="5"/>
  <c r="AR432" i="5"/>
  <c r="AQ102" i="5"/>
  <c r="AR406" i="5"/>
  <c r="AQ418" i="5"/>
  <c r="BI34" i="5"/>
  <c r="BJ34" i="5" s="1"/>
  <c r="AR353" i="5"/>
  <c r="BI123" i="5"/>
  <c r="BJ123" i="5" s="1"/>
  <c r="AR86" i="5"/>
  <c r="AQ390" i="5"/>
  <c r="AQ465" i="5"/>
  <c r="AQ511" i="5"/>
  <c r="BI86" i="5"/>
  <c r="BJ86" i="5" s="1"/>
  <c r="AR511" i="5"/>
  <c r="AP9" i="5"/>
  <c r="AQ9" i="5" s="1"/>
  <c r="B104" i="2"/>
  <c r="H23" i="1"/>
  <c r="AL9" i="5"/>
  <c r="AR10" i="5"/>
  <c r="BI10" i="5"/>
  <c r="AI9" i="5"/>
  <c r="AH9" i="5"/>
  <c r="BJ355" i="5"/>
  <c r="BK355" i="5"/>
  <c r="BJ493" i="5"/>
  <c r="BL493" i="5" s="1"/>
  <c r="BK493" i="5"/>
  <c r="BJ301" i="5"/>
  <c r="BK301" i="5"/>
  <c r="BJ504" i="5"/>
  <c r="BL504" i="5" s="1"/>
  <c r="BK504" i="5"/>
  <c r="BJ71" i="5"/>
  <c r="BK71" i="5"/>
  <c r="BM71" i="5" s="1"/>
  <c r="BK382" i="5"/>
  <c r="BJ382" i="5"/>
  <c r="BJ318" i="5"/>
  <c r="BK318" i="5"/>
  <c r="BJ393" i="5"/>
  <c r="BK393" i="5"/>
  <c r="BJ329" i="5"/>
  <c r="BK329" i="5"/>
  <c r="BJ389" i="5"/>
  <c r="BK389" i="5"/>
  <c r="BJ400" i="5"/>
  <c r="BK400" i="5"/>
  <c r="BJ143" i="5"/>
  <c r="BK143" i="5"/>
  <c r="BJ134" i="5"/>
  <c r="BK134" i="5"/>
  <c r="BM134" i="5" s="1"/>
  <c r="BJ129" i="5"/>
  <c r="BK129" i="5"/>
  <c r="BK507" i="5"/>
  <c r="BJ507" i="5"/>
  <c r="BK443" i="5"/>
  <c r="BJ443" i="5"/>
  <c r="BJ438" i="5"/>
  <c r="BK438" i="5"/>
  <c r="BJ488" i="5"/>
  <c r="BK488" i="5"/>
  <c r="BK519" i="5"/>
  <c r="BJ519" i="5"/>
  <c r="BJ311" i="5"/>
  <c r="BK311" i="5"/>
  <c r="BM311" i="5" s="1"/>
  <c r="BJ247" i="5"/>
  <c r="BK247" i="5"/>
  <c r="BJ302" i="5"/>
  <c r="BK302" i="5"/>
  <c r="BJ313" i="5"/>
  <c r="BK313" i="5"/>
  <c r="BK57" i="5"/>
  <c r="BJ57" i="5"/>
  <c r="BK84" i="5"/>
  <c r="BJ84" i="5"/>
  <c r="BJ371" i="5"/>
  <c r="BK371" i="5"/>
  <c r="BK170" i="5"/>
  <c r="BJ170" i="5"/>
  <c r="BJ106" i="5"/>
  <c r="BK106" i="5"/>
  <c r="BJ373" i="5"/>
  <c r="BK373" i="5"/>
  <c r="BM373" i="5" s="1"/>
  <c r="BJ127" i="5"/>
  <c r="BK127" i="5"/>
  <c r="BJ385" i="5"/>
  <c r="BK385" i="5"/>
  <c r="BJ396" i="5"/>
  <c r="BK396" i="5"/>
  <c r="BK140" i="5"/>
  <c r="BJ140" i="5"/>
  <c r="BJ229" i="5"/>
  <c r="BK229" i="5"/>
  <c r="BJ333" i="5"/>
  <c r="BK333" i="5"/>
  <c r="BJ61" i="5"/>
  <c r="BK61" i="5"/>
  <c r="BM61" i="5" s="1"/>
  <c r="BK152" i="5"/>
  <c r="BM152" i="5" s="1"/>
  <c r="BJ152" i="5"/>
  <c r="BJ103" i="5"/>
  <c r="BK103" i="5"/>
  <c r="BJ158" i="5"/>
  <c r="BK158" i="5"/>
  <c r="BJ196" i="5"/>
  <c r="BK196" i="5"/>
  <c r="BK259" i="5"/>
  <c r="BJ259" i="5"/>
  <c r="BJ195" i="5"/>
  <c r="BK195" i="5"/>
  <c r="BJ538" i="5"/>
  <c r="BK538" i="5"/>
  <c r="BJ474" i="5"/>
  <c r="BK474" i="5"/>
  <c r="BK218" i="5"/>
  <c r="BJ218" i="5"/>
  <c r="BL218" i="5" s="1"/>
  <c r="BJ485" i="5"/>
  <c r="BK485" i="5"/>
  <c r="BJ213" i="5"/>
  <c r="BK213" i="5"/>
  <c r="BJ240" i="5"/>
  <c r="BK240" i="5"/>
  <c r="BK527" i="5"/>
  <c r="BJ527" i="5"/>
  <c r="BJ230" i="5"/>
  <c r="BK230" i="5"/>
  <c r="BJ497" i="5"/>
  <c r="BK497" i="5"/>
  <c r="BJ305" i="5"/>
  <c r="BK305" i="5"/>
  <c r="BM305" i="5" s="1"/>
  <c r="BJ225" i="5"/>
  <c r="BK225" i="5"/>
  <c r="BJ252" i="5"/>
  <c r="BK252" i="5"/>
  <c r="BK539" i="5"/>
  <c r="BJ539" i="5"/>
  <c r="BJ162" i="5"/>
  <c r="BK162" i="5"/>
  <c r="BJ173" i="5"/>
  <c r="BK173" i="5"/>
  <c r="BJ456" i="5"/>
  <c r="BK456" i="5"/>
  <c r="BK200" i="5"/>
  <c r="BJ200" i="5"/>
  <c r="BJ215" i="5"/>
  <c r="BK215" i="5"/>
  <c r="BM215" i="5" s="1"/>
  <c r="BJ270" i="5"/>
  <c r="BK270" i="5"/>
  <c r="BJ12" i="5"/>
  <c r="BK12" i="5"/>
  <c r="BJ74" i="5"/>
  <c r="BK74" i="5"/>
  <c r="BJ341" i="5"/>
  <c r="BK341" i="5"/>
  <c r="BM341" i="5" s="1"/>
  <c r="BJ69" i="5"/>
  <c r="BL69" i="5" s="1"/>
  <c r="BK69" i="5"/>
  <c r="BJ95" i="5"/>
  <c r="BK95" i="5"/>
  <c r="BJ353" i="5"/>
  <c r="BK353" i="5"/>
  <c r="BK108" i="5"/>
  <c r="BM108" i="5" s="1"/>
  <c r="BJ108" i="5"/>
  <c r="BK395" i="5"/>
  <c r="BJ395" i="5"/>
  <c r="BL395" i="5" s="1"/>
  <c r="BJ501" i="5"/>
  <c r="BK501" i="5"/>
  <c r="BM501" i="5" s="1"/>
  <c r="BJ518" i="5"/>
  <c r="BK518" i="5"/>
  <c r="BJ274" i="5"/>
  <c r="BK274" i="5"/>
  <c r="BK27" i="5"/>
  <c r="BJ27" i="5"/>
  <c r="BJ312" i="5"/>
  <c r="BK312" i="5"/>
  <c r="BJ56" i="5"/>
  <c r="BK56" i="5"/>
  <c r="BJ135" i="5"/>
  <c r="BK135" i="5"/>
  <c r="BJ420" i="5"/>
  <c r="BK420" i="5"/>
  <c r="BJ476" i="5"/>
  <c r="BK476" i="5"/>
  <c r="BJ235" i="5"/>
  <c r="BK235" i="5"/>
  <c r="BJ502" i="5"/>
  <c r="BK502" i="5"/>
  <c r="BJ258" i="5"/>
  <c r="BK258" i="5"/>
  <c r="BJ541" i="5"/>
  <c r="BL541" i="5" s="1"/>
  <c r="BK541" i="5"/>
  <c r="BJ285" i="5"/>
  <c r="BK285" i="5"/>
  <c r="BJ296" i="5"/>
  <c r="BK296" i="5"/>
  <c r="BJ55" i="5"/>
  <c r="BK55" i="5"/>
  <c r="BK366" i="5"/>
  <c r="BJ366" i="5"/>
  <c r="BJ110" i="5"/>
  <c r="BK110" i="5"/>
  <c r="BM110" i="5" s="1"/>
  <c r="BK165" i="5"/>
  <c r="BJ165" i="5"/>
  <c r="BJ448" i="5"/>
  <c r="BK448" i="5"/>
  <c r="BJ255" i="5"/>
  <c r="BK255" i="5"/>
  <c r="BK191" i="5"/>
  <c r="BJ191" i="5"/>
  <c r="BJ177" i="5"/>
  <c r="BK177" i="5"/>
  <c r="BJ460" i="5"/>
  <c r="BK460" i="5"/>
  <c r="BK204" i="5"/>
  <c r="BJ204" i="5"/>
  <c r="BK283" i="5"/>
  <c r="BJ283" i="5"/>
  <c r="BK358" i="5"/>
  <c r="BJ358" i="5"/>
  <c r="BK370" i="5"/>
  <c r="BJ370" i="5"/>
  <c r="BJ114" i="5"/>
  <c r="BK114" i="5"/>
  <c r="BJ461" i="5"/>
  <c r="BK461" i="5"/>
  <c r="BJ397" i="5"/>
  <c r="BK397" i="5"/>
  <c r="BJ125" i="5"/>
  <c r="BK125" i="5"/>
  <c r="BK503" i="5"/>
  <c r="BJ503" i="5"/>
  <c r="BJ167" i="5"/>
  <c r="BK167" i="5"/>
  <c r="BJ478" i="5"/>
  <c r="BK478" i="5"/>
  <c r="BJ233" i="5"/>
  <c r="BK233" i="5"/>
  <c r="BK260" i="5"/>
  <c r="BM260" i="5" s="1"/>
  <c r="BJ260" i="5"/>
  <c r="BK547" i="5"/>
  <c r="BJ547" i="5"/>
  <c r="BJ282" i="5"/>
  <c r="BK282" i="5"/>
  <c r="BJ24" i="5"/>
  <c r="BK24" i="5"/>
  <c r="BJ304" i="5"/>
  <c r="BK304" i="5"/>
  <c r="BJ47" i="5"/>
  <c r="BK47" i="5"/>
  <c r="BJ20" i="5"/>
  <c r="BK20" i="5"/>
  <c r="BJ97" i="5"/>
  <c r="BK97" i="5"/>
  <c r="BJ316" i="5"/>
  <c r="BK316" i="5"/>
  <c r="BK60" i="5"/>
  <c r="BJ60" i="5"/>
  <c r="BJ226" i="5"/>
  <c r="BK226" i="5"/>
  <c r="BJ253" i="5"/>
  <c r="BL253" i="5" s="1"/>
  <c r="BK253" i="5"/>
  <c r="BJ328" i="5"/>
  <c r="BK328" i="5"/>
  <c r="BJ334" i="5"/>
  <c r="BK334" i="5"/>
  <c r="BJ78" i="5"/>
  <c r="BK78" i="5"/>
  <c r="BJ372" i="5"/>
  <c r="BL372" i="5" s="1"/>
  <c r="BK372" i="5"/>
  <c r="BK116" i="5"/>
  <c r="BJ116" i="5"/>
  <c r="BK138" i="5"/>
  <c r="BJ138" i="5"/>
  <c r="BJ145" i="5"/>
  <c r="BL145" i="5" s="1"/>
  <c r="BK145" i="5"/>
  <c r="BJ428" i="5"/>
  <c r="BK428" i="5"/>
  <c r="BK459" i="5"/>
  <c r="BJ459" i="5"/>
  <c r="BK251" i="5"/>
  <c r="BM251" i="5" s="1"/>
  <c r="BJ251" i="5"/>
  <c r="BJ37" i="5"/>
  <c r="BK37" i="5"/>
  <c r="BJ41" i="5"/>
  <c r="BK41" i="5"/>
  <c r="BK338" i="5"/>
  <c r="BM338" i="5" s="1"/>
  <c r="BJ338" i="5"/>
  <c r="BJ82" i="5"/>
  <c r="BK82" i="5"/>
  <c r="BJ429" i="5"/>
  <c r="BK429" i="5"/>
  <c r="BJ365" i="5"/>
  <c r="BK365" i="5"/>
  <c r="BK471" i="5"/>
  <c r="BJ471" i="5"/>
  <c r="BL471" i="5" s="1"/>
  <c r="BK407" i="5"/>
  <c r="BJ407" i="5"/>
  <c r="BK228" i="5"/>
  <c r="BJ228" i="5"/>
  <c r="BK515" i="5"/>
  <c r="BJ515" i="5"/>
  <c r="BK291" i="5"/>
  <c r="BJ291" i="5"/>
  <c r="BK227" i="5"/>
  <c r="BM227" i="5" s="1"/>
  <c r="BJ227" i="5"/>
  <c r="BJ533" i="5"/>
  <c r="BK533" i="5"/>
  <c r="BJ528" i="5"/>
  <c r="BL528" i="5" s="1"/>
  <c r="BK528" i="5"/>
  <c r="BJ273" i="5"/>
  <c r="BK273" i="5"/>
  <c r="BJ348" i="5"/>
  <c r="BK348" i="5"/>
  <c r="BJ284" i="5"/>
  <c r="BK284" i="5"/>
  <c r="BJ299" i="5"/>
  <c r="BL299" i="5" s="1"/>
  <c r="BK299" i="5"/>
  <c r="BK43" i="5"/>
  <c r="BJ43" i="5"/>
  <c r="BL43" i="5" s="1"/>
  <c r="BJ351" i="5"/>
  <c r="BK351" i="5"/>
  <c r="BJ413" i="5"/>
  <c r="BK413" i="5"/>
  <c r="BJ349" i="5"/>
  <c r="BK349" i="5"/>
  <c r="BK104" i="5"/>
  <c r="BJ104" i="5"/>
  <c r="BJ430" i="5"/>
  <c r="BK430" i="5"/>
  <c r="BM430" i="5" s="1"/>
  <c r="BJ249" i="5"/>
  <c r="BL249" i="5" s="1"/>
  <c r="BK249" i="5"/>
  <c r="BJ185" i="5"/>
  <c r="BK185" i="5"/>
  <c r="BJ532" i="5"/>
  <c r="BK532" i="5"/>
  <c r="BK212" i="5"/>
  <c r="BJ212" i="5"/>
  <c r="BK499" i="5"/>
  <c r="BM499" i="5" s="1"/>
  <c r="BJ499" i="5"/>
  <c r="BJ490" i="5"/>
  <c r="BK490" i="5"/>
  <c r="BJ234" i="5"/>
  <c r="BK234" i="5"/>
  <c r="BM234" i="5" s="1"/>
  <c r="BJ512" i="5"/>
  <c r="BL512" i="5" s="1"/>
  <c r="BK512" i="5"/>
  <c r="BJ256" i="5"/>
  <c r="BK256" i="5"/>
  <c r="BK543" i="5"/>
  <c r="BJ543" i="5"/>
  <c r="BK63" i="5"/>
  <c r="BJ63" i="5"/>
  <c r="BJ268" i="5"/>
  <c r="BK268" i="5"/>
  <c r="BJ7" i="5"/>
  <c r="BK7" i="5"/>
  <c r="BJ434" i="5"/>
  <c r="BL434" i="5" s="1"/>
  <c r="BK434" i="5"/>
  <c r="BJ525" i="5"/>
  <c r="BK525" i="5"/>
  <c r="BJ189" i="5"/>
  <c r="BK189" i="5"/>
  <c r="BK19" i="5"/>
  <c r="BJ19" i="5"/>
  <c r="BJ286" i="5"/>
  <c r="BK286" i="5"/>
  <c r="BK39" i="5"/>
  <c r="BJ39" i="5"/>
  <c r="BK132" i="5"/>
  <c r="BJ132" i="5"/>
  <c r="BK51" i="5"/>
  <c r="BJ51" i="5"/>
  <c r="BL51" i="5" s="1"/>
  <c r="BK346" i="5"/>
  <c r="BJ346" i="5"/>
  <c r="BJ90" i="5"/>
  <c r="BK90" i="5"/>
  <c r="BK368" i="5"/>
  <c r="BJ368" i="5"/>
  <c r="BJ166" i="5"/>
  <c r="BK166" i="5"/>
  <c r="BJ102" i="5"/>
  <c r="BK102" i="5"/>
  <c r="BK475" i="5"/>
  <c r="BJ475" i="5"/>
  <c r="BK411" i="5"/>
  <c r="BJ411" i="5"/>
  <c r="BK339" i="5"/>
  <c r="BM339" i="5" s="1"/>
  <c r="BJ339" i="5"/>
  <c r="BJ534" i="5"/>
  <c r="BK534" i="5"/>
  <c r="BJ290" i="5"/>
  <c r="BK290" i="5"/>
  <c r="BJ109" i="5"/>
  <c r="BK109" i="5"/>
  <c r="BM109" i="5" s="1"/>
  <c r="BJ359" i="5"/>
  <c r="BK359" i="5"/>
  <c r="BJ87" i="5"/>
  <c r="BK87" i="5"/>
  <c r="BJ179" i="5"/>
  <c r="BL179" i="5" s="1"/>
  <c r="BK179" i="5"/>
  <c r="BJ458" i="5"/>
  <c r="BK458" i="5"/>
  <c r="BJ469" i="5"/>
  <c r="BK469" i="5"/>
  <c r="BJ197" i="5"/>
  <c r="BK197" i="5"/>
  <c r="BJ224" i="5"/>
  <c r="BK224" i="5"/>
  <c r="BK511" i="5"/>
  <c r="BJ511" i="5"/>
  <c r="BJ287" i="5"/>
  <c r="BK287" i="5"/>
  <c r="BJ223" i="5"/>
  <c r="BL223" i="5" s="1"/>
  <c r="BK223" i="5"/>
  <c r="BK209" i="5"/>
  <c r="BJ209" i="5"/>
  <c r="BJ390" i="5"/>
  <c r="BK390" i="5"/>
  <c r="BJ402" i="5"/>
  <c r="BK402" i="5"/>
  <c r="BJ210" i="5"/>
  <c r="BK210" i="5"/>
  <c r="BJ440" i="5"/>
  <c r="BK440" i="5"/>
  <c r="BJ199" i="5"/>
  <c r="BK199" i="5"/>
  <c r="BJ254" i="5"/>
  <c r="BK254" i="5"/>
  <c r="BJ265" i="5"/>
  <c r="BK265" i="5"/>
  <c r="BJ548" i="5"/>
  <c r="BL548" i="5" s="1"/>
  <c r="BK548" i="5"/>
  <c r="BK292" i="5"/>
  <c r="BJ292" i="5"/>
  <c r="BJ314" i="5"/>
  <c r="BK314" i="5"/>
  <c r="BJ325" i="5"/>
  <c r="BK325" i="5"/>
  <c r="BJ117" i="5"/>
  <c r="BK117" i="5"/>
  <c r="BM117" i="5" s="1"/>
  <c r="BK80" i="5"/>
  <c r="BJ80" i="5"/>
  <c r="BJ337" i="5"/>
  <c r="BK337" i="5"/>
  <c r="BJ65" i="5"/>
  <c r="BK65" i="5"/>
  <c r="BK92" i="5"/>
  <c r="BJ92" i="5"/>
  <c r="BJ379" i="5"/>
  <c r="BK379" i="5"/>
  <c r="BJ107" i="5"/>
  <c r="BK107" i="5"/>
  <c r="BK21" i="5"/>
  <c r="BJ21" i="5"/>
  <c r="BJ424" i="5"/>
  <c r="BL424" i="5" s="1"/>
  <c r="BK424" i="5"/>
  <c r="BK455" i="5"/>
  <c r="BJ455" i="5"/>
  <c r="BJ183" i="5"/>
  <c r="BK183" i="5"/>
  <c r="BM183" i="5" s="1"/>
  <c r="BK276" i="5"/>
  <c r="BJ276" i="5"/>
  <c r="BJ67" i="5"/>
  <c r="BK67" i="5"/>
  <c r="BJ309" i="5"/>
  <c r="BK309" i="5"/>
  <c r="BJ320" i="5"/>
  <c r="BK320" i="5"/>
  <c r="BJ36" i="5"/>
  <c r="BK36" i="5"/>
  <c r="BJ49" i="5"/>
  <c r="BK49" i="5"/>
  <c r="BJ363" i="5"/>
  <c r="BK363" i="5"/>
  <c r="BK343" i="5"/>
  <c r="BJ343" i="5"/>
  <c r="BJ498" i="5"/>
  <c r="BK498" i="5"/>
  <c r="BM498" i="5" s="1"/>
  <c r="BJ242" i="5"/>
  <c r="BK242" i="5"/>
  <c r="BJ50" i="5"/>
  <c r="BK50" i="5"/>
  <c r="BJ269" i="5"/>
  <c r="BK269" i="5"/>
  <c r="BJ295" i="5"/>
  <c r="BK295" i="5"/>
  <c r="BJ425" i="5"/>
  <c r="BK425" i="5"/>
  <c r="BJ361" i="5"/>
  <c r="BK361" i="5"/>
  <c r="BJ169" i="5"/>
  <c r="BL169" i="5" s="1"/>
  <c r="BK169" i="5"/>
  <c r="BJ388" i="5"/>
  <c r="BK388" i="5"/>
  <c r="BK154" i="5"/>
  <c r="BJ154" i="5"/>
  <c r="BK239" i="5"/>
  <c r="BJ239" i="5"/>
  <c r="BJ508" i="5"/>
  <c r="BK508" i="5"/>
  <c r="BJ444" i="5"/>
  <c r="BK444" i="5"/>
  <c r="BK188" i="5"/>
  <c r="BJ188" i="5"/>
  <c r="BJ203" i="5"/>
  <c r="BK203" i="5"/>
  <c r="BJ505" i="5"/>
  <c r="BK505" i="5"/>
  <c r="BJ342" i="5"/>
  <c r="BK342" i="5"/>
  <c r="BJ98" i="5"/>
  <c r="BK98" i="5"/>
  <c r="BJ473" i="5"/>
  <c r="BK473" i="5"/>
  <c r="BJ217" i="5"/>
  <c r="BK217" i="5"/>
  <c r="BJ500" i="5"/>
  <c r="BK500" i="5"/>
  <c r="BJ52" i="5"/>
  <c r="BK52" i="5"/>
  <c r="BJ243" i="5"/>
  <c r="BK243" i="5"/>
  <c r="BJ549" i="5"/>
  <c r="BK549" i="5"/>
  <c r="BJ277" i="5"/>
  <c r="BK277" i="5"/>
  <c r="BJ288" i="5"/>
  <c r="BK288" i="5"/>
  <c r="BK13" i="5"/>
  <c r="BJ13" i="5"/>
  <c r="BJ556" i="5"/>
  <c r="BK556" i="5"/>
  <c r="BJ300" i="5"/>
  <c r="BK300" i="5"/>
  <c r="BF536" i="5"/>
  <c r="BG536" i="5" s="1"/>
  <c r="AE536" i="5"/>
  <c r="AE10" i="5"/>
  <c r="AE378" i="5"/>
  <c r="AE13" i="5"/>
  <c r="AD475" i="5"/>
  <c r="AE475" i="5"/>
  <c r="Y7" i="4"/>
  <c r="Z7" i="4" s="1"/>
  <c r="X7" i="4" s="1"/>
  <c r="AD238" i="5"/>
  <c r="AE376" i="5"/>
  <c r="BF427" i="5"/>
  <c r="BH427" i="5" s="1"/>
  <c r="BH447" i="5"/>
  <c r="AD447" i="5"/>
  <c r="BH468" i="5"/>
  <c r="AE468" i="5"/>
  <c r="AD468" i="5"/>
  <c r="AE238" i="5"/>
  <c r="BF376" i="5"/>
  <c r="BH376" i="5" s="1"/>
  <c r="AE537" i="5"/>
  <c r="AE447" i="5"/>
  <c r="BF537" i="5"/>
  <c r="BH537" i="5" s="1"/>
  <c r="AE486" i="5"/>
  <c r="BH484" i="5"/>
  <c r="AD281" i="5"/>
  <c r="AE515" i="5"/>
  <c r="BF456" i="5"/>
  <c r="BG456" i="5" s="1"/>
  <c r="AD554" i="5"/>
  <c r="AE57" i="5"/>
  <c r="BH384" i="5"/>
  <c r="BF421" i="5"/>
  <c r="BG421" i="5" s="1"/>
  <c r="AD427" i="5"/>
  <c r="BG66" i="5"/>
  <c r="AD27" i="5"/>
  <c r="BF310" i="5"/>
  <c r="BH310" i="5" s="1"/>
  <c r="BF554" i="5"/>
  <c r="BH554" i="5" s="1"/>
  <c r="BF492" i="5"/>
  <c r="BG492" i="5" s="1"/>
  <c r="BF189" i="5"/>
  <c r="BG189" i="5" s="1"/>
  <c r="BF515" i="5"/>
  <c r="BG515" i="5" s="1"/>
  <c r="BF547" i="5"/>
  <c r="BH547" i="5" s="1"/>
  <c r="BF414" i="5"/>
  <c r="BG414" i="5" s="1"/>
  <c r="AE290" i="5"/>
  <c r="BF411" i="5"/>
  <c r="BH411" i="5" s="1"/>
  <c r="BF514" i="5"/>
  <c r="BH514" i="5" s="1"/>
  <c r="AE281" i="5"/>
  <c r="AE479" i="5"/>
  <c r="AE391" i="5"/>
  <c r="BF490" i="5"/>
  <c r="BG490" i="5" s="1"/>
  <c r="AE497" i="5"/>
  <c r="AD44" i="5"/>
  <c r="BF44" i="5"/>
  <c r="BG44" i="5" s="1"/>
  <c r="BH553" i="5"/>
  <c r="BH493" i="5"/>
  <c r="AE547" i="5"/>
  <c r="AD290" i="5"/>
  <c r="AE323" i="5"/>
  <c r="AD478" i="5"/>
  <c r="AD360" i="5"/>
  <c r="AD514" i="5"/>
  <c r="AE395" i="5"/>
  <c r="AD446" i="5"/>
  <c r="AD450" i="5"/>
  <c r="AE206" i="5"/>
  <c r="AE446" i="5"/>
  <c r="AD206" i="5"/>
  <c r="AD500" i="5"/>
  <c r="AD508" i="5"/>
  <c r="BF58" i="5"/>
  <c r="BG58" i="5" s="1"/>
  <c r="BF509" i="5"/>
  <c r="BG509" i="5" s="1"/>
  <c r="AE455" i="5"/>
  <c r="BF351" i="5"/>
  <c r="BG351" i="5" s="1"/>
  <c r="BF463" i="5"/>
  <c r="BG463" i="5" s="1"/>
  <c r="BF500" i="5"/>
  <c r="BG500" i="5" s="1"/>
  <c r="AE25" i="5"/>
  <c r="BF377" i="5"/>
  <c r="BG377" i="5" s="1"/>
  <c r="BF486" i="5"/>
  <c r="BH486" i="5" s="1"/>
  <c r="AE35" i="5"/>
  <c r="AD259" i="5"/>
  <c r="AD484" i="5"/>
  <c r="AE487" i="5"/>
  <c r="BF300" i="5"/>
  <c r="BG300" i="5" s="1"/>
  <c r="AE353" i="5"/>
  <c r="BF487" i="5"/>
  <c r="BG487" i="5" s="1"/>
  <c r="BF336" i="5"/>
  <c r="BG336" i="5" s="1"/>
  <c r="AD462" i="5"/>
  <c r="BH462" i="5"/>
  <c r="BF388" i="5"/>
  <c r="BH388" i="5" s="1"/>
  <c r="AE397" i="5"/>
  <c r="AD300" i="5"/>
  <c r="AE462" i="5"/>
  <c r="AE553" i="5"/>
  <c r="AD58" i="5"/>
  <c r="AD490" i="5"/>
  <c r="BF455" i="5"/>
  <c r="BH455" i="5" s="1"/>
  <c r="AE34" i="5"/>
  <c r="AD70" i="5"/>
  <c r="BH308" i="5"/>
  <c r="BG450" i="5"/>
  <c r="AE509" i="5"/>
  <c r="AD308" i="5"/>
  <c r="AD553" i="5"/>
  <c r="AE97" i="5"/>
  <c r="AE493" i="5"/>
  <c r="AD266" i="5"/>
  <c r="AE351" i="5"/>
  <c r="BF526" i="5"/>
  <c r="BH526" i="5" s="1"/>
  <c r="AD493" i="5"/>
  <c r="AD411" i="5"/>
  <c r="BF540" i="5"/>
  <c r="BG540" i="5" s="1"/>
  <c r="AE375" i="5"/>
  <c r="AE557" i="5"/>
  <c r="AD279" i="5"/>
  <c r="AD251" i="5"/>
  <c r="AE498" i="5"/>
  <c r="AD276" i="5"/>
  <c r="BF556" i="5"/>
  <c r="BG556" i="5" s="1"/>
  <c r="BH395" i="5"/>
  <c r="AD395" i="5"/>
  <c r="BF186" i="5"/>
  <c r="BG186" i="5" s="1"/>
  <c r="AE440" i="5"/>
  <c r="BG152" i="5"/>
  <c r="BG498" i="5"/>
  <c r="BF406" i="5"/>
  <c r="BG406" i="5" s="1"/>
  <c r="AD186" i="5"/>
  <c r="AE349" i="5"/>
  <c r="BF391" i="5"/>
  <c r="BG391" i="5" s="1"/>
  <c r="AD250" i="5"/>
  <c r="BG489" i="5"/>
  <c r="BF378" i="5"/>
  <c r="BH378" i="5" s="1"/>
  <c r="AD57" i="5"/>
  <c r="AD492" i="5"/>
  <c r="AE279" i="5"/>
  <c r="BF363" i="5"/>
  <c r="BH363" i="5" s="1"/>
  <c r="AE384" i="5"/>
  <c r="BF349" i="5"/>
  <c r="BG349" i="5" s="1"/>
  <c r="BF375" i="5"/>
  <c r="BH375" i="5" s="1"/>
  <c r="BG279" i="5"/>
  <c r="AE456" i="5"/>
  <c r="BG550" i="5"/>
  <c r="BH43" i="5"/>
  <c r="AE484" i="5"/>
  <c r="AE66" i="5"/>
  <c r="BF345" i="5"/>
  <c r="BG345" i="5" s="1"/>
  <c r="AE152" i="5"/>
  <c r="AE226" i="5"/>
  <c r="BF542" i="5"/>
  <c r="BH542" i="5" s="1"/>
  <c r="BF226" i="5"/>
  <c r="BG226" i="5" s="1"/>
  <c r="BF320" i="5"/>
  <c r="BG320" i="5" s="1"/>
  <c r="BF405" i="5"/>
  <c r="BH405" i="5" s="1"/>
  <c r="BF496" i="5"/>
  <c r="BG496" i="5" s="1"/>
  <c r="AD248" i="5"/>
  <c r="AE27" i="5"/>
  <c r="AE357" i="5"/>
  <c r="AE310" i="5"/>
  <c r="AD421" i="5"/>
  <c r="AE289" i="5"/>
  <c r="AE189" i="5"/>
  <c r="AD320" i="5"/>
  <c r="AD489" i="5"/>
  <c r="AE248" i="5"/>
  <c r="AD150" i="5"/>
  <c r="AE414" i="5"/>
  <c r="AE377" i="5"/>
  <c r="AE53" i="5"/>
  <c r="BF35" i="5"/>
  <c r="BG35" i="5" s="1"/>
  <c r="BF272" i="5"/>
  <c r="BH272" i="5" s="1"/>
  <c r="AE272" i="5"/>
  <c r="AD417" i="5"/>
  <c r="BG134" i="5"/>
  <c r="AD479" i="5"/>
  <c r="BF402" i="5"/>
  <c r="BG402" i="5" s="1"/>
  <c r="AE505" i="5"/>
  <c r="BF367" i="5"/>
  <c r="BH367" i="5" s="1"/>
  <c r="BF355" i="5"/>
  <c r="BG355" i="5" s="1"/>
  <c r="AE345" i="5"/>
  <c r="BF239" i="5"/>
  <c r="BH239" i="5" s="1"/>
  <c r="AD66" i="5"/>
  <c r="AD152" i="5"/>
  <c r="AD498" i="5"/>
  <c r="BF521" i="5"/>
  <c r="BH521" i="5" s="1"/>
  <c r="BF560" i="5"/>
  <c r="BH560" i="5" s="1"/>
  <c r="AE560" i="5"/>
  <c r="BG501" i="5"/>
  <c r="BH512" i="5"/>
  <c r="BH360" i="5"/>
  <c r="AD510" i="5"/>
  <c r="AD296" i="5"/>
  <c r="AD557" i="5"/>
  <c r="BF318" i="5"/>
  <c r="BH318" i="5" s="1"/>
  <c r="AE336" i="5"/>
  <c r="AD482" i="5"/>
  <c r="BF440" i="5"/>
  <c r="BG440" i="5" s="1"/>
  <c r="BG207" i="5"/>
  <c r="AE530" i="5"/>
  <c r="BF478" i="5"/>
  <c r="BH478" i="5" s="1"/>
  <c r="AD556" i="5"/>
  <c r="AE256" i="5"/>
  <c r="AE231" i="5"/>
  <c r="BG137" i="5"/>
  <c r="BH541" i="5"/>
  <c r="BF507" i="5"/>
  <c r="BG507" i="5" s="1"/>
  <c r="AD163" i="5"/>
  <c r="AD512" i="5"/>
  <c r="AD128" i="5"/>
  <c r="AD540" i="5"/>
  <c r="AD384" i="5"/>
  <c r="BF276" i="5"/>
  <c r="BG276" i="5" s="1"/>
  <c r="AE555" i="5"/>
  <c r="AD405" i="5"/>
  <c r="AE489" i="5"/>
  <c r="AD442" i="5"/>
  <c r="AD501" i="5"/>
  <c r="BF470" i="5"/>
  <c r="BG470" i="5" s="1"/>
  <c r="BF340" i="5"/>
  <c r="BG340" i="5" s="1"/>
  <c r="AD256" i="5"/>
  <c r="AE99" i="5"/>
  <c r="BG442" i="5"/>
  <c r="BH128" i="5"/>
  <c r="AD406" i="5"/>
  <c r="AE364" i="5"/>
  <c r="BF347" i="5"/>
  <c r="BG347" i="5" s="1"/>
  <c r="AD207" i="5"/>
  <c r="BF491" i="5"/>
  <c r="BG491" i="5" s="1"/>
  <c r="AD491" i="5"/>
  <c r="AD541" i="5"/>
  <c r="AD137" i="5"/>
  <c r="AE207" i="5"/>
  <c r="AE360" i="5"/>
  <c r="BF485" i="5"/>
  <c r="BH485" i="5" s="1"/>
  <c r="BF324" i="5"/>
  <c r="BG324" i="5" s="1"/>
  <c r="AE501" i="5"/>
  <c r="AD542" i="5"/>
  <c r="AE43" i="5"/>
  <c r="AE496" i="5"/>
  <c r="BF397" i="5"/>
  <c r="BG397" i="5" s="1"/>
  <c r="AD402" i="5"/>
  <c r="AE355" i="5"/>
  <c r="BH169" i="5"/>
  <c r="AE388" i="5"/>
  <c r="BF259" i="5"/>
  <c r="BG259" i="5" s="1"/>
  <c r="AD521" i="5"/>
  <c r="BF505" i="5"/>
  <c r="BG505" i="5" s="1"/>
  <c r="BF111" i="5"/>
  <c r="BH111" i="5" s="1"/>
  <c r="BF148" i="5"/>
  <c r="BG148" i="5" s="1"/>
  <c r="AD488" i="5"/>
  <c r="BF488" i="5"/>
  <c r="BG488" i="5" s="1"/>
  <c r="AD43" i="5"/>
  <c r="AE169" i="5"/>
  <c r="BF10" i="5"/>
  <c r="AD282" i="5"/>
  <c r="AD169" i="5"/>
  <c r="AE235" i="5"/>
  <c r="BF12" i="5"/>
  <c r="BG12" i="5" s="1"/>
  <c r="BF34" i="5"/>
  <c r="BG34" i="5" s="1"/>
  <c r="BH412" i="5"/>
  <c r="AD367" i="5"/>
  <c r="BF266" i="5"/>
  <c r="BG266" i="5" s="1"/>
  <c r="BF335" i="5"/>
  <c r="BG335" i="5" s="1"/>
  <c r="AE308" i="5"/>
  <c r="BF94" i="5"/>
  <c r="BG94" i="5" s="1"/>
  <c r="AC9" i="5"/>
  <c r="AD9" i="5" s="1"/>
  <c r="AD160" i="5"/>
  <c r="BF530" i="5"/>
  <c r="BG530" i="5" s="1"/>
  <c r="AE470" i="5"/>
  <c r="BF380" i="5"/>
  <c r="BH380" i="5" s="1"/>
  <c r="AE436" i="5"/>
  <c r="AE76" i="5"/>
  <c r="BH146" i="5"/>
  <c r="AD364" i="5"/>
  <c r="AE318" i="5"/>
  <c r="AD49" i="5"/>
  <c r="BH520" i="5"/>
  <c r="BF497" i="5"/>
  <c r="BH497" i="5" s="1"/>
  <c r="AD335" i="5"/>
  <c r="AE473" i="5"/>
  <c r="AD127" i="5"/>
  <c r="AE541" i="5"/>
  <c r="AE512" i="5"/>
  <c r="AD467" i="5"/>
  <c r="AE520" i="5"/>
  <c r="AE288" i="5"/>
  <c r="BF370" i="5"/>
  <c r="BG370" i="5" s="1"/>
  <c r="BF409" i="5"/>
  <c r="BH409" i="5" s="1"/>
  <c r="BG467" i="5"/>
  <c r="BF482" i="5"/>
  <c r="BH482" i="5" s="1"/>
  <c r="BF288" i="5"/>
  <c r="BH288" i="5" s="1"/>
  <c r="AD409" i="5"/>
  <c r="AE394" i="5"/>
  <c r="BF394" i="5"/>
  <c r="BH394" i="5" s="1"/>
  <c r="AD94" i="5"/>
  <c r="AE442" i="5"/>
  <c r="AE370" i="5"/>
  <c r="AE472" i="5"/>
  <c r="BF472" i="5"/>
  <c r="BF76" i="5"/>
  <c r="BH76" i="5" s="1"/>
  <c r="AE49" i="5"/>
  <c r="AE508" i="5"/>
  <c r="BF473" i="5"/>
  <c r="BH473" i="5" s="1"/>
  <c r="AD463" i="5"/>
  <c r="AE412" i="5"/>
  <c r="AE467" i="5"/>
  <c r="AE160" i="5"/>
  <c r="BG251" i="5"/>
  <c r="AE128" i="5"/>
  <c r="AD412" i="5"/>
  <c r="AE110" i="5"/>
  <c r="AD110" i="5"/>
  <c r="AD520" i="5"/>
  <c r="BF97" i="5"/>
  <c r="BH97" i="5" s="1"/>
  <c r="BF323" i="5"/>
  <c r="BH323" i="5" s="1"/>
  <c r="AE12" i="5"/>
  <c r="AD13" i="5"/>
  <c r="BH223" i="5"/>
  <c r="AE137" i="5"/>
  <c r="AE450" i="5"/>
  <c r="AD148" i="5"/>
  <c r="BF417" i="5"/>
  <c r="BH417" i="5" s="1"/>
  <c r="AD69" i="5"/>
  <c r="AD495" i="5"/>
  <c r="BA9" i="5"/>
  <c r="BB9" i="5"/>
  <c r="BF150" i="5"/>
  <c r="BH150" i="5" s="1"/>
  <c r="AE258" i="5"/>
  <c r="AD408" i="5"/>
  <c r="AE340" i="5"/>
  <c r="BF282" i="5"/>
  <c r="BH282" i="5" s="1"/>
  <c r="BF85" i="5"/>
  <c r="BH85" i="5" s="1"/>
  <c r="BF449" i="5"/>
  <c r="BH449" i="5" s="1"/>
  <c r="AE510" i="5"/>
  <c r="BF131" i="5"/>
  <c r="BH131" i="5" s="1"/>
  <c r="BF99" i="5"/>
  <c r="BG99" i="5" s="1"/>
  <c r="BF29" i="5"/>
  <c r="BH29" i="5" s="1"/>
  <c r="BF289" i="5"/>
  <c r="BH289" i="5" s="1"/>
  <c r="BF163" i="5"/>
  <c r="BH163" i="5" s="1"/>
  <c r="AE363" i="5"/>
  <c r="BF250" i="5"/>
  <c r="BG250" i="5" s="1"/>
  <c r="AE422" i="5"/>
  <c r="X9" i="5"/>
  <c r="Y9" i="5"/>
  <c r="BH69" i="5"/>
  <c r="AD85" i="5"/>
  <c r="AD449" i="5"/>
  <c r="AD471" i="5"/>
  <c r="AE471" i="5"/>
  <c r="AD396" i="5"/>
  <c r="BF546" i="5"/>
  <c r="BH546" i="5" s="1"/>
  <c r="BF516" i="5"/>
  <c r="BG516" i="5" s="1"/>
  <c r="BF115" i="5"/>
  <c r="BG115" i="5" s="1"/>
  <c r="AD339" i="5"/>
  <c r="AD115" i="5"/>
  <c r="BF296" i="5"/>
  <c r="BG296" i="5" s="1"/>
  <c r="AE325" i="5"/>
  <c r="AD550" i="5"/>
  <c r="AE65" i="5"/>
  <c r="AE8" i="5"/>
  <c r="AD8" i="5"/>
  <c r="B235" i="2" s="1"/>
  <c r="F71" i="1" s="1"/>
  <c r="R9" i="5"/>
  <c r="S9" i="5"/>
  <c r="AV9" i="5"/>
  <c r="AU9" i="5"/>
  <c r="BC9" i="5"/>
  <c r="BF532" i="5"/>
  <c r="BG532" i="5" s="1"/>
  <c r="BF38" i="5"/>
  <c r="BG38" i="5" s="1"/>
  <c r="AD448" i="5"/>
  <c r="AE339" i="5"/>
  <c r="BH471" i="5"/>
  <c r="AE507" i="5"/>
  <c r="AE134" i="5"/>
  <c r="BF45" i="5"/>
  <c r="BG45" i="5" s="1"/>
  <c r="BF494" i="5"/>
  <c r="BH494" i="5" s="1"/>
  <c r="AB9" i="5"/>
  <c r="AA9" i="5"/>
  <c r="BH13" i="5"/>
  <c r="BG13" i="5"/>
  <c r="AE448" i="5"/>
  <c r="AE408" i="5"/>
  <c r="AD191" i="5"/>
  <c r="AD231" i="5"/>
  <c r="AD131" i="5"/>
  <c r="BF53" i="5"/>
  <c r="BG53" i="5" s="1"/>
  <c r="AE29" i="5"/>
  <c r="BG110" i="5"/>
  <c r="AE426" i="5"/>
  <c r="AD516" i="5"/>
  <c r="AE330" i="5"/>
  <c r="AD39" i="5"/>
  <c r="BG499" i="5"/>
  <c r="BH504" i="5"/>
  <c r="AD353" i="5"/>
  <c r="BF410" i="5"/>
  <c r="BG410" i="5" s="1"/>
  <c r="AD239" i="5"/>
  <c r="BF396" i="5"/>
  <c r="BG396" i="5" s="1"/>
  <c r="AE251" i="5"/>
  <c r="BF325" i="5"/>
  <c r="AE550" i="5"/>
  <c r="BF235" i="5"/>
  <c r="BG235" i="5" s="1"/>
  <c r="AE69" i="5"/>
  <c r="AX9" i="5"/>
  <c r="AY9" i="5"/>
  <c r="U9" i="5"/>
  <c r="V9" i="5"/>
  <c r="BF154" i="5"/>
  <c r="BG154" i="5" s="1"/>
  <c r="AE130" i="5"/>
  <c r="BG96" i="5"/>
  <c r="BF219" i="5"/>
  <c r="BH219" i="5" s="1"/>
  <c r="AE366" i="5"/>
  <c r="BF382" i="5"/>
  <c r="BH382" i="5" s="1"/>
  <c r="AE499" i="5"/>
  <c r="BF555" i="5"/>
  <c r="BG555" i="5" s="1"/>
  <c r="AE159" i="5"/>
  <c r="BH434" i="5"/>
  <c r="AE96" i="5"/>
  <c r="BF175" i="5"/>
  <c r="BH175" i="5" s="1"/>
  <c r="AE103" i="5"/>
  <c r="AD347" i="5"/>
  <c r="AE334" i="5"/>
  <c r="BF64" i="5"/>
  <c r="BH64" i="5" s="1"/>
  <c r="BF50" i="5"/>
  <c r="BG50" i="5" s="1"/>
  <c r="AD195" i="5"/>
  <c r="BF436" i="5"/>
  <c r="BG436" i="5" s="1"/>
  <c r="BF524" i="5"/>
  <c r="BH524" i="5" s="1"/>
  <c r="AE212" i="5"/>
  <c r="BF83" i="5"/>
  <c r="BG83" i="5" s="1"/>
  <c r="BH46" i="5"/>
  <c r="BF443" i="5"/>
  <c r="BH443" i="5" s="1"/>
  <c r="BF203" i="5"/>
  <c r="BH203" i="5" s="1"/>
  <c r="AE548" i="5"/>
  <c r="AE46" i="5"/>
  <c r="AD273" i="5"/>
  <c r="BH372" i="5"/>
  <c r="AE223" i="5"/>
  <c r="BG495" i="5"/>
  <c r="AE255" i="5"/>
  <c r="BF273" i="5"/>
  <c r="BH273" i="5" s="1"/>
  <c r="AD107" i="5"/>
  <c r="AE457" i="5"/>
  <c r="AD328" i="5"/>
  <c r="AE70" i="5"/>
  <c r="AD223" i="5"/>
  <c r="AE495" i="5"/>
  <c r="BF130" i="5"/>
  <c r="BH130" i="5" s="1"/>
  <c r="BG241" i="5"/>
  <c r="BH8" i="5"/>
  <c r="BF330" i="5"/>
  <c r="BG330" i="5" s="1"/>
  <c r="AE142" i="5"/>
  <c r="AD443" i="5"/>
  <c r="AE373" i="5"/>
  <c r="AD96" i="5"/>
  <c r="BG373" i="5"/>
  <c r="AD538" i="5"/>
  <c r="BF22" i="5"/>
  <c r="BH22" i="5" s="1"/>
  <c r="AE331" i="5"/>
  <c r="AD366" i="5"/>
  <c r="BG71" i="5"/>
  <c r="AE538" i="5"/>
  <c r="AD278" i="5"/>
  <c r="BF127" i="5"/>
  <c r="BG127" i="5" s="1"/>
  <c r="AD326" i="5"/>
  <c r="BF331" i="5"/>
  <c r="BG331" i="5" s="1"/>
  <c r="AE83" i="5"/>
  <c r="BF25" i="5"/>
  <c r="BH25" i="5" s="1"/>
  <c r="AD146" i="5"/>
  <c r="AE241" i="5"/>
  <c r="AD22" i="5"/>
  <c r="AD499" i="5"/>
  <c r="AD373" i="5"/>
  <c r="AE321" i="5"/>
  <c r="BF268" i="5"/>
  <c r="BH268" i="5" s="1"/>
  <c r="AE200" i="5"/>
  <c r="AE146" i="5"/>
  <c r="AE203" i="5"/>
  <c r="BF278" i="5"/>
  <c r="BG278" i="5" s="1"/>
  <c r="AD241" i="5"/>
  <c r="BF326" i="5"/>
  <c r="BG326" i="5" s="1"/>
  <c r="BF321" i="5"/>
  <c r="BG321" i="5" s="1"/>
  <c r="BF381" i="5"/>
  <c r="BH381" i="5" s="1"/>
  <c r="AD141" i="5"/>
  <c r="BH299" i="5"/>
  <c r="AD548" i="5"/>
  <c r="BH548" i="5"/>
  <c r="BF551" i="5"/>
  <c r="BG551" i="5" s="1"/>
  <c r="AE301" i="5"/>
  <c r="BF107" i="5"/>
  <c r="BH107" i="5" s="1"/>
  <c r="AD178" i="5"/>
  <c r="AE524" i="5"/>
  <c r="BF354" i="5"/>
  <c r="BH354" i="5" s="1"/>
  <c r="AE551" i="5"/>
  <c r="BF19" i="5"/>
  <c r="BG19" i="5" s="1"/>
  <c r="AD19" i="5"/>
  <c r="BF328" i="5"/>
  <c r="BG328" i="5" s="1"/>
  <c r="AD78" i="5"/>
  <c r="BG144" i="5"/>
  <c r="AD385" i="5"/>
  <c r="AD64" i="5"/>
  <c r="AD313" i="5"/>
  <c r="AE354" i="5"/>
  <c r="BH201" i="5"/>
  <c r="AD301" i="5"/>
  <c r="BF333" i="5"/>
  <c r="BH333" i="5" s="1"/>
  <c r="AE247" i="5"/>
  <c r="BF255" i="5"/>
  <c r="BH255" i="5" s="1"/>
  <c r="BF534" i="5"/>
  <c r="BG534" i="5" s="1"/>
  <c r="AD142" i="5"/>
  <c r="AE372" i="5"/>
  <c r="AD88" i="5"/>
  <c r="AE144" i="5"/>
  <c r="BF342" i="5"/>
  <c r="BG342" i="5" s="1"/>
  <c r="BF457" i="5"/>
  <c r="BG457" i="5" s="1"/>
  <c r="AE227" i="5"/>
  <c r="AD33" i="5"/>
  <c r="AE460" i="5"/>
  <c r="BF220" i="5"/>
  <c r="BH220" i="5" s="1"/>
  <c r="BF425" i="5"/>
  <c r="BG425" i="5" s="1"/>
  <c r="AE202" i="5"/>
  <c r="BF438" i="5"/>
  <c r="BH438" i="5" s="1"/>
  <c r="AD247" i="5"/>
  <c r="AE180" i="5"/>
  <c r="BG61" i="5"/>
  <c r="AD344" i="5"/>
  <c r="AD200" i="5"/>
  <c r="AD116" i="5"/>
  <c r="BH253" i="5"/>
  <c r="AD365" i="5"/>
  <c r="AD202" i="5"/>
  <c r="AD253" i="5"/>
  <c r="AD108" i="5"/>
  <c r="BF385" i="5"/>
  <c r="BG385" i="5" s="1"/>
  <c r="AD161" i="5"/>
  <c r="AD249" i="5"/>
  <c r="AE253" i="5"/>
  <c r="AD134" i="5"/>
  <c r="BF523" i="5"/>
  <c r="BH523" i="5" s="1"/>
  <c r="AD46" i="5"/>
  <c r="AE113" i="5"/>
  <c r="AD175" i="5"/>
  <c r="BF197" i="5"/>
  <c r="BG197" i="5" s="1"/>
  <c r="BG178" i="5"/>
  <c r="AE438" i="5"/>
  <c r="AD42" i="5"/>
  <c r="BG108" i="5"/>
  <c r="AD368" i="5"/>
  <c r="AE209" i="5"/>
  <c r="BG88" i="5"/>
  <c r="AD433" i="5"/>
  <c r="AE36" i="5"/>
  <c r="AE108" i="5"/>
  <c r="BF161" i="5"/>
  <c r="BH161" i="5" s="1"/>
  <c r="BF298" i="5"/>
  <c r="BH298" i="5" s="1"/>
  <c r="AD283" i="5"/>
  <c r="BF533" i="5"/>
  <c r="BG533" i="5" s="1"/>
  <c r="AE21" i="5"/>
  <c r="BF426" i="5"/>
  <c r="BG426" i="5" s="1"/>
  <c r="AE78" i="5"/>
  <c r="BH418" i="5"/>
  <c r="BG480" i="5"/>
  <c r="BH81" i="5"/>
  <c r="AE283" i="5"/>
  <c r="BF549" i="5"/>
  <c r="BH549" i="5" s="1"/>
  <c r="AE546" i="5"/>
  <c r="AE179" i="5"/>
  <c r="AD132" i="5"/>
  <c r="AE201" i="5"/>
  <c r="AD341" i="5"/>
  <c r="AE485" i="5"/>
  <c r="AD558" i="5"/>
  <c r="AE338" i="5"/>
  <c r="BH174" i="5"/>
  <c r="BG174" i="5"/>
  <c r="AD193" i="5"/>
  <c r="AD393" i="5"/>
  <c r="AD410" i="5"/>
  <c r="AE494" i="5"/>
  <c r="BF65" i="5"/>
  <c r="BH65" i="5" s="1"/>
  <c r="AD324" i="5"/>
  <c r="BF390" i="5"/>
  <c r="BH390" i="5" s="1"/>
  <c r="AE390" i="5"/>
  <c r="BG260" i="5"/>
  <c r="BH216" i="5"/>
  <c r="BF194" i="5"/>
  <c r="BH194" i="5" s="1"/>
  <c r="AE437" i="5"/>
  <c r="AD418" i="5"/>
  <c r="BF522" i="5"/>
  <c r="BH522" i="5" s="1"/>
  <c r="AD45" i="5"/>
  <c r="BF559" i="5"/>
  <c r="BG559" i="5" s="1"/>
  <c r="AD258" i="5"/>
  <c r="AE365" i="5"/>
  <c r="AE342" i="5"/>
  <c r="BF229" i="5"/>
  <c r="BH229" i="5" s="1"/>
  <c r="AD227" i="5"/>
  <c r="AE178" i="5"/>
  <c r="AD90" i="5"/>
  <c r="BF209" i="5"/>
  <c r="AD350" i="5"/>
  <c r="AD428" i="5"/>
  <c r="AE532" i="5"/>
  <c r="BF159" i="5"/>
  <c r="BG159" i="5" s="1"/>
  <c r="AD38" i="5"/>
  <c r="BF103" i="5"/>
  <c r="BG103" i="5" s="1"/>
  <c r="AE292" i="5"/>
  <c r="AD298" i="5"/>
  <c r="AE190" i="5"/>
  <c r="AD434" i="5"/>
  <c r="BF399" i="5"/>
  <c r="BH399" i="5" s="1"/>
  <c r="AE72" i="5"/>
  <c r="BH249" i="5"/>
  <c r="AD332" i="5"/>
  <c r="BF403" i="5"/>
  <c r="BG403" i="5" s="1"/>
  <c r="AE220" i="5"/>
  <c r="AE111" i="5"/>
  <c r="BH218" i="5"/>
  <c r="AE229" i="5"/>
  <c r="BF90" i="5"/>
  <c r="BG90" i="5" s="1"/>
  <c r="BF350" i="5"/>
  <c r="BG350" i="5" s="1"/>
  <c r="AE332" i="5"/>
  <c r="AE534" i="5"/>
  <c r="BG430" i="5"/>
  <c r="AE116" i="5"/>
  <c r="BH424" i="5"/>
  <c r="BF269" i="5"/>
  <c r="BG269" i="5" s="1"/>
  <c r="AE424" i="5"/>
  <c r="AD269" i="5"/>
  <c r="AE434" i="5"/>
  <c r="AD504" i="5"/>
  <c r="AE559" i="5"/>
  <c r="BF313" i="5"/>
  <c r="BG313" i="5" s="1"/>
  <c r="AE433" i="5"/>
  <c r="BG227" i="5"/>
  <c r="AE314" i="5"/>
  <c r="BF191" i="5"/>
  <c r="BH191" i="5" s="1"/>
  <c r="BF125" i="5"/>
  <c r="BH125" i="5" s="1"/>
  <c r="AD87" i="5"/>
  <c r="AD416" i="5"/>
  <c r="AD372" i="5"/>
  <c r="BF429" i="5"/>
  <c r="BH429" i="5" s="1"/>
  <c r="AD382" i="5"/>
  <c r="AD424" i="5"/>
  <c r="AE208" i="5"/>
  <c r="AD526" i="5"/>
  <c r="AE218" i="5"/>
  <c r="AD218" i="5"/>
  <c r="BF294" i="5"/>
  <c r="BG294" i="5" s="1"/>
  <c r="AE504" i="5"/>
  <c r="BF72" i="5"/>
  <c r="AD389" i="5"/>
  <c r="BF265" i="5"/>
  <c r="BG265" i="5" s="1"/>
  <c r="AD126" i="5"/>
  <c r="AE393" i="5"/>
  <c r="BF190" i="5"/>
  <c r="BH190" i="5" s="1"/>
  <c r="AE358" i="5"/>
  <c r="AD422" i="5"/>
  <c r="AE249" i="5"/>
  <c r="AD430" i="5"/>
  <c r="AE430" i="5"/>
  <c r="AE88" i="5"/>
  <c r="BF416" i="5"/>
  <c r="BH416" i="5" s="1"/>
  <c r="AD144" i="5"/>
  <c r="AD52" i="5"/>
  <c r="BF334" i="5"/>
  <c r="BF428" i="5"/>
  <c r="AD337" i="5"/>
  <c r="AD205" i="5"/>
  <c r="AE197" i="5"/>
  <c r="BG341" i="5"/>
  <c r="BG234" i="5"/>
  <c r="BF481" i="5"/>
  <c r="BG481" i="5" s="1"/>
  <c r="AD92" i="5"/>
  <c r="AD71" i="5"/>
  <c r="BF445" i="5"/>
  <c r="BG445" i="5" s="1"/>
  <c r="BF132" i="5"/>
  <c r="BG132" i="5" s="1"/>
  <c r="AE139" i="5"/>
  <c r="BF466" i="5"/>
  <c r="BG466" i="5" s="1"/>
  <c r="AD182" i="5"/>
  <c r="AD461" i="5"/>
  <c r="BF461" i="5"/>
  <c r="AE461" i="5"/>
  <c r="BF102" i="5"/>
  <c r="BG102" i="5" s="1"/>
  <c r="AE506" i="5"/>
  <c r="AD196" i="5"/>
  <c r="BG454" i="5"/>
  <c r="AE81" i="5"/>
  <c r="AE389" i="5"/>
  <c r="AE337" i="5"/>
  <c r="AE102" i="5"/>
  <c r="AE185" i="5"/>
  <c r="BG117" i="5"/>
  <c r="AD297" i="5"/>
  <c r="BF95" i="5"/>
  <c r="BG95" i="5" s="1"/>
  <c r="AE280" i="5"/>
  <c r="BF464" i="5"/>
  <c r="BH464" i="5" s="1"/>
  <c r="AD481" i="5"/>
  <c r="AD158" i="5"/>
  <c r="BF92" i="5"/>
  <c r="BG92" i="5" s="1"/>
  <c r="AE469" i="5"/>
  <c r="AE431" i="5"/>
  <c r="AE287" i="5"/>
  <c r="AD454" i="5"/>
  <c r="BF41" i="5"/>
  <c r="BH41" i="5" s="1"/>
  <c r="AD445" i="5"/>
  <c r="AE454" i="5"/>
  <c r="AE61" i="5"/>
  <c r="BF368" i="5"/>
  <c r="BG368" i="5" s="1"/>
  <c r="BF477" i="5"/>
  <c r="BG477" i="5" s="1"/>
  <c r="AE418" i="5"/>
  <c r="AE71" i="5"/>
  <c r="AE552" i="5"/>
  <c r="AD51" i="5"/>
  <c r="AE439" i="5"/>
  <c r="BH118" i="5"/>
  <c r="AD480" i="5"/>
  <c r="AD523" i="5"/>
  <c r="AD59" i="5"/>
  <c r="AE466" i="5"/>
  <c r="BF52" i="5"/>
  <c r="AE228" i="5"/>
  <c r="AE182" i="5"/>
  <c r="BF37" i="5"/>
  <c r="BH37" i="5" s="1"/>
  <c r="BH182" i="5"/>
  <c r="AD95" i="5"/>
  <c r="AD392" i="5"/>
  <c r="AE464" i="5"/>
  <c r="BG338" i="5"/>
  <c r="AD61" i="5"/>
  <c r="BF77" i="5"/>
  <c r="BG77" i="5" s="1"/>
  <c r="AE533" i="5"/>
  <c r="BF204" i="5"/>
  <c r="BH204" i="5" s="1"/>
  <c r="BF439" i="5"/>
  <c r="BG439" i="5" s="1"/>
  <c r="AD117" i="5"/>
  <c r="BF401" i="5"/>
  <c r="BG401" i="5" s="1"/>
  <c r="AE55" i="5"/>
  <c r="BF558" i="5"/>
  <c r="BG558" i="5" s="1"/>
  <c r="AD118" i="5"/>
  <c r="BH413" i="5"/>
  <c r="BG413" i="5"/>
  <c r="AD525" i="5"/>
  <c r="BF525" i="5"/>
  <c r="BG525" i="5" s="1"/>
  <c r="AD257" i="5"/>
  <c r="BF257" i="5"/>
  <c r="BH257" i="5" s="1"/>
  <c r="AE257" i="5"/>
  <c r="BF543" i="5"/>
  <c r="BH543" i="5" s="1"/>
  <c r="AD543" i="5"/>
  <c r="AE47" i="5"/>
  <c r="BF47" i="5"/>
  <c r="BG47" i="5" s="1"/>
  <c r="AD47" i="5"/>
  <c r="AD359" i="5"/>
  <c r="AE359" i="5"/>
  <c r="BF274" i="5"/>
  <c r="AD274" i="5"/>
  <c r="AE274" i="5"/>
  <c r="BF60" i="5"/>
  <c r="AD60" i="5"/>
  <c r="AE60" i="5"/>
  <c r="AE327" i="5"/>
  <c r="AD327" i="5"/>
  <c r="BF327" i="5"/>
  <c r="BH327" i="5" s="1"/>
  <c r="BF136" i="5"/>
  <c r="BH136" i="5" s="1"/>
  <c r="AD136" i="5"/>
  <c r="BF177" i="5"/>
  <c r="AD177" i="5"/>
  <c r="AE177" i="5"/>
  <c r="BF262" i="5"/>
  <c r="AD262" i="5"/>
  <c r="AE262" i="5"/>
  <c r="AD149" i="5"/>
  <c r="BF149" i="5"/>
  <c r="BH149" i="5" s="1"/>
  <c r="AD232" i="5"/>
  <c r="BF232" i="5"/>
  <c r="BH232" i="5" s="1"/>
  <c r="AE356" i="5"/>
  <c r="BF356" i="5"/>
  <c r="BH356" i="5" s="1"/>
  <c r="AD356" i="5"/>
  <c r="AD483" i="5"/>
  <c r="BF483" i="5"/>
  <c r="BG483" i="5" s="1"/>
  <c r="BF329" i="5"/>
  <c r="BG329" i="5" s="1"/>
  <c r="AD329" i="5"/>
  <c r="BF315" i="5"/>
  <c r="BH315" i="5" s="1"/>
  <c r="AD315" i="5"/>
  <c r="BG281" i="5"/>
  <c r="BH281" i="5"/>
  <c r="BF193" i="5"/>
  <c r="BH193" i="5" s="1"/>
  <c r="AD268" i="5"/>
  <c r="AD219" i="5"/>
  <c r="AE543" i="5"/>
  <c r="AE483" i="5"/>
  <c r="AE232" i="5"/>
  <c r="AD75" i="5"/>
  <c r="BF75" i="5"/>
  <c r="BH75" i="5" s="1"/>
  <c r="AD531" i="5"/>
  <c r="BF531" i="5"/>
  <c r="BG531" i="5" s="1"/>
  <c r="BF271" i="5"/>
  <c r="BG271" i="5" s="1"/>
  <c r="AE271" i="5"/>
  <c r="AD271" i="5"/>
  <c r="BF156" i="5"/>
  <c r="AD156" i="5"/>
  <c r="BG188" i="5"/>
  <c r="BH188" i="5"/>
  <c r="AE135" i="5"/>
  <c r="BF135" i="5"/>
  <c r="BG135" i="5" s="1"/>
  <c r="BF362" i="5"/>
  <c r="BG362" i="5" s="1"/>
  <c r="AE362" i="5"/>
  <c r="AD233" i="5"/>
  <c r="BF233" i="5"/>
  <c r="BG233" i="5" s="1"/>
  <c r="AD224" i="5"/>
  <c r="BF224" i="5"/>
  <c r="BG224" i="5" s="1"/>
  <c r="AE413" i="5"/>
  <c r="AD413" i="5"/>
  <c r="AD174" i="5"/>
  <c r="AE174" i="5"/>
  <c r="AE84" i="5"/>
  <c r="BF84" i="5"/>
  <c r="BG84" i="5" s="1"/>
  <c r="AD84" i="5"/>
  <c r="AD48" i="5"/>
  <c r="BF48" i="5"/>
  <c r="BH48" i="5" s="1"/>
  <c r="AD309" i="5"/>
  <c r="AE309" i="5"/>
  <c r="BF309" i="5"/>
  <c r="BG309" i="5" s="1"/>
  <c r="BF20" i="5"/>
  <c r="BH20" i="5" s="1"/>
  <c r="AE20" i="5"/>
  <c r="AE30" i="5"/>
  <c r="BF30" i="5"/>
  <c r="BG30" i="5" s="1"/>
  <c r="AD30" i="5"/>
  <c r="AD270" i="5"/>
  <c r="AE270" i="5"/>
  <c r="BF270" i="5"/>
  <c r="BG270" i="5" s="1"/>
  <c r="AE222" i="5"/>
  <c r="AD222" i="5"/>
  <c r="BF222" i="5"/>
  <c r="BG222" i="5" s="1"/>
  <c r="AE237" i="5"/>
  <c r="BF237" i="5"/>
  <c r="BG237" i="5" s="1"/>
  <c r="AE303" i="5"/>
  <c r="BF303" i="5"/>
  <c r="BH303" i="5" s="1"/>
  <c r="AD303" i="5"/>
  <c r="AE89" i="5"/>
  <c r="BF89" i="5"/>
  <c r="BF441" i="5"/>
  <c r="BG441" i="5" s="1"/>
  <c r="AD441" i="5"/>
  <c r="AD379" i="5"/>
  <c r="AE379" i="5"/>
  <c r="BF153" i="5"/>
  <c r="AE153" i="5"/>
  <c r="AD435" i="5"/>
  <c r="BF435" i="5"/>
  <c r="AE435" i="5"/>
  <c r="BF458" i="5"/>
  <c r="BH458" i="5" s="1"/>
  <c r="AD458" i="5"/>
  <c r="AE452" i="5"/>
  <c r="BF452" i="5"/>
  <c r="BH452" i="5" s="1"/>
  <c r="BF212" i="5"/>
  <c r="BH212" i="5" s="1"/>
  <c r="AD154" i="5"/>
  <c r="AE275" i="5"/>
  <c r="BF359" i="5"/>
  <c r="BH359" i="5" s="1"/>
  <c r="BF244" i="5"/>
  <c r="BG244" i="5" s="1"/>
  <c r="BF39" i="5"/>
  <c r="BG39" i="5" s="1"/>
  <c r="AE136" i="5"/>
  <c r="BF379" i="5"/>
  <c r="BH379" i="5" s="1"/>
  <c r="AD275" i="5"/>
  <c r="AE525" i="5"/>
  <c r="AE343" i="5"/>
  <c r="BF343" i="5"/>
  <c r="BG343" i="5" s="1"/>
  <c r="BF460" i="5"/>
  <c r="BH460" i="5" s="1"/>
  <c r="AD286" i="5"/>
  <c r="AD506" i="5"/>
  <c r="BG109" i="5"/>
  <c r="AE381" i="5"/>
  <c r="AD21" i="5"/>
  <c r="AD380" i="5"/>
  <c r="AD549" i="5"/>
  <c r="BF371" i="5"/>
  <c r="BH371" i="5" s="1"/>
  <c r="AD81" i="5"/>
  <c r="AE341" i="5"/>
  <c r="AD105" i="5"/>
  <c r="AD204" i="5"/>
  <c r="AD477" i="5"/>
  <c r="AE77" i="5"/>
  <c r="AE109" i="5"/>
  <c r="BF198" i="5"/>
  <c r="BG198" i="5" s="1"/>
  <c r="AD198" i="5"/>
  <c r="AE118" i="5"/>
  <c r="BF59" i="5"/>
  <c r="BG59" i="5" s="1"/>
  <c r="BF228" i="5"/>
  <c r="AD145" i="5"/>
  <c r="AE145" i="5"/>
  <c r="BF420" i="5"/>
  <c r="AE420" i="5"/>
  <c r="AD188" i="5"/>
  <c r="AE188" i="5"/>
  <c r="AE403" i="5"/>
  <c r="BF230" i="5"/>
  <c r="BG230" i="5" s="1"/>
  <c r="AE173" i="5"/>
  <c r="AE459" i="5"/>
  <c r="AE480" i="5"/>
  <c r="AD401" i="5"/>
  <c r="AD338" i="5"/>
  <c r="AD109" i="5"/>
  <c r="AE79" i="5"/>
  <c r="BF79" i="5"/>
  <c r="AD539" i="5"/>
  <c r="BF539" i="5"/>
  <c r="AE539" i="5"/>
  <c r="AD444" i="5"/>
  <c r="BF444" i="5"/>
  <c r="AD465" i="5"/>
  <c r="BF465" i="5"/>
  <c r="AE465" i="5"/>
  <c r="BG157" i="5"/>
  <c r="AE519" i="5"/>
  <c r="AE151" i="5"/>
  <c r="AE214" i="5"/>
  <c r="BF87" i="5"/>
  <c r="BH87" i="5" s="1"/>
  <c r="BG147" i="5"/>
  <c r="BH105" i="5"/>
  <c r="BH62" i="5"/>
  <c r="BF431" i="5"/>
  <c r="BH431" i="5" s="1"/>
  <c r="AD50" i="5"/>
  <c r="AD400" i="5"/>
  <c r="BF86" i="5"/>
  <c r="AE141" i="5"/>
  <c r="AE121" i="5"/>
  <c r="BF74" i="5"/>
  <c r="BG74" i="5" s="1"/>
  <c r="AE260" i="5"/>
  <c r="BF195" i="5"/>
  <c r="BH195" i="5" s="1"/>
  <c r="AE62" i="5"/>
  <c r="AE164" i="5"/>
  <c r="AD399" i="5"/>
  <c r="AD215" i="5"/>
  <c r="BF513" i="5"/>
  <c r="BH513" i="5" s="1"/>
  <c r="AD183" i="5"/>
  <c r="AD129" i="5"/>
  <c r="AE105" i="5"/>
  <c r="BF374" i="5"/>
  <c r="BH374" i="5" s="1"/>
  <c r="AE265" i="5"/>
  <c r="AD93" i="5"/>
  <c r="BG141" i="5"/>
  <c r="BF185" i="5"/>
  <c r="BH185" i="5" s="1"/>
  <c r="BF180" i="5"/>
  <c r="BG180" i="5" s="1"/>
  <c r="AD151" i="5"/>
  <c r="AE264" i="5"/>
  <c r="AE317" i="5"/>
  <c r="AE187" i="5"/>
  <c r="AE286" i="5"/>
  <c r="AD357" i="5"/>
  <c r="AD517" i="5"/>
  <c r="BF93" i="5"/>
  <c r="BG93" i="5" s="1"/>
  <c r="AE138" i="5"/>
  <c r="AD277" i="5"/>
  <c r="AE267" i="5"/>
  <c r="AD192" i="5"/>
  <c r="AD62" i="5"/>
  <c r="BF42" i="5"/>
  <c r="BH42" i="5" s="1"/>
  <c r="AD41" i="5"/>
  <c r="AD260" i="5"/>
  <c r="BF129" i="5"/>
  <c r="BH129" i="5" s="1"/>
  <c r="AE86" i="5"/>
  <c r="AD374" i="5"/>
  <c r="AD201" i="5"/>
  <c r="AD112" i="5"/>
  <c r="AE216" i="5"/>
  <c r="BF453" i="5"/>
  <c r="BG453" i="5" s="1"/>
  <c r="AE147" i="5"/>
  <c r="BH54" i="5"/>
  <c r="BG54" i="5"/>
  <c r="BG100" i="5"/>
  <c r="BH100" i="5"/>
  <c r="BG162" i="5"/>
  <c r="BH162" i="5"/>
  <c r="BH213" i="5"/>
  <c r="BG213" i="5"/>
  <c r="BF143" i="5"/>
  <c r="BG143" i="5" s="1"/>
  <c r="AD113" i="5"/>
  <c r="BF432" i="5"/>
  <c r="BG432" i="5" s="1"/>
  <c r="BF387" i="5"/>
  <c r="BG387" i="5" s="1"/>
  <c r="AE392" i="5"/>
  <c r="AD317" i="5"/>
  <c r="AD267" i="5"/>
  <c r="BH33" i="5"/>
  <c r="AE344" i="5"/>
  <c r="BF106" i="5"/>
  <c r="BH106" i="5" s="1"/>
  <c r="BF469" i="5"/>
  <c r="BG469" i="5" s="1"/>
  <c r="BF511" i="5"/>
  <c r="BG511" i="5" s="1"/>
  <c r="AD425" i="5"/>
  <c r="BF172" i="5"/>
  <c r="BG172" i="5" s="1"/>
  <c r="BF55" i="5"/>
  <c r="BG55" i="5" s="1"/>
  <c r="BF139" i="5"/>
  <c r="BG139" i="5" s="1"/>
  <c r="AE293" i="5"/>
  <c r="BF306" i="5"/>
  <c r="BH306" i="5" s="1"/>
  <c r="AD263" i="5"/>
  <c r="AD319" i="5"/>
  <c r="BF121" i="5"/>
  <c r="BG121" i="5" s="1"/>
  <c r="AE24" i="5"/>
  <c r="BF225" i="5"/>
  <c r="BG225" i="5" s="1"/>
  <c r="AE319" i="5"/>
  <c r="AD453" i="5"/>
  <c r="AE33" i="5"/>
  <c r="BF236" i="5"/>
  <c r="BH236" i="5" s="1"/>
  <c r="BF167" i="5"/>
  <c r="AD162" i="5"/>
  <c r="AE162" i="5"/>
  <c r="BF312" i="5"/>
  <c r="AD312" i="5"/>
  <c r="AD210" i="5"/>
  <c r="BF210" i="5"/>
  <c r="AE210" i="5"/>
  <c r="BF31" i="5"/>
  <c r="AE31" i="5"/>
  <c r="AD31" i="5"/>
  <c r="BF23" i="5"/>
  <c r="AD23" i="5"/>
  <c r="BF246" i="5"/>
  <c r="AE246" i="5"/>
  <c r="AD246" i="5"/>
  <c r="BF383" i="5"/>
  <c r="BH383" i="5" s="1"/>
  <c r="BF277" i="5"/>
  <c r="BG277" i="5" s="1"/>
  <c r="AD37" i="5"/>
  <c r="BH528" i="5"/>
  <c r="BF205" i="5"/>
  <c r="BH205" i="5" s="1"/>
  <c r="AE211" i="5"/>
  <c r="BF138" i="5"/>
  <c r="BG138" i="5" s="1"/>
  <c r="BF264" i="5"/>
  <c r="BH264" i="5" s="1"/>
  <c r="BF293" i="5"/>
  <c r="AD236" i="5"/>
  <c r="AE167" i="5"/>
  <c r="AE104" i="5"/>
  <c r="AD104" i="5"/>
  <c r="BF104" i="5"/>
  <c r="BF423" i="5"/>
  <c r="AE423" i="5"/>
  <c r="AD348" i="5"/>
  <c r="AE348" i="5"/>
  <c r="BF348" i="5"/>
  <c r="BF211" i="5"/>
  <c r="BG211" i="5" s="1"/>
  <c r="AE322" i="5"/>
  <c r="BG319" i="5"/>
  <c r="BF196" i="5"/>
  <c r="BH196" i="5" s="1"/>
  <c r="AD383" i="5"/>
  <c r="BF322" i="5"/>
  <c r="BG322" i="5" s="1"/>
  <c r="AD432" i="5"/>
  <c r="AE217" i="5"/>
  <c r="AE106" i="5"/>
  <c r="AE511" i="5"/>
  <c r="BG305" i="5"/>
  <c r="AD528" i="5"/>
  <c r="AE242" i="5"/>
  <c r="AD216" i="5"/>
  <c r="BH422" i="5"/>
  <c r="BF545" i="5"/>
  <c r="BG545" i="5" s="1"/>
  <c r="AD217" i="5"/>
  <c r="BF112" i="5"/>
  <c r="BG112" i="5" s="1"/>
  <c r="AD234" i="5"/>
  <c r="AE528" i="5"/>
  <c r="AE120" i="5"/>
  <c r="AE234" i="5"/>
  <c r="BF120" i="5"/>
  <c r="BG120" i="5" s="1"/>
  <c r="AD67" i="5"/>
  <c r="BF208" i="5"/>
  <c r="BG208" i="5" s="1"/>
  <c r="AD306" i="5"/>
  <c r="BF67" i="5"/>
  <c r="BH67" i="5" s="1"/>
  <c r="AD172" i="5"/>
  <c r="AE117" i="5"/>
  <c r="BF358" i="5"/>
  <c r="AD294" i="5"/>
  <c r="AE224" i="5"/>
  <c r="BF26" i="5"/>
  <c r="AD26" i="5"/>
  <c r="AD415" i="5"/>
  <c r="BF415" i="5"/>
  <c r="AE527" i="5"/>
  <c r="BF527" i="5"/>
  <c r="AD527" i="5"/>
  <c r="BF535" i="5"/>
  <c r="AE535" i="5"/>
  <c r="BH252" i="5"/>
  <c r="BG252" i="5"/>
  <c r="AE245" i="5"/>
  <c r="AD245" i="5"/>
  <c r="BH451" i="5"/>
  <c r="AD502" i="5"/>
  <c r="AE75" i="5"/>
  <c r="AD343" i="5"/>
  <c r="AE143" i="5"/>
  <c r="BF314" i="5"/>
  <c r="BG314" i="5" s="1"/>
  <c r="AD82" i="5"/>
  <c r="BF158" i="5"/>
  <c r="BG158" i="5" s="1"/>
  <c r="AD135" i="5"/>
  <c r="BF552" i="5"/>
  <c r="BH552" i="5" s="1"/>
  <c r="AE502" i="5"/>
  <c r="AE419" i="5"/>
  <c r="BF261" i="5"/>
  <c r="BH261" i="5" s="1"/>
  <c r="BH179" i="5"/>
  <c r="AE517" i="5"/>
  <c r="BF519" i="5"/>
  <c r="BG519" i="5" s="1"/>
  <c r="AD244" i="5"/>
  <c r="AD194" i="5"/>
  <c r="BF297" i="5"/>
  <c r="BG297" i="5" s="1"/>
  <c r="AD230" i="5"/>
  <c r="BG215" i="5"/>
  <c r="BF82" i="5"/>
  <c r="BH82" i="5" s="1"/>
  <c r="AE545" i="5"/>
  <c r="AE166" i="5"/>
  <c r="AD371" i="5"/>
  <c r="AE192" i="5"/>
  <c r="AD173" i="5"/>
  <c r="BH214" i="5"/>
  <c r="BG183" i="5"/>
  <c r="BH51" i="5"/>
  <c r="BG311" i="5"/>
  <c r="AD513" i="5"/>
  <c r="AD362" i="5"/>
  <c r="BF119" i="5"/>
  <c r="BH119" i="5" s="1"/>
  <c r="AE114" i="5"/>
  <c r="BF400" i="5"/>
  <c r="AE225" i="5"/>
  <c r="BF73" i="5"/>
  <c r="AE299" i="5"/>
  <c r="BF287" i="5"/>
  <c r="BG287" i="5" s="1"/>
  <c r="AD179" i="5"/>
  <c r="AD214" i="5"/>
  <c r="AE156" i="5"/>
  <c r="AE429" i="5"/>
  <c r="AE522" i="5"/>
  <c r="AE305" i="5"/>
  <c r="AE215" i="5"/>
  <c r="BF164" i="5"/>
  <c r="BG164" i="5" s="1"/>
  <c r="BF245" i="5"/>
  <c r="BH245" i="5" s="1"/>
  <c r="AD295" i="5"/>
  <c r="AE295" i="5"/>
  <c r="BF295" i="5"/>
  <c r="AD199" i="5"/>
  <c r="BF199" i="5"/>
  <c r="AE199" i="5"/>
  <c r="AE284" i="5"/>
  <c r="AD284" i="5"/>
  <c r="BF284" i="5"/>
  <c r="BF168" i="5"/>
  <c r="AE168" i="5"/>
  <c r="AD168" i="5"/>
  <c r="BF419" i="5"/>
  <c r="BH419" i="5" s="1"/>
  <c r="AD261" i="5"/>
  <c r="AE126" i="5"/>
  <c r="BF36" i="5"/>
  <c r="BG36" i="5" s="1"/>
  <c r="BF114" i="5"/>
  <c r="BG114" i="5" s="1"/>
  <c r="AE316" i="5"/>
  <c r="AE68" i="5"/>
  <c r="BF68" i="5"/>
  <c r="BF459" i="5"/>
  <c r="BG459" i="5" s="1"/>
  <c r="AE51" i="5"/>
  <c r="BF291" i="5"/>
  <c r="BG291" i="5" s="1"/>
  <c r="AD291" i="5"/>
  <c r="BF240" i="5"/>
  <c r="BH240" i="5" s="1"/>
  <c r="AD73" i="5"/>
  <c r="AE133" i="5"/>
  <c r="AE240" i="5"/>
  <c r="AD157" i="5"/>
  <c r="AD311" i="5"/>
  <c r="AE157" i="5"/>
  <c r="AE183" i="5"/>
  <c r="AD147" i="5"/>
  <c r="AD54" i="5"/>
  <c r="AE54" i="5"/>
  <c r="AE100" i="5"/>
  <c r="AD100" i="5"/>
  <c r="AD285" i="5"/>
  <c r="AE285" i="5"/>
  <c r="AD474" i="5"/>
  <c r="BF474" i="5"/>
  <c r="AE474" i="5"/>
  <c r="BF292" i="5"/>
  <c r="BH292" i="5" s="1"/>
  <c r="BF187" i="5"/>
  <c r="BG187" i="5" s="1"/>
  <c r="AD125" i="5"/>
  <c r="AD304" i="5"/>
  <c r="AE74" i="5"/>
  <c r="AE171" i="5"/>
  <c r="BF285" i="5"/>
  <c r="AD40" i="5"/>
  <c r="AE40" i="5"/>
  <c r="BF40" i="5"/>
  <c r="AE213" i="5"/>
  <c r="AD213" i="5"/>
  <c r="AE28" i="5"/>
  <c r="BF28" i="5"/>
  <c r="AD28" i="5"/>
  <c r="BF170" i="5"/>
  <c r="AE170" i="5"/>
  <c r="AE124" i="5"/>
  <c r="BH145" i="5"/>
  <c r="AD80" i="5"/>
  <c r="AD171" i="5"/>
  <c r="AE531" i="5"/>
  <c r="AD369" i="5"/>
  <c r="AE165" i="5"/>
  <c r="AD252" i="5"/>
  <c r="AE252" i="5"/>
  <c r="AE518" i="5"/>
  <c r="BF518" i="5"/>
  <c r="BF124" i="5"/>
  <c r="BG124" i="5" s="1"/>
  <c r="AE387" i="5"/>
  <c r="BF304" i="5"/>
  <c r="BG304" i="5" s="1"/>
  <c r="BG171" i="5"/>
  <c r="BF80" i="5"/>
  <c r="AD170" i="5"/>
  <c r="BF165" i="5"/>
  <c r="AD518" i="5"/>
  <c r="AD305" i="5"/>
  <c r="AE333" i="5"/>
  <c r="BF369" i="5"/>
  <c r="BH369" i="5" s="1"/>
  <c r="AE529" i="5"/>
  <c r="BF529" i="5"/>
  <c r="AD529" i="5"/>
  <c r="AE254" i="5"/>
  <c r="BF254" i="5"/>
  <c r="AD123" i="5"/>
  <c r="BF123" i="5"/>
  <c r="AD346" i="5"/>
  <c r="AE346" i="5"/>
  <c r="BF346" i="5"/>
  <c r="AD398" i="5"/>
  <c r="AE398" i="5"/>
  <c r="BF398" i="5"/>
  <c r="BF386" i="5"/>
  <c r="AE386" i="5"/>
  <c r="AD386" i="5"/>
  <c r="AD56" i="5"/>
  <c r="BF56" i="5"/>
  <c r="BF91" i="5"/>
  <c r="BG91" i="5" s="1"/>
  <c r="BG339" i="5"/>
  <c r="AD184" i="5"/>
  <c r="AD155" i="5"/>
  <c r="BF155" i="5"/>
  <c r="AE352" i="5"/>
  <c r="AD352" i="5"/>
  <c r="AE544" i="5"/>
  <c r="BF544" i="5"/>
  <c r="AD544" i="5"/>
  <c r="AD221" i="5"/>
  <c r="BF166" i="5"/>
  <c r="BG166" i="5" s="1"/>
  <c r="BF437" i="5"/>
  <c r="BG437" i="5" s="1"/>
  <c r="AE32" i="5"/>
  <c r="AE184" i="5"/>
  <c r="AE119" i="5"/>
  <c r="BF242" i="5"/>
  <c r="BG242" i="5" s="1"/>
  <c r="AE140" i="5"/>
  <c r="AE155" i="5"/>
  <c r="AE451" i="5"/>
  <c r="AD407" i="5"/>
  <c r="BF263" i="5"/>
  <c r="BG263" i="5" s="1"/>
  <c r="AD299" i="5"/>
  <c r="AD361" i="5"/>
  <c r="BF361" i="5"/>
  <c r="BH361" i="5" s="1"/>
  <c r="BF181" i="5"/>
  <c r="AD181" i="5"/>
  <c r="AE181" i="5"/>
  <c r="AD101" i="5"/>
  <c r="BF101" i="5"/>
  <c r="BF122" i="5"/>
  <c r="AD122" i="5"/>
  <c r="AE122" i="5"/>
  <c r="BF503" i="5"/>
  <c r="AE503" i="5"/>
  <c r="AD503" i="5"/>
  <c r="AD63" i="5"/>
  <c r="BF221" i="5"/>
  <c r="BG221" i="5" s="1"/>
  <c r="AD280" i="5"/>
  <c r="AE404" i="5"/>
  <c r="AE123" i="5"/>
  <c r="AD451" i="5"/>
  <c r="BF316" i="5"/>
  <c r="BG316" i="5" s="1"/>
  <c r="BF407" i="5"/>
  <c r="BF140" i="5"/>
  <c r="BG140" i="5" s="1"/>
  <c r="BF24" i="5"/>
  <c r="BG24" i="5" s="1"/>
  <c r="BF133" i="5"/>
  <c r="BG133" i="5" s="1"/>
  <c r="AE311" i="5"/>
  <c r="AE476" i="5"/>
  <c r="BF476" i="5"/>
  <c r="BF243" i="5"/>
  <c r="AD243" i="5"/>
  <c r="AE243" i="5"/>
  <c r="BG352" i="5"/>
  <c r="AD98" i="5"/>
  <c r="BF98" i="5"/>
  <c r="AE98" i="5"/>
  <c r="AE302" i="5"/>
  <c r="AE91" i="5"/>
  <c r="AD32" i="5"/>
  <c r="BF404" i="5"/>
  <c r="BG404" i="5" s="1"/>
  <c r="BF176" i="5"/>
  <c r="AD176" i="5"/>
  <c r="AE176" i="5"/>
  <c r="AE63" i="5"/>
  <c r="BF302" i="5"/>
  <c r="BG302" i="5" s="1"/>
  <c r="AE307" i="5"/>
  <c r="AD307" i="5"/>
  <c r="BF307" i="5"/>
  <c r="BG160" i="5"/>
  <c r="BH160" i="5"/>
  <c r="BH389" i="5"/>
  <c r="BG389" i="5"/>
  <c r="BH57" i="5"/>
  <c r="BG57" i="5"/>
  <c r="BH433" i="5"/>
  <c r="BG433" i="5"/>
  <c r="BH506" i="5"/>
  <c r="BG506" i="5"/>
  <c r="BH301" i="5"/>
  <c r="BG301" i="5"/>
  <c r="BG70" i="5"/>
  <c r="BH70" i="5"/>
  <c r="BG63" i="5"/>
  <c r="BH63" i="5"/>
  <c r="BH475" i="5"/>
  <c r="BG475" i="5"/>
  <c r="BH258" i="5"/>
  <c r="BG258" i="5"/>
  <c r="BG126" i="5"/>
  <c r="BH126" i="5"/>
  <c r="BH142" i="5"/>
  <c r="BG142" i="5"/>
  <c r="BG78" i="5"/>
  <c r="BH78" i="5"/>
  <c r="BG317" i="5"/>
  <c r="BH317" i="5"/>
  <c r="BH283" i="5"/>
  <c r="BG283" i="5"/>
  <c r="BH280" i="5"/>
  <c r="BG280" i="5"/>
  <c r="BH538" i="5"/>
  <c r="BG538" i="5"/>
  <c r="BH353" i="5"/>
  <c r="BG353" i="5"/>
  <c r="BG49" i="5"/>
  <c r="BH49" i="5"/>
  <c r="BH202" i="5"/>
  <c r="BG202" i="5"/>
  <c r="BG27" i="5"/>
  <c r="BH27" i="5"/>
  <c r="BG557" i="5"/>
  <c r="BH557" i="5"/>
  <c r="BH267" i="5"/>
  <c r="BG267" i="5"/>
  <c r="BH357" i="5"/>
  <c r="BG357" i="5"/>
  <c r="BG479" i="5"/>
  <c r="BH479" i="5"/>
  <c r="BG113" i="5"/>
  <c r="BH113" i="5"/>
  <c r="BH256" i="5"/>
  <c r="BG256" i="5"/>
  <c r="BH231" i="5"/>
  <c r="BG231" i="5"/>
  <c r="BG366" i="5"/>
  <c r="BH366" i="5"/>
  <c r="BH344" i="5"/>
  <c r="BG344" i="5"/>
  <c r="BH217" i="5"/>
  <c r="BG217" i="5"/>
  <c r="BG192" i="5"/>
  <c r="BH192" i="5"/>
  <c r="BH173" i="5"/>
  <c r="BG173" i="5"/>
  <c r="BH116" i="5"/>
  <c r="BG116" i="5"/>
  <c r="BH364" i="5"/>
  <c r="BG364" i="5"/>
  <c r="BH393" i="5"/>
  <c r="BG393" i="5"/>
  <c r="BH502" i="5"/>
  <c r="BG502" i="5"/>
  <c r="BG446" i="5"/>
  <c r="BH446" i="5"/>
  <c r="BH448" i="5"/>
  <c r="BG448" i="5"/>
  <c r="BG392" i="5"/>
  <c r="BH392" i="5"/>
  <c r="BG238" i="5"/>
  <c r="BH238" i="5"/>
  <c r="BG286" i="5"/>
  <c r="BH286" i="5"/>
  <c r="BG206" i="5"/>
  <c r="BH206" i="5"/>
  <c r="BH517" i="5"/>
  <c r="BG517" i="5"/>
  <c r="BG337" i="5"/>
  <c r="BH337" i="5"/>
  <c r="BG248" i="5"/>
  <c r="BH248" i="5"/>
  <c r="BG247" i="5"/>
  <c r="BH247" i="5"/>
  <c r="BG332" i="5"/>
  <c r="BH332" i="5"/>
  <c r="BG408" i="5"/>
  <c r="BH408" i="5"/>
  <c r="BH151" i="5"/>
  <c r="BG151" i="5"/>
  <c r="BH510" i="5"/>
  <c r="BG510" i="5"/>
  <c r="BH21" i="5"/>
  <c r="BG21" i="5"/>
  <c r="BH200" i="5"/>
  <c r="BG200" i="5"/>
  <c r="BG290" i="5"/>
  <c r="BH290" i="5"/>
  <c r="BG32" i="5"/>
  <c r="BH32" i="5"/>
  <c r="BG275" i="5"/>
  <c r="BH275" i="5"/>
  <c r="BH508" i="5"/>
  <c r="BG508" i="5"/>
  <c r="BH365" i="5"/>
  <c r="BG365" i="5"/>
  <c r="BH184" i="5"/>
  <c r="BG184" i="5"/>
  <c r="AA72" i="4" l="1"/>
  <c r="AF72" i="4" s="1"/>
  <c r="AG72" i="4" s="1"/>
  <c r="AI72" i="4" s="1"/>
  <c r="BK182" i="5"/>
  <c r="BJ330" i="5"/>
  <c r="BJ495" i="5"/>
  <c r="BK340" i="5"/>
  <c r="BK477" i="5"/>
  <c r="BJ496" i="5"/>
  <c r="BJ45" i="5"/>
  <c r="BK322" i="5"/>
  <c r="BK306" i="5"/>
  <c r="BJ156" i="5"/>
  <c r="BK113" i="5"/>
  <c r="BJ439" i="5"/>
  <c r="BJ219" i="5"/>
  <c r="BJ172" i="5"/>
  <c r="BJ360" i="5"/>
  <c r="BL360" i="5" s="1"/>
  <c r="BJ208" i="5"/>
  <c r="BK99" i="5"/>
  <c r="BK447" i="5"/>
  <c r="BJ22" i="5"/>
  <c r="BK466" i="5"/>
  <c r="BJ76" i="5"/>
  <c r="BK317" i="5"/>
  <c r="BJ307" i="5"/>
  <c r="BK40" i="5"/>
  <c r="BK133" i="5"/>
  <c r="BJ26" i="5"/>
  <c r="BK551" i="5"/>
  <c r="BJ186" i="5"/>
  <c r="BK66" i="5"/>
  <c r="BM66" i="5" s="1"/>
  <c r="BK193" i="5"/>
  <c r="BJ326" i="5"/>
  <c r="BJ449" i="5"/>
  <c r="BK491" i="5"/>
  <c r="BJ244" i="5"/>
  <c r="BJ376" i="5"/>
  <c r="BK83" i="5"/>
  <c r="BK520" i="5"/>
  <c r="BJ266" i="5"/>
  <c r="BK387" i="5"/>
  <c r="BJ246" i="5"/>
  <c r="BK137" i="5"/>
  <c r="BM137" i="5" s="1"/>
  <c r="BK509" i="5"/>
  <c r="BJ96" i="5"/>
  <c r="BJ237" i="5"/>
  <c r="BK126" i="5"/>
  <c r="BJ546" i="5"/>
  <c r="BK192" i="5"/>
  <c r="BK514" i="5"/>
  <c r="BJ381" i="5"/>
  <c r="BK207" i="5"/>
  <c r="BM207" i="5" s="1"/>
  <c r="BK42" i="5"/>
  <c r="BK184" i="5"/>
  <c r="BK403" i="5"/>
  <c r="BK427" i="5"/>
  <c r="BK81" i="5"/>
  <c r="BJ437" i="5"/>
  <c r="BJ267" i="5"/>
  <c r="BJ522" i="5"/>
  <c r="BJ331" i="5"/>
  <c r="BK364" i="5"/>
  <c r="BK526" i="5"/>
  <c r="BJ105" i="5"/>
  <c r="BL105" i="5" s="1"/>
  <c r="BK445" i="5"/>
  <c r="BJ136" i="5"/>
  <c r="BK356" i="5"/>
  <c r="BK206" i="5"/>
  <c r="BJ362" i="5"/>
  <c r="BK58" i="5"/>
  <c r="BJ513" i="5"/>
  <c r="BJ222" i="5"/>
  <c r="BJ150" i="5"/>
  <c r="BK53" i="5"/>
  <c r="BJ380" i="5"/>
  <c r="BK467" i="5"/>
  <c r="BM467" i="5" s="1"/>
  <c r="BK559" i="5"/>
  <c r="BK303" i="5"/>
  <c r="BK516" i="5"/>
  <c r="BJ8" i="5"/>
  <c r="BL8" i="5" s="1"/>
  <c r="BJ180" i="5"/>
  <c r="BJ178" i="5"/>
  <c r="BK272" i="5"/>
  <c r="BK442" i="5"/>
  <c r="BM442" i="5" s="1"/>
  <c r="BK25" i="5"/>
  <c r="BJ401" i="5"/>
  <c r="BK384" i="5"/>
  <c r="BJ35" i="5"/>
  <c r="BK205" i="5"/>
  <c r="BJ510" i="5"/>
  <c r="BJ68" i="5"/>
  <c r="BJ144" i="5"/>
  <c r="BJ394" i="5"/>
  <c r="BJ278" i="5"/>
  <c r="BJ357" i="5"/>
  <c r="BK435" i="5"/>
  <c r="BJ164" i="5"/>
  <c r="BK479" i="5"/>
  <c r="BJ32" i="5"/>
  <c r="BJ232" i="5"/>
  <c r="BK89" i="5"/>
  <c r="BJ148" i="5"/>
  <c r="BJ280" i="5"/>
  <c r="BK415" i="5"/>
  <c r="BJ321" i="5"/>
  <c r="BK409" i="5"/>
  <c r="BK412" i="5"/>
  <c r="BK157" i="5"/>
  <c r="BM157" i="5" s="1"/>
  <c r="BK542" i="5"/>
  <c r="BJ155" i="5"/>
  <c r="BK79" i="5"/>
  <c r="BJ29" i="5"/>
  <c r="BK201" i="5"/>
  <c r="BK33" i="5"/>
  <c r="BK124" i="5"/>
  <c r="BK421" i="5"/>
  <c r="BJ91" i="5"/>
  <c r="BJ386" i="5"/>
  <c r="BK72" i="5"/>
  <c r="BJ324" i="5"/>
  <c r="BK408" i="5"/>
  <c r="BK139" i="5"/>
  <c r="BJ120" i="5"/>
  <c r="BJ241" i="5"/>
  <c r="BK537" i="5"/>
  <c r="BJ48" i="5"/>
  <c r="BK214" i="5"/>
  <c r="BK77" i="5"/>
  <c r="BK202" i="5"/>
  <c r="BK147" i="5"/>
  <c r="BM147" i="5" s="1"/>
  <c r="BJ308" i="5"/>
  <c r="BL308" i="5" s="1"/>
  <c r="BK558" i="5"/>
  <c r="BK93" i="5"/>
  <c r="BK347" i="5"/>
  <c r="BK121" i="5"/>
  <c r="BK530" i="5"/>
  <c r="BK118" i="5"/>
  <c r="BJ190" i="5"/>
  <c r="BK250" i="5"/>
  <c r="BK392" i="5"/>
  <c r="BJ416" i="5"/>
  <c r="BJ323" i="5"/>
  <c r="BK377" i="5"/>
  <c r="BK62" i="5"/>
  <c r="BJ555" i="5"/>
  <c r="BJ31" i="5"/>
  <c r="BJ352" i="5"/>
  <c r="BK332" i="5"/>
  <c r="BK294" i="5"/>
  <c r="BK46" i="5"/>
  <c r="BK391" i="5"/>
  <c r="BJ146" i="5"/>
  <c r="BL146" i="5" s="1"/>
  <c r="BJ446" i="5"/>
  <c r="BJ100" i="5"/>
  <c r="BJ175" i="5"/>
  <c r="BJ557" i="5"/>
  <c r="BJ410" i="5"/>
  <c r="BK279" i="5"/>
  <c r="BM279" i="5" s="1"/>
  <c r="BK174" i="5"/>
  <c r="BK480" i="5"/>
  <c r="BM480" i="5" s="1"/>
  <c r="BK506" i="5"/>
  <c r="BK524" i="5"/>
  <c r="BK220" i="5"/>
  <c r="BK275" i="5"/>
  <c r="BJ171" i="5"/>
  <c r="BK560" i="5"/>
  <c r="BK436" i="5"/>
  <c r="BJ350" i="5"/>
  <c r="BF11" i="5"/>
  <c r="BG11" i="5" s="1"/>
  <c r="AD11" i="5"/>
  <c r="BK378" i="5"/>
  <c r="BK441" i="5"/>
  <c r="BJ101" i="5"/>
  <c r="BJ335" i="5"/>
  <c r="BK130" i="5"/>
  <c r="BK263" i="5"/>
  <c r="BJ431" i="5"/>
  <c r="BJ248" i="5"/>
  <c r="BJ163" i="5"/>
  <c r="BK111" i="5"/>
  <c r="BK319" i="5"/>
  <c r="BM319" i="5" s="1"/>
  <c r="BK481" i="5"/>
  <c r="BJ128" i="5"/>
  <c r="BL128" i="5" s="1"/>
  <c r="BH496" i="5"/>
  <c r="BM496" i="5" s="1"/>
  <c r="BJ54" i="5"/>
  <c r="BK75" i="5"/>
  <c r="BK28" i="5"/>
  <c r="BJ535" i="5"/>
  <c r="BK544" i="5"/>
  <c r="BK298" i="5"/>
  <c r="BK494" i="5"/>
  <c r="BJ374" i="5"/>
  <c r="BK85" i="5"/>
  <c r="BK262" i="5"/>
  <c r="BK281" i="5"/>
  <c r="BK414" i="5"/>
  <c r="BJ523" i="5"/>
  <c r="BJ112" i="5"/>
  <c r="BJ187" i="5"/>
  <c r="BK181" i="5"/>
  <c r="BK141" i="5"/>
  <c r="BM141" i="5" s="1"/>
  <c r="BJ453" i="5"/>
  <c r="BJ552" i="5"/>
  <c r="BJ531" i="5"/>
  <c r="BJ354" i="5"/>
  <c r="BK73" i="5"/>
  <c r="BJ315" i="5"/>
  <c r="BJ399" i="5"/>
  <c r="BK517" i="5"/>
  <c r="BJ30" i="5"/>
  <c r="BJ289" i="5"/>
  <c r="BJ149" i="5"/>
  <c r="BJ383" i="5"/>
  <c r="BJ64" i="5"/>
  <c r="BK489" i="5"/>
  <c r="BM489" i="5" s="1"/>
  <c r="BJ454" i="5"/>
  <c r="BK483" i="5"/>
  <c r="BK238" i="5"/>
  <c r="BK492" i="5"/>
  <c r="BK336" i="5"/>
  <c r="BK404" i="5"/>
  <c r="BK375" i="5"/>
  <c r="BK59" i="5"/>
  <c r="BK293" i="5"/>
  <c r="BK468" i="5"/>
  <c r="BJ159" i="5"/>
  <c r="AC139" i="4"/>
  <c r="AD139" i="4" s="1"/>
  <c r="BK44" i="5"/>
  <c r="BJ462" i="5"/>
  <c r="BL462" i="5" s="1"/>
  <c r="BK536" i="5"/>
  <c r="BJ367" i="5"/>
  <c r="BJ261" i="5"/>
  <c r="BK297" i="5"/>
  <c r="AA91" i="4"/>
  <c r="AA131" i="4"/>
  <c r="AC131" i="4" s="1"/>
  <c r="AD131" i="4" s="1"/>
  <c r="BJ151" i="5"/>
  <c r="BK131" i="5"/>
  <c r="BK257" i="5"/>
  <c r="BJ231" i="5"/>
  <c r="BJ451" i="5"/>
  <c r="BL451" i="5" s="1"/>
  <c r="BJ88" i="5"/>
  <c r="BK450" i="5"/>
  <c r="BM450" i="5" s="1"/>
  <c r="BK545" i="5"/>
  <c r="BK423" i="5"/>
  <c r="BK529" i="5"/>
  <c r="BK327" i="5"/>
  <c r="BK70" i="5"/>
  <c r="BK472" i="5"/>
  <c r="BK482" i="5"/>
  <c r="BJ521" i="5"/>
  <c r="BK236" i="5"/>
  <c r="BJ119" i="5"/>
  <c r="BK398" i="5"/>
  <c r="BJ418" i="5"/>
  <c r="BL418" i="5" s="1"/>
  <c r="BK553" i="5"/>
  <c r="BJ463" i="5"/>
  <c r="BK221" i="5"/>
  <c r="BK344" i="5"/>
  <c r="BK554" i="5"/>
  <c r="BK115" i="5"/>
  <c r="BK23" i="5"/>
  <c r="BK369" i="5"/>
  <c r="BJ422" i="5"/>
  <c r="BL422" i="5" s="1"/>
  <c r="BK464" i="5"/>
  <c r="BJ168" i="5"/>
  <c r="BJ433" i="5"/>
  <c r="BJ160" i="5"/>
  <c r="BJ465" i="5"/>
  <c r="BK142" i="5"/>
  <c r="BK457" i="5"/>
  <c r="BJ161" i="5"/>
  <c r="BJ432" i="5"/>
  <c r="BK550" i="5"/>
  <c r="BM550" i="5" s="1"/>
  <c r="BK194" i="5"/>
  <c r="BK484" i="5"/>
  <c r="BJ216" i="5"/>
  <c r="BL216" i="5" s="1"/>
  <c r="BK406" i="5"/>
  <c r="BJ198" i="5"/>
  <c r="AQ11" i="5"/>
  <c r="BJ211" i="5"/>
  <c r="AA97" i="4"/>
  <c r="AF97" i="4" s="1"/>
  <c r="AO97" i="4" s="1"/>
  <c r="AA145" i="4"/>
  <c r="AF145" i="4" s="1"/>
  <c r="AO145" i="4" s="1"/>
  <c r="AA136" i="4"/>
  <c r="AC136" i="4" s="1"/>
  <c r="AD136" i="4" s="1"/>
  <c r="AA147" i="4"/>
  <c r="AC147" i="4" s="1"/>
  <c r="AD147" i="4" s="1"/>
  <c r="AA148" i="4"/>
  <c r="AC148" i="4" s="1"/>
  <c r="AD148" i="4" s="1"/>
  <c r="AA117" i="4"/>
  <c r="AC117" i="4" s="1"/>
  <c r="AD117" i="4" s="1"/>
  <c r="AA107" i="4"/>
  <c r="AC107" i="4" s="1"/>
  <c r="AD107" i="4" s="1"/>
  <c r="AA121" i="4"/>
  <c r="AF121" i="4" s="1"/>
  <c r="AO121" i="4" s="1"/>
  <c r="AA153" i="4"/>
  <c r="AC153" i="4" s="1"/>
  <c r="AD153" i="4" s="1"/>
  <c r="AA109" i="4"/>
  <c r="AF109" i="4" s="1"/>
  <c r="AA94" i="4"/>
  <c r="AF94" i="4" s="1"/>
  <c r="AO94" i="4" s="1"/>
  <c r="AA129" i="4"/>
  <c r="AF129" i="4" s="1"/>
  <c r="AO129" i="4" s="1"/>
  <c r="AA118" i="4"/>
  <c r="AC118" i="4" s="1"/>
  <c r="AD118" i="4" s="1"/>
  <c r="AA113" i="4"/>
  <c r="AF113" i="4" s="1"/>
  <c r="AO113" i="4" s="1"/>
  <c r="AA133" i="4"/>
  <c r="AC133" i="4" s="1"/>
  <c r="AD133" i="4" s="1"/>
  <c r="AA144" i="4"/>
  <c r="AF144" i="4" s="1"/>
  <c r="AO144" i="4" s="1"/>
  <c r="AA137" i="4"/>
  <c r="AC137" i="4" s="1"/>
  <c r="AD137" i="4" s="1"/>
  <c r="AA116" i="4"/>
  <c r="AF116" i="4" s="1"/>
  <c r="AA124" i="4"/>
  <c r="AC124" i="4" s="1"/>
  <c r="AD124" i="4" s="1"/>
  <c r="AK109" i="4"/>
  <c r="AK153" i="4"/>
  <c r="BD11" i="5"/>
  <c r="BK417" i="5"/>
  <c r="BI11" i="5"/>
  <c r="BK11" i="5" s="1"/>
  <c r="BK405" i="5"/>
  <c r="BK122" i="5"/>
  <c r="BJ487" i="5"/>
  <c r="BJ176" i="5"/>
  <c r="BK486" i="5"/>
  <c r="BK426" i="5"/>
  <c r="BK86" i="5"/>
  <c r="BK94" i="5"/>
  <c r="BJ264" i="5"/>
  <c r="BJ419" i="5"/>
  <c r="BK345" i="5"/>
  <c r="BJ245" i="5"/>
  <c r="BK153" i="5"/>
  <c r="BK470" i="5"/>
  <c r="BK452" i="5"/>
  <c r="AK117" i="4"/>
  <c r="BJ271" i="5"/>
  <c r="AA88" i="4"/>
  <c r="AC88" i="4" s="1"/>
  <c r="AD88" i="4" s="1"/>
  <c r="AA59" i="4"/>
  <c r="AF59" i="4" s="1"/>
  <c r="AA84" i="4"/>
  <c r="AF84" i="4" s="1"/>
  <c r="AO84" i="4" s="1"/>
  <c r="AA83" i="4"/>
  <c r="AK102" i="4"/>
  <c r="AK124" i="4"/>
  <c r="AK118" i="4"/>
  <c r="AA75" i="4"/>
  <c r="AC75" i="4" s="1"/>
  <c r="AD75" i="4" s="1"/>
  <c r="AA62" i="4"/>
  <c r="AC62" i="4" s="1"/>
  <c r="AD62" i="4" s="1"/>
  <c r="AA57" i="4"/>
  <c r="AF57" i="4" s="1"/>
  <c r="AK113" i="4"/>
  <c r="AA54" i="4"/>
  <c r="AF54" i="4" s="1"/>
  <c r="AK147" i="4"/>
  <c r="AA52" i="4"/>
  <c r="AC52" i="4" s="1"/>
  <c r="AD52" i="4" s="1"/>
  <c r="AA51" i="4"/>
  <c r="AF51" i="4" s="1"/>
  <c r="AA50" i="4"/>
  <c r="AC50" i="4" s="1"/>
  <c r="AD50" i="4" s="1"/>
  <c r="AA49" i="4"/>
  <c r="AC49" i="4" s="1"/>
  <c r="AD49" i="4" s="1"/>
  <c r="AA106" i="4"/>
  <c r="AA86" i="4"/>
  <c r="AA150" i="4"/>
  <c r="AC150" i="4" s="1"/>
  <c r="AD150" i="4" s="1"/>
  <c r="AA102" i="4"/>
  <c r="AA125" i="4"/>
  <c r="X74" i="4"/>
  <c r="AA74" i="4" s="1"/>
  <c r="AA65" i="4"/>
  <c r="AA99" i="4"/>
  <c r="AF99" i="4" s="1"/>
  <c r="AO99" i="4" s="1"/>
  <c r="AA114" i="4"/>
  <c r="AF114" i="4" s="1"/>
  <c r="AO114" i="4" s="1"/>
  <c r="X81" i="4"/>
  <c r="AA81" i="4" s="1"/>
  <c r="AA92" i="4"/>
  <c r="AA60" i="4"/>
  <c r="AA105" i="4"/>
  <c r="AA67" i="4"/>
  <c r="AA156" i="4"/>
  <c r="AF156" i="4" s="1"/>
  <c r="X89" i="4"/>
  <c r="AK89" i="4" s="1"/>
  <c r="AA146" i="4"/>
  <c r="AC146" i="4" s="1"/>
  <c r="AD146" i="4" s="1"/>
  <c r="AA123" i="4"/>
  <c r="B198" i="2"/>
  <c r="B232" i="2" s="1"/>
  <c r="AA82" i="4"/>
  <c r="AF82" i="4" s="1"/>
  <c r="AA155" i="4"/>
  <c r="X112" i="4"/>
  <c r="AA112" i="4" s="1"/>
  <c r="AA104" i="4"/>
  <c r="AA73" i="4"/>
  <c r="AK137" i="4"/>
  <c r="AK67" i="4"/>
  <c r="AK84" i="4"/>
  <c r="AA29" i="4"/>
  <c r="AF154" i="4"/>
  <c r="AG154" i="4" s="1"/>
  <c r="AI154" i="4" s="1"/>
  <c r="AK88" i="4"/>
  <c r="AK45" i="4"/>
  <c r="AK129" i="4"/>
  <c r="AK49" i="4"/>
  <c r="AK41" i="4"/>
  <c r="AK133" i="4"/>
  <c r="AK121" i="4"/>
  <c r="AK34" i="4"/>
  <c r="AA25" i="4"/>
  <c r="X48" i="4"/>
  <c r="AK48" i="4" s="1"/>
  <c r="AC45" i="4"/>
  <c r="AD45" i="4" s="1"/>
  <c r="AF45" i="4"/>
  <c r="AO45" i="4" s="1"/>
  <c r="AK75" i="4"/>
  <c r="AA42" i="4"/>
  <c r="AF42" i="4" s="1"/>
  <c r="X43" i="4"/>
  <c r="AA43" i="4" s="1"/>
  <c r="AK144" i="4"/>
  <c r="AA41" i="4"/>
  <c r="AC41" i="4" s="1"/>
  <c r="AD41" i="4" s="1"/>
  <c r="AK116" i="4"/>
  <c r="AA24" i="4"/>
  <c r="AK125" i="4"/>
  <c r="AK62" i="4"/>
  <c r="AA37" i="4"/>
  <c r="AF37" i="4" s="1"/>
  <c r="AA35" i="4"/>
  <c r="AC35" i="4" s="1"/>
  <c r="AD35" i="4" s="1"/>
  <c r="AA36" i="4"/>
  <c r="AC34" i="4"/>
  <c r="AD34" i="4" s="1"/>
  <c r="AF34" i="4"/>
  <c r="AO34" i="4" s="1"/>
  <c r="AA13" i="4"/>
  <c r="AC13" i="4" s="1"/>
  <c r="AD13" i="4" s="1"/>
  <c r="AA33" i="4"/>
  <c r="AA31" i="4"/>
  <c r="AA30" i="4"/>
  <c r="AA26" i="4"/>
  <c r="AC26" i="4" s="1"/>
  <c r="AD26" i="4" s="1"/>
  <c r="AA28" i="4"/>
  <c r="AF28" i="4" s="1"/>
  <c r="AA27" i="4"/>
  <c r="AF27" i="4" s="1"/>
  <c r="AK145" i="4"/>
  <c r="AK148" i="4"/>
  <c r="AK105" i="4"/>
  <c r="AF14" i="4"/>
  <c r="AG14" i="4" s="1"/>
  <c r="AI14" i="4" s="1"/>
  <c r="AK97" i="4"/>
  <c r="AK11" i="4"/>
  <c r="AA15" i="4"/>
  <c r="AC15" i="4" s="1"/>
  <c r="AD15" i="4" s="1"/>
  <c r="AF8" i="4"/>
  <c r="AC8" i="4"/>
  <c r="AD8" i="4" s="1"/>
  <c r="AO139" i="4"/>
  <c r="AG139" i="4"/>
  <c r="AI139" i="4" s="1"/>
  <c r="Z149" i="4"/>
  <c r="Z100" i="4"/>
  <c r="Z95" i="4"/>
  <c r="Z46" i="4"/>
  <c r="Z66" i="4"/>
  <c r="Z71" i="4"/>
  <c r="X71" i="4" s="1"/>
  <c r="AK71" i="4" s="1"/>
  <c r="Z110" i="4"/>
  <c r="Z85" i="4"/>
  <c r="Z134" i="4"/>
  <c r="Z90" i="4"/>
  <c r="Z63" i="4"/>
  <c r="X18" i="4"/>
  <c r="AK18" i="4" s="1"/>
  <c r="Z70" i="4"/>
  <c r="Z120" i="4"/>
  <c r="Z140" i="4"/>
  <c r="AC80" i="4"/>
  <c r="AD80" i="4" s="1"/>
  <c r="AF80" i="4"/>
  <c r="AK51" i="4"/>
  <c r="Z93" i="4"/>
  <c r="Z58" i="4"/>
  <c r="AA17" i="4"/>
  <c r="Z141" i="4"/>
  <c r="X141" i="4" s="1"/>
  <c r="AK141" i="4" s="1"/>
  <c r="Z55" i="4"/>
  <c r="Z76" i="4"/>
  <c r="Z119" i="4"/>
  <c r="Z61" i="4"/>
  <c r="Z152" i="4"/>
  <c r="Z142" i="4"/>
  <c r="X21" i="4"/>
  <c r="AA21" i="4" s="1"/>
  <c r="Z130" i="4"/>
  <c r="AK8" i="4"/>
  <c r="Z79" i="4"/>
  <c r="Z111" i="4"/>
  <c r="Z44" i="4"/>
  <c r="X44" i="4" s="1"/>
  <c r="Z128" i="4"/>
  <c r="Z138" i="4"/>
  <c r="X138" i="4" s="1"/>
  <c r="AK138" i="4" s="1"/>
  <c r="AK136" i="4"/>
  <c r="Z77" i="4"/>
  <c r="Z40" i="4"/>
  <c r="Z132" i="4"/>
  <c r="Z87" i="4"/>
  <c r="Z127" i="4"/>
  <c r="Z78" i="4"/>
  <c r="Z96" i="4"/>
  <c r="Z53" i="4"/>
  <c r="X16" i="4"/>
  <c r="AA16" i="4" s="1"/>
  <c r="Z68" i="4"/>
  <c r="X20" i="4"/>
  <c r="AA20" i="4" s="1"/>
  <c r="Z56" i="4"/>
  <c r="Z47" i="4"/>
  <c r="X9" i="4"/>
  <c r="AK9" i="4" s="1"/>
  <c r="Z64" i="4"/>
  <c r="AC11" i="4"/>
  <c r="AD11" i="4" s="1"/>
  <c r="AF11" i="4"/>
  <c r="X19" i="4"/>
  <c r="AA19" i="4" s="1"/>
  <c r="Z151" i="4"/>
  <c r="AC122" i="4"/>
  <c r="AD122" i="4" s="1"/>
  <c r="AF122" i="4"/>
  <c r="AC115" i="4"/>
  <c r="AD115" i="4" s="1"/>
  <c r="AF115" i="4"/>
  <c r="AK54" i="4"/>
  <c r="Z38" i="4"/>
  <c r="Z157" i="4"/>
  <c r="Z39" i="4"/>
  <c r="Z126" i="4"/>
  <c r="Z135" i="4"/>
  <c r="Z101" i="4"/>
  <c r="X22" i="4"/>
  <c r="AK22" i="4" s="1"/>
  <c r="Z108" i="4"/>
  <c r="Z98" i="4"/>
  <c r="X12" i="4"/>
  <c r="AK12" i="4" s="1"/>
  <c r="Z143" i="4"/>
  <c r="Z69" i="4"/>
  <c r="Z103" i="4"/>
  <c r="Z23" i="4"/>
  <c r="Z32" i="4"/>
  <c r="X10" i="4"/>
  <c r="AA10" i="4" s="1"/>
  <c r="BK34" i="5"/>
  <c r="BK310" i="5"/>
  <c r="AR9" i="5"/>
  <c r="BI9" i="5"/>
  <c r="BJ540" i="5"/>
  <c r="BF7" i="5"/>
  <c r="AE7" i="5"/>
  <c r="AD7" i="5"/>
  <c r="BK38" i="5"/>
  <c r="BK123" i="5"/>
  <c r="B111" i="2"/>
  <c r="B112" i="2" s="1"/>
  <c r="H27" i="1"/>
  <c r="B108" i="2"/>
  <c r="B114" i="2" s="1"/>
  <c r="K122" i="2"/>
  <c r="BL44" i="5"/>
  <c r="BL556" i="5"/>
  <c r="BL545" i="5"/>
  <c r="BM289" i="5"/>
  <c r="BL13" i="5"/>
  <c r="BM522" i="5"/>
  <c r="BM473" i="5"/>
  <c r="BM462" i="5"/>
  <c r="BM392" i="5"/>
  <c r="BM203" i="5"/>
  <c r="BL188" i="5"/>
  <c r="BM508" i="5"/>
  <c r="BM175" i="5"/>
  <c r="BL463" i="5"/>
  <c r="BL300" i="5"/>
  <c r="BM13" i="5"/>
  <c r="BL352" i="5"/>
  <c r="BL277" i="5"/>
  <c r="BL266" i="5"/>
  <c r="BL500" i="5"/>
  <c r="BL392" i="5"/>
  <c r="BL342" i="5"/>
  <c r="BM188" i="5"/>
  <c r="BL508" i="5"/>
  <c r="BL217" i="5"/>
  <c r="BL445" i="5"/>
  <c r="BM354" i="5"/>
  <c r="BL505" i="5"/>
  <c r="BL267" i="5"/>
  <c r="BM239" i="5"/>
  <c r="BM419" i="5"/>
  <c r="BL94" i="5"/>
  <c r="BL344" i="5"/>
  <c r="BL269" i="5"/>
  <c r="BL242" i="5"/>
  <c r="BL332" i="5"/>
  <c r="BL113" i="5"/>
  <c r="BM64" i="5"/>
  <c r="BL340" i="5"/>
  <c r="BL238" i="5"/>
  <c r="BL558" i="5"/>
  <c r="BM455" i="5"/>
  <c r="BM21" i="5"/>
  <c r="BL401" i="5"/>
  <c r="BL314" i="5"/>
  <c r="BL265" i="5"/>
  <c r="BL263" i="5"/>
  <c r="BL440" i="5"/>
  <c r="BL402" i="5"/>
  <c r="BL224" i="5"/>
  <c r="BL197" i="5"/>
  <c r="BM136" i="5"/>
  <c r="BL317" i="5"/>
  <c r="BL32" i="5"/>
  <c r="BL278" i="5"/>
  <c r="BL241" i="5"/>
  <c r="BM411" i="5"/>
  <c r="BL102" i="5"/>
  <c r="BM149" i="5"/>
  <c r="BL421" i="5"/>
  <c r="BL286" i="5"/>
  <c r="BL189" i="5"/>
  <c r="BL178" i="5"/>
  <c r="BL91" i="5"/>
  <c r="BL483" i="5"/>
  <c r="BM169" i="5"/>
  <c r="BL350" i="5"/>
  <c r="BM280" i="5"/>
  <c r="BM49" i="5"/>
  <c r="BL35" i="5"/>
  <c r="BM298" i="5"/>
  <c r="BL276" i="5"/>
  <c r="BM521" i="5"/>
  <c r="BM494" i="5"/>
  <c r="BM130" i="5"/>
  <c r="BM107" i="5"/>
  <c r="BL92" i="5"/>
  <c r="BM337" i="5"/>
  <c r="BM70" i="5"/>
  <c r="BM367" i="5"/>
  <c r="BL144" i="5"/>
  <c r="BM548" i="5"/>
  <c r="BM537" i="5"/>
  <c r="BL184" i="5"/>
  <c r="BM390" i="5"/>
  <c r="BM179" i="5"/>
  <c r="BM206" i="5"/>
  <c r="BM151" i="5"/>
  <c r="BM381" i="5"/>
  <c r="BM290" i="5"/>
  <c r="BL475" i="5"/>
  <c r="BM433" i="5"/>
  <c r="BL368" i="5"/>
  <c r="BM357" i="5"/>
  <c r="BL39" i="5"/>
  <c r="BL19" i="5"/>
  <c r="BM434" i="5"/>
  <c r="BL555" i="5"/>
  <c r="BM257" i="5"/>
  <c r="BL432" i="5"/>
  <c r="BL410" i="5"/>
  <c r="BL425" i="5"/>
  <c r="BL280" i="5"/>
  <c r="BL536" i="5"/>
  <c r="BL50" i="5"/>
  <c r="BL498" i="5"/>
  <c r="BL550" i="5"/>
  <c r="BM76" i="5"/>
  <c r="BL49" i="5"/>
  <c r="BL36" i="5"/>
  <c r="BL320" i="5"/>
  <c r="BL309" i="5"/>
  <c r="BL183" i="5"/>
  <c r="BM374" i="5"/>
  <c r="BL337" i="5"/>
  <c r="BL70" i="5"/>
  <c r="BL117" i="5"/>
  <c r="BL58" i="5"/>
  <c r="BM378" i="5"/>
  <c r="BM292" i="5"/>
  <c r="BM184" i="5"/>
  <c r="BL157" i="5"/>
  <c r="BL83" i="5"/>
  <c r="BM315" i="5"/>
  <c r="BL492" i="5"/>
  <c r="BL481" i="5"/>
  <c r="BL287" i="5"/>
  <c r="BL34" i="5"/>
  <c r="BL480" i="5"/>
  <c r="BL469" i="5"/>
  <c r="BL436" i="5"/>
  <c r="BL206" i="5"/>
  <c r="BL151" i="5"/>
  <c r="BL109" i="5"/>
  <c r="BL290" i="5"/>
  <c r="BL534" i="5"/>
  <c r="BL530" i="5"/>
  <c r="BL139" i="5"/>
  <c r="BM475" i="5"/>
  <c r="BL433" i="5"/>
  <c r="BL166" i="5"/>
  <c r="BM399" i="5"/>
  <c r="BL357" i="5"/>
  <c r="BL90" i="5"/>
  <c r="BM51" i="5"/>
  <c r="BL525" i="5"/>
  <c r="BM288" i="5"/>
  <c r="BM549" i="5"/>
  <c r="BL330" i="5"/>
  <c r="BL531" i="5"/>
  <c r="BL244" i="5"/>
  <c r="BM217" i="5"/>
  <c r="BM553" i="5"/>
  <c r="BM526" i="5"/>
  <c r="BL487" i="5"/>
  <c r="BM267" i="5"/>
  <c r="BM161" i="5"/>
  <c r="BL154" i="5"/>
  <c r="BM388" i="5"/>
  <c r="BM361" i="5"/>
  <c r="BM344" i="5"/>
  <c r="BM486" i="5"/>
  <c r="BL343" i="5"/>
  <c r="BM363" i="5"/>
  <c r="BM332" i="5"/>
  <c r="BM113" i="5"/>
  <c r="BM384" i="5"/>
  <c r="BM67" i="5"/>
  <c r="BM238" i="5"/>
  <c r="BM424" i="5"/>
  <c r="BM194" i="5"/>
  <c r="BL21" i="5"/>
  <c r="BM379" i="5"/>
  <c r="BM65" i="5"/>
  <c r="BL53" i="5"/>
  <c r="BM29" i="5"/>
  <c r="BM356" i="5"/>
  <c r="BM146" i="5"/>
  <c r="BL335" i="5"/>
  <c r="BL59" i="5"/>
  <c r="BM236" i="5"/>
  <c r="BM223" i="5"/>
  <c r="BL511" i="5"/>
  <c r="BM458" i="5"/>
  <c r="BL180" i="5"/>
  <c r="BM87" i="5"/>
  <c r="BM359" i="5"/>
  <c r="BM317" i="5"/>
  <c r="BM32" i="5"/>
  <c r="BL339" i="5"/>
  <c r="BM369" i="5"/>
  <c r="BM111" i="5"/>
  <c r="BL112" i="5"/>
  <c r="BL321" i="5"/>
  <c r="BM63" i="5"/>
  <c r="BM543" i="5"/>
  <c r="BL234" i="5"/>
  <c r="BL275" i="5"/>
  <c r="BM22" i="5"/>
  <c r="BL430" i="5"/>
  <c r="BL141" i="5"/>
  <c r="BL413" i="5"/>
  <c r="BM299" i="5"/>
  <c r="BM273" i="5"/>
  <c r="BM272" i="5"/>
  <c r="BM528" i="5"/>
  <c r="BM506" i="5"/>
  <c r="BL291" i="5"/>
  <c r="BM484" i="5"/>
  <c r="BM446" i="5"/>
  <c r="BL120" i="5"/>
  <c r="BM365" i="5"/>
  <c r="BM82" i="5"/>
  <c r="BM37" i="5"/>
  <c r="BL251" i="5"/>
  <c r="BM214" i="5"/>
  <c r="BL160" i="5"/>
  <c r="BM202" i="5"/>
  <c r="BL467" i="5"/>
  <c r="BM372" i="5"/>
  <c r="BM78" i="5"/>
  <c r="BM264" i="5"/>
  <c r="BM520" i="5"/>
  <c r="BM253" i="5"/>
  <c r="BM482" i="5"/>
  <c r="BM20" i="5"/>
  <c r="BM560" i="5"/>
  <c r="BL260" i="5"/>
  <c r="BM478" i="5"/>
  <c r="BL439" i="5"/>
  <c r="BM125" i="5"/>
  <c r="BL370" i="5"/>
  <c r="BM219" i="5"/>
  <c r="BM524" i="5"/>
  <c r="BM513" i="5"/>
  <c r="BM255" i="5"/>
  <c r="BM448" i="5"/>
  <c r="BM245" i="5"/>
  <c r="BL148" i="5"/>
  <c r="BL366" i="5"/>
  <c r="BM256" i="5"/>
  <c r="BM517" i="5"/>
  <c r="BL499" i="5"/>
  <c r="BM249" i="5"/>
  <c r="BM119" i="5"/>
  <c r="BM310" i="5"/>
  <c r="BL533" i="5"/>
  <c r="BL506" i="5"/>
  <c r="BL38" i="5"/>
  <c r="BL446" i="5"/>
  <c r="BL365" i="5"/>
  <c r="BL326" i="5"/>
  <c r="BM523" i="5"/>
  <c r="BM160" i="5"/>
  <c r="BL133" i="5"/>
  <c r="BL202" i="5"/>
  <c r="BL115" i="5"/>
  <c r="BL345" i="5"/>
  <c r="BL78" i="5"/>
  <c r="BM8" i="5"/>
  <c r="BL237" i="5"/>
  <c r="BL316" i="5"/>
  <c r="BM303" i="5"/>
  <c r="BL24" i="5"/>
  <c r="BM323" i="5"/>
  <c r="BL233" i="5"/>
  <c r="BL489" i="5"/>
  <c r="BM216" i="5"/>
  <c r="BM204" i="5"/>
  <c r="BL448" i="5"/>
  <c r="BL147" i="5"/>
  <c r="BL377" i="5"/>
  <c r="BL110" i="5"/>
  <c r="BM366" i="5"/>
  <c r="BL296" i="5"/>
  <c r="BL319" i="5"/>
  <c r="BL256" i="5"/>
  <c r="BL517" i="5"/>
  <c r="BL490" i="5"/>
  <c r="BL211" i="5"/>
  <c r="BM212" i="5"/>
  <c r="BL532" i="5"/>
  <c r="BL77" i="5"/>
  <c r="BL349" i="5"/>
  <c r="BL66" i="5"/>
  <c r="BL351" i="5"/>
  <c r="BL559" i="5"/>
  <c r="BM261" i="5"/>
  <c r="BL227" i="5"/>
  <c r="BL515" i="5"/>
  <c r="BM201" i="5"/>
  <c r="BM510" i="5"/>
  <c r="BM376" i="5"/>
  <c r="BM429" i="5"/>
  <c r="BL338" i="5"/>
  <c r="BM41" i="5"/>
  <c r="BL187" i="5"/>
  <c r="BL459" i="5"/>
  <c r="BL172" i="5"/>
  <c r="BM145" i="5"/>
  <c r="BM416" i="5"/>
  <c r="BL138" i="5"/>
  <c r="BM394" i="5"/>
  <c r="BL403" i="5"/>
  <c r="BL116" i="5"/>
  <c r="BM409" i="5"/>
  <c r="BM142" i="5"/>
  <c r="BL551" i="5"/>
  <c r="BL331" i="5"/>
  <c r="BL124" i="5"/>
  <c r="BM97" i="5"/>
  <c r="BM85" i="5"/>
  <c r="BM282" i="5"/>
  <c r="BL324" i="5"/>
  <c r="BM542" i="5"/>
  <c r="BM231" i="5"/>
  <c r="BM408" i="5"/>
  <c r="BL283" i="5"/>
  <c r="BM460" i="5"/>
  <c r="BL192" i="5"/>
  <c r="BM174" i="5"/>
  <c r="BM552" i="5"/>
  <c r="BM541" i="5"/>
  <c r="BM54" i="5"/>
  <c r="BM131" i="5"/>
  <c r="BL132" i="5"/>
  <c r="BM105" i="5"/>
  <c r="BM286" i="5"/>
  <c r="BM422" i="5"/>
  <c r="BM268" i="5"/>
  <c r="BL63" i="5"/>
  <c r="BM512" i="5"/>
  <c r="BM554" i="5"/>
  <c r="BM275" i="5"/>
  <c r="BM468" i="5"/>
  <c r="BM185" i="5"/>
  <c r="BL391" i="5"/>
  <c r="BM360" i="5"/>
  <c r="BM413" i="5"/>
  <c r="BM25" i="5"/>
  <c r="BM43" i="5"/>
  <c r="BL540" i="5"/>
  <c r="BL336" i="5"/>
  <c r="BL250" i="5"/>
  <c r="BL510" i="5"/>
  <c r="BM471" i="5"/>
  <c r="BM447" i="5"/>
  <c r="BM116" i="5"/>
  <c r="BL142" i="5"/>
  <c r="BL328" i="5"/>
  <c r="BL45" i="5"/>
  <c r="BL226" i="5"/>
  <c r="BL470" i="5"/>
  <c r="BM380" i="5"/>
  <c r="BL47" i="5"/>
  <c r="BL304" i="5"/>
  <c r="BM547" i="5"/>
  <c r="BL297" i="5"/>
  <c r="BL222" i="5"/>
  <c r="BL231" i="5"/>
  <c r="BL408" i="5"/>
  <c r="BL397" i="5"/>
  <c r="BL114" i="5"/>
  <c r="BM283" i="5"/>
  <c r="BM191" i="5"/>
  <c r="BM192" i="5"/>
  <c r="BM258" i="5"/>
  <c r="BM502" i="5"/>
  <c r="BL271" i="5"/>
  <c r="BM464" i="5"/>
  <c r="BM126" i="5"/>
  <c r="BM364" i="5"/>
  <c r="BM353" i="5"/>
  <c r="BM383" i="5"/>
  <c r="BM69" i="5"/>
  <c r="BM405" i="5"/>
  <c r="BM418" i="5"/>
  <c r="BM75" i="5"/>
  <c r="BM252" i="5"/>
  <c r="BM538" i="5"/>
  <c r="BL259" i="5"/>
  <c r="BM452" i="5"/>
  <c r="BL88" i="5"/>
  <c r="BM306" i="5"/>
  <c r="BM229" i="5"/>
  <c r="BL140" i="5"/>
  <c r="BM118" i="5"/>
  <c r="BL479" i="5"/>
  <c r="BM106" i="5"/>
  <c r="BL362" i="5"/>
  <c r="BL84" i="5"/>
  <c r="BM46" i="5"/>
  <c r="BM247" i="5"/>
  <c r="BL519" i="5"/>
  <c r="BM232" i="5"/>
  <c r="BM205" i="5"/>
  <c r="BM438" i="5"/>
  <c r="BM412" i="5"/>
  <c r="BL186" i="5"/>
  <c r="BL387" i="5"/>
  <c r="BM62" i="5"/>
  <c r="BM504" i="5"/>
  <c r="BM301" i="5"/>
  <c r="BL347" i="5"/>
  <c r="BL258" i="5"/>
  <c r="BL502" i="5"/>
  <c r="BL235" i="5"/>
  <c r="BL442" i="5"/>
  <c r="BM451" i="5"/>
  <c r="BL126" i="5"/>
  <c r="BL135" i="5"/>
  <c r="BL93" i="5"/>
  <c r="BM395" i="5"/>
  <c r="BL364" i="5"/>
  <c r="BL353" i="5"/>
  <c r="BL95" i="5"/>
  <c r="BL12" i="5"/>
  <c r="BL270" i="5"/>
  <c r="BL279" i="5"/>
  <c r="BL456" i="5"/>
  <c r="BL509" i="5"/>
  <c r="BL252" i="5"/>
  <c r="BL305" i="5"/>
  <c r="BL230" i="5"/>
  <c r="BM48" i="5"/>
  <c r="BL496" i="5"/>
  <c r="BM218" i="5"/>
  <c r="BL538" i="5"/>
  <c r="BL158" i="5"/>
  <c r="BL103" i="5"/>
  <c r="BL61" i="5"/>
  <c r="BM427" i="5"/>
  <c r="BL385" i="5"/>
  <c r="BL127" i="5"/>
  <c r="BM479" i="5"/>
  <c r="BL373" i="5"/>
  <c r="BL121" i="5"/>
  <c r="BL247" i="5"/>
  <c r="BL450" i="5"/>
  <c r="BM443" i="5"/>
  <c r="BL198" i="5"/>
  <c r="BM431" i="5"/>
  <c r="BL453" i="5"/>
  <c r="BL329" i="5"/>
  <c r="BM382" i="5"/>
  <c r="BL71" i="5"/>
  <c r="BL301" i="5"/>
  <c r="BL466" i="5"/>
  <c r="BL30" i="5"/>
  <c r="BM193" i="5"/>
  <c r="BL208" i="5"/>
  <c r="BM163" i="5"/>
  <c r="BL164" i="5"/>
  <c r="BL27" i="5"/>
  <c r="BM557" i="5"/>
  <c r="BL108" i="5"/>
  <c r="BM81" i="5"/>
  <c r="BM417" i="5"/>
  <c r="BM150" i="5"/>
  <c r="BL159" i="5"/>
  <c r="BL96" i="5"/>
  <c r="BM281" i="5"/>
  <c r="BL200" i="5"/>
  <c r="BM173" i="5"/>
  <c r="BM162" i="5"/>
  <c r="BM497" i="5"/>
  <c r="BM240" i="5"/>
  <c r="BM213" i="5"/>
  <c r="BM485" i="5"/>
  <c r="BM195" i="5"/>
  <c r="BM196" i="5"/>
  <c r="BM375" i="5"/>
  <c r="BL152" i="5"/>
  <c r="BM333" i="5"/>
  <c r="BM546" i="5"/>
  <c r="BL491" i="5"/>
  <c r="BM449" i="5"/>
  <c r="BM182" i="5"/>
  <c r="BM371" i="5"/>
  <c r="BL57" i="5"/>
  <c r="BM514" i="5"/>
  <c r="BL507" i="5"/>
  <c r="BM129" i="5"/>
  <c r="BL495" i="5"/>
  <c r="BM389" i="5"/>
  <c r="BL100" i="5"/>
  <c r="BM393" i="5"/>
  <c r="BM318" i="5"/>
  <c r="BM33" i="5"/>
  <c r="BM327" i="5"/>
  <c r="BM248" i="5"/>
  <c r="BM493" i="5"/>
  <c r="BL426" i="5"/>
  <c r="BL404" i="5"/>
  <c r="BL441" i="5"/>
  <c r="BL174" i="5"/>
  <c r="BL55" i="5"/>
  <c r="BL322" i="5"/>
  <c r="BL54" i="5"/>
  <c r="BL207" i="5"/>
  <c r="BL457" i="5"/>
  <c r="BM190" i="5"/>
  <c r="BM27" i="5"/>
  <c r="BL557" i="5"/>
  <c r="BL501" i="5"/>
  <c r="BL341" i="5"/>
  <c r="BL74" i="5"/>
  <c r="BM308" i="5"/>
  <c r="BL281" i="5"/>
  <c r="BL215" i="5"/>
  <c r="BM200" i="5"/>
  <c r="BL173" i="5"/>
  <c r="BL162" i="5"/>
  <c r="BL406" i="5"/>
  <c r="BL225" i="5"/>
  <c r="BL213" i="5"/>
  <c r="BL516" i="5"/>
  <c r="BL414" i="5"/>
  <c r="BL294" i="5"/>
  <c r="BL396" i="5"/>
  <c r="BM128" i="5"/>
  <c r="BL437" i="5"/>
  <c r="BM57" i="5"/>
  <c r="BL313" i="5"/>
  <c r="BL302" i="5"/>
  <c r="BL311" i="5"/>
  <c r="BM42" i="5"/>
  <c r="BL488" i="5"/>
  <c r="BL477" i="5"/>
  <c r="BL171" i="5"/>
  <c r="BM220" i="5"/>
  <c r="BL134" i="5"/>
  <c r="BL143" i="5"/>
  <c r="BL389" i="5"/>
  <c r="BL99" i="5"/>
  <c r="BM100" i="5"/>
  <c r="BL137" i="5"/>
  <c r="BL393" i="5"/>
  <c r="BL248" i="5"/>
  <c r="BL221" i="5"/>
  <c r="BL454" i="5"/>
  <c r="BL355" i="5"/>
  <c r="BG10" i="5"/>
  <c r="BF9" i="5"/>
  <c r="BG378" i="5"/>
  <c r="BL378" i="5" s="1"/>
  <c r="BG394" i="5"/>
  <c r="BL394" i="5" s="1"/>
  <c r="AA7" i="4"/>
  <c r="BG547" i="5"/>
  <c r="BL547" i="5" s="1"/>
  <c r="BH536" i="5"/>
  <c r="BM536" i="5" s="1"/>
  <c r="AN7" i="4"/>
  <c r="BG427" i="5"/>
  <c r="BL427" i="5" s="1"/>
  <c r="BG376" i="5"/>
  <c r="BL376" i="5" s="1"/>
  <c r="BG537" i="5"/>
  <c r="BL537" i="5" s="1"/>
  <c r="BH500" i="5"/>
  <c r="BM500" i="5" s="1"/>
  <c r="BG411" i="5"/>
  <c r="BL411" i="5" s="1"/>
  <c r="BH414" i="5"/>
  <c r="BM414" i="5" s="1"/>
  <c r="BH490" i="5"/>
  <c r="BM490" i="5" s="1"/>
  <c r="BG554" i="5"/>
  <c r="BL554" i="5" s="1"/>
  <c r="BG514" i="5"/>
  <c r="BL514" i="5" s="1"/>
  <c r="BH421" i="5"/>
  <c r="BM421" i="5" s="1"/>
  <c r="BH456" i="5"/>
  <c r="BM456" i="5" s="1"/>
  <c r="BH515" i="5"/>
  <c r="BM515" i="5" s="1"/>
  <c r="BG310" i="5"/>
  <c r="BL310" i="5" s="1"/>
  <c r="BH487" i="5"/>
  <c r="BM487" i="5" s="1"/>
  <c r="BH492" i="5"/>
  <c r="BM492" i="5" s="1"/>
  <c r="BH556" i="5"/>
  <c r="BM556" i="5" s="1"/>
  <c r="BH189" i="5"/>
  <c r="BM189" i="5" s="1"/>
  <c r="BH540" i="5"/>
  <c r="BM540" i="5" s="1"/>
  <c r="BH300" i="5"/>
  <c r="BM300" i="5" s="1"/>
  <c r="BH35" i="5"/>
  <c r="BM35" i="5" s="1"/>
  <c r="BH509" i="5"/>
  <c r="BM509" i="5" s="1"/>
  <c r="BH377" i="5"/>
  <c r="BM377" i="5" s="1"/>
  <c r="BH44" i="5"/>
  <c r="BM44" i="5" s="1"/>
  <c r="BH351" i="5"/>
  <c r="BM351" i="5" s="1"/>
  <c r="BG388" i="5"/>
  <c r="BL388" i="5" s="1"/>
  <c r="BG486" i="5"/>
  <c r="BL486" i="5" s="1"/>
  <c r="BG375" i="5"/>
  <c r="BL375" i="5" s="1"/>
  <c r="BG239" i="5"/>
  <c r="BL239" i="5" s="1"/>
  <c r="BH58" i="5"/>
  <c r="BM58" i="5" s="1"/>
  <c r="BH336" i="5"/>
  <c r="BM336" i="5" s="1"/>
  <c r="BH463" i="5"/>
  <c r="BM463" i="5" s="1"/>
  <c r="BH320" i="5"/>
  <c r="BM320" i="5" s="1"/>
  <c r="BG175" i="5"/>
  <c r="BL175" i="5" s="1"/>
  <c r="BG455" i="5"/>
  <c r="BL455" i="5" s="1"/>
  <c r="BH10" i="5"/>
  <c r="BH340" i="5"/>
  <c r="BM340" i="5" s="1"/>
  <c r="BH355" i="5"/>
  <c r="BM355" i="5" s="1"/>
  <c r="BG497" i="5"/>
  <c r="BL497" i="5" s="1"/>
  <c r="BG272" i="5"/>
  <c r="BL272" i="5" s="1"/>
  <c r="BH12" i="5"/>
  <c r="BM12" i="5" s="1"/>
  <c r="BG380" i="5"/>
  <c r="BL380" i="5" s="1"/>
  <c r="BH266" i="5"/>
  <c r="BM266" i="5" s="1"/>
  <c r="BH391" i="5"/>
  <c r="BM391" i="5" s="1"/>
  <c r="BG542" i="5"/>
  <c r="BL542" i="5" s="1"/>
  <c r="BG526" i="5"/>
  <c r="BL526" i="5" s="1"/>
  <c r="BH226" i="5"/>
  <c r="BM226" i="5" s="1"/>
  <c r="BH505" i="5"/>
  <c r="BM505" i="5" s="1"/>
  <c r="BH402" i="5"/>
  <c r="BM402" i="5" s="1"/>
  <c r="BH186" i="5"/>
  <c r="BM186" i="5" s="1"/>
  <c r="BH34" i="5"/>
  <c r="BM34" i="5" s="1"/>
  <c r="BG383" i="5"/>
  <c r="BL383" i="5" s="1"/>
  <c r="BH406" i="5"/>
  <c r="BM406" i="5" s="1"/>
  <c r="BH335" i="5"/>
  <c r="BM335" i="5" s="1"/>
  <c r="BH345" i="5"/>
  <c r="BM345" i="5" s="1"/>
  <c r="BH276" i="5"/>
  <c r="BM276" i="5" s="1"/>
  <c r="BH397" i="5"/>
  <c r="BM397" i="5" s="1"/>
  <c r="BH349" i="5"/>
  <c r="BM349" i="5" s="1"/>
  <c r="BG478" i="5"/>
  <c r="BL478" i="5" s="1"/>
  <c r="AE9" i="5"/>
  <c r="BG318" i="5"/>
  <c r="BL318" i="5" s="1"/>
  <c r="BG367" i="5"/>
  <c r="BL367" i="5" s="1"/>
  <c r="BH425" i="5"/>
  <c r="BM425" i="5" s="1"/>
  <c r="BG363" i="5"/>
  <c r="BL363" i="5" s="1"/>
  <c r="BG521" i="5"/>
  <c r="BL521" i="5" s="1"/>
  <c r="BG560" i="5"/>
  <c r="BL560" i="5" s="1"/>
  <c r="BG405" i="5"/>
  <c r="BL405" i="5" s="1"/>
  <c r="B207" i="2"/>
  <c r="B237" i="2" s="1"/>
  <c r="F72" i="1" s="1"/>
  <c r="BG390" i="5"/>
  <c r="BL390" i="5" s="1"/>
  <c r="BH38" i="5"/>
  <c r="BM38" i="5" s="1"/>
  <c r="BH347" i="5"/>
  <c r="BM347" i="5" s="1"/>
  <c r="BG255" i="5"/>
  <c r="BL255" i="5" s="1"/>
  <c r="BH470" i="5"/>
  <c r="BM470" i="5" s="1"/>
  <c r="BH148" i="5"/>
  <c r="BM148" i="5" s="1"/>
  <c r="BG298" i="5"/>
  <c r="BL298" i="5" s="1"/>
  <c r="BG485" i="5"/>
  <c r="BL485" i="5" s="1"/>
  <c r="BG443" i="5"/>
  <c r="BL443" i="5" s="1"/>
  <c r="BH507" i="5"/>
  <c r="BM507" i="5" s="1"/>
  <c r="BH440" i="5"/>
  <c r="BM440" i="5" s="1"/>
  <c r="BH250" i="5"/>
  <c r="BM250" i="5" s="1"/>
  <c r="BG288" i="5"/>
  <c r="BL288" i="5" s="1"/>
  <c r="BG150" i="5"/>
  <c r="BL150" i="5" s="1"/>
  <c r="BG131" i="5"/>
  <c r="BL131" i="5" s="1"/>
  <c r="BH331" i="5"/>
  <c r="BM331" i="5" s="1"/>
  <c r="BG107" i="5"/>
  <c r="BL107" i="5" s="1"/>
  <c r="BG268" i="5"/>
  <c r="BL268" i="5" s="1"/>
  <c r="BG473" i="5"/>
  <c r="BL473" i="5" s="1"/>
  <c r="BH491" i="5"/>
  <c r="BM491" i="5" s="1"/>
  <c r="BG97" i="5"/>
  <c r="BL97" i="5" s="1"/>
  <c r="BG323" i="5"/>
  <c r="BL323" i="5" s="1"/>
  <c r="BG163" i="5"/>
  <c r="BL163" i="5" s="1"/>
  <c r="BG282" i="5"/>
  <c r="BL282" i="5" s="1"/>
  <c r="BG289" i="5"/>
  <c r="BL289" i="5" s="1"/>
  <c r="BG417" i="5"/>
  <c r="BL417" i="5" s="1"/>
  <c r="BH488" i="5"/>
  <c r="BM488" i="5" s="1"/>
  <c r="BH321" i="5"/>
  <c r="BM321" i="5" s="1"/>
  <c r="BH324" i="5"/>
  <c r="BM324" i="5" s="1"/>
  <c r="BH115" i="5"/>
  <c r="BM115" i="5" s="1"/>
  <c r="BG482" i="5"/>
  <c r="BL482" i="5" s="1"/>
  <c r="BG111" i="5"/>
  <c r="BL111" i="5" s="1"/>
  <c r="BH211" i="5"/>
  <c r="BM211" i="5" s="1"/>
  <c r="BH102" i="5"/>
  <c r="BM102" i="5" s="1"/>
  <c r="BG264" i="5"/>
  <c r="BL264" i="5" s="1"/>
  <c r="BG76" i="5"/>
  <c r="BL76" i="5" s="1"/>
  <c r="BG452" i="5"/>
  <c r="BL452" i="5" s="1"/>
  <c r="BH99" i="5"/>
  <c r="BM99" i="5" s="1"/>
  <c r="BG85" i="5"/>
  <c r="BL85" i="5" s="1"/>
  <c r="BH259" i="5"/>
  <c r="BM259" i="5" s="1"/>
  <c r="BG409" i="5"/>
  <c r="BL409" i="5" s="1"/>
  <c r="BH370" i="5"/>
  <c r="BM370" i="5" s="1"/>
  <c r="BH532" i="5"/>
  <c r="BM532" i="5" s="1"/>
  <c r="BG449" i="5"/>
  <c r="BL449" i="5" s="1"/>
  <c r="BH534" i="5"/>
  <c r="BM534" i="5" s="1"/>
  <c r="BG37" i="5"/>
  <c r="BL37" i="5" s="1"/>
  <c r="BH436" i="5"/>
  <c r="BM436" i="5" s="1"/>
  <c r="BG29" i="5"/>
  <c r="BL29" i="5" s="1"/>
  <c r="BH530" i="5"/>
  <c r="BM530" i="5" s="1"/>
  <c r="BH410" i="5"/>
  <c r="BM410" i="5" s="1"/>
  <c r="BH197" i="5"/>
  <c r="BM197" i="5" s="1"/>
  <c r="BG64" i="5"/>
  <c r="BL64" i="5" s="1"/>
  <c r="BH516" i="5"/>
  <c r="BM516" i="5" s="1"/>
  <c r="BH296" i="5"/>
  <c r="BM296" i="5" s="1"/>
  <c r="BG494" i="5"/>
  <c r="BL494" i="5" s="1"/>
  <c r="BH45" i="5"/>
  <c r="BM45" i="5" s="1"/>
  <c r="BH94" i="5"/>
  <c r="BM94" i="5" s="1"/>
  <c r="BH472" i="5"/>
  <c r="BM472" i="5" s="1"/>
  <c r="BG472" i="5"/>
  <c r="BL472" i="5" s="1"/>
  <c r="BG416" i="5"/>
  <c r="BL416" i="5" s="1"/>
  <c r="BH313" i="5"/>
  <c r="BM313" i="5" s="1"/>
  <c r="BG219" i="5"/>
  <c r="BL219" i="5" s="1"/>
  <c r="BH439" i="5"/>
  <c r="BM439" i="5" s="1"/>
  <c r="BH326" i="5"/>
  <c r="BM326" i="5" s="1"/>
  <c r="BG513" i="5"/>
  <c r="BL513" i="5" s="1"/>
  <c r="BG549" i="5"/>
  <c r="BL549" i="5" s="1"/>
  <c r="BH53" i="5"/>
  <c r="BM53" i="5" s="1"/>
  <c r="BH154" i="5"/>
  <c r="BM154" i="5" s="1"/>
  <c r="BH551" i="5"/>
  <c r="BM551" i="5" s="1"/>
  <c r="BG546" i="5"/>
  <c r="BL546" i="5" s="1"/>
  <c r="BH325" i="5"/>
  <c r="BM325" i="5" s="1"/>
  <c r="BG325" i="5"/>
  <c r="BL325" i="5" s="1"/>
  <c r="BH237" i="5"/>
  <c r="BM237" i="5" s="1"/>
  <c r="BG130" i="5"/>
  <c r="BL130" i="5" s="1"/>
  <c r="BH385" i="5"/>
  <c r="BM385" i="5" s="1"/>
  <c r="BG22" i="5"/>
  <c r="BL22" i="5" s="1"/>
  <c r="BH396" i="5"/>
  <c r="BM396" i="5" s="1"/>
  <c r="BH555" i="5"/>
  <c r="BM555" i="5" s="1"/>
  <c r="BH235" i="5"/>
  <c r="BM235" i="5" s="1"/>
  <c r="BE9" i="5"/>
  <c r="BD9" i="5"/>
  <c r="BG273" i="5"/>
  <c r="BL273" i="5" s="1"/>
  <c r="BG194" i="5"/>
  <c r="BL194" i="5" s="1"/>
  <c r="BH329" i="5"/>
  <c r="BM329" i="5" s="1"/>
  <c r="BH343" i="5"/>
  <c r="BM343" i="5" s="1"/>
  <c r="BH403" i="5"/>
  <c r="BM403" i="5" s="1"/>
  <c r="BG524" i="5"/>
  <c r="BL524" i="5" s="1"/>
  <c r="BH77" i="5"/>
  <c r="BM77" i="5" s="1"/>
  <c r="BG382" i="5"/>
  <c r="BL382" i="5" s="1"/>
  <c r="BG522" i="5"/>
  <c r="BL522" i="5" s="1"/>
  <c r="BH362" i="5"/>
  <c r="BM362" i="5" s="1"/>
  <c r="BG25" i="5"/>
  <c r="BL25" i="5" s="1"/>
  <c r="BH93" i="5"/>
  <c r="BM93" i="5" s="1"/>
  <c r="BH330" i="5"/>
  <c r="BM330" i="5" s="1"/>
  <c r="BG458" i="5"/>
  <c r="BL458" i="5" s="1"/>
  <c r="BG381" i="5"/>
  <c r="BL381" i="5" s="1"/>
  <c r="BH50" i="5"/>
  <c r="BM50" i="5" s="1"/>
  <c r="BG203" i="5"/>
  <c r="BL203" i="5" s="1"/>
  <c r="BH132" i="5"/>
  <c r="BM132" i="5" s="1"/>
  <c r="BH159" i="5"/>
  <c r="BM159" i="5" s="1"/>
  <c r="BH83" i="5"/>
  <c r="BM83" i="5" s="1"/>
  <c r="BH457" i="5"/>
  <c r="BM457" i="5" s="1"/>
  <c r="BG205" i="5"/>
  <c r="BL205" i="5" s="1"/>
  <c r="BH328" i="5"/>
  <c r="BM328" i="5" s="1"/>
  <c r="BG191" i="5"/>
  <c r="BL191" i="5" s="1"/>
  <c r="BG523" i="5"/>
  <c r="BL523" i="5" s="1"/>
  <c r="BG354" i="5"/>
  <c r="BL354" i="5" s="1"/>
  <c r="BG161" i="5"/>
  <c r="BL161" i="5" s="1"/>
  <c r="BH481" i="5"/>
  <c r="BM481" i="5" s="1"/>
  <c r="BH233" i="5"/>
  <c r="BM233" i="5" s="1"/>
  <c r="BG359" i="5"/>
  <c r="BL359" i="5" s="1"/>
  <c r="BH127" i="5"/>
  <c r="BM127" i="5" s="1"/>
  <c r="BG438" i="5"/>
  <c r="BL438" i="5" s="1"/>
  <c r="BH278" i="5"/>
  <c r="BM278" i="5" s="1"/>
  <c r="BG399" i="5"/>
  <c r="BL399" i="5" s="1"/>
  <c r="BH244" i="5"/>
  <c r="BM244" i="5" s="1"/>
  <c r="BG460" i="5"/>
  <c r="BL460" i="5" s="1"/>
  <c r="BH469" i="5"/>
  <c r="BM469" i="5" s="1"/>
  <c r="BH432" i="5"/>
  <c r="BM432" i="5" s="1"/>
  <c r="BG204" i="5"/>
  <c r="BL204" i="5" s="1"/>
  <c r="BG212" i="5"/>
  <c r="BL212" i="5" s="1"/>
  <c r="BH19" i="5"/>
  <c r="BM19" i="5" s="1"/>
  <c r="BH342" i="5"/>
  <c r="BM342" i="5" s="1"/>
  <c r="BG333" i="5"/>
  <c r="BL333" i="5" s="1"/>
  <c r="BG379" i="5"/>
  <c r="BL379" i="5" s="1"/>
  <c r="BG356" i="5"/>
  <c r="BL356" i="5" s="1"/>
  <c r="BH135" i="5"/>
  <c r="BM135" i="5" s="1"/>
  <c r="BH271" i="5"/>
  <c r="BM271" i="5" s="1"/>
  <c r="BG220" i="5"/>
  <c r="BL220" i="5" s="1"/>
  <c r="BH559" i="5"/>
  <c r="BM559" i="5" s="1"/>
  <c r="BH230" i="5"/>
  <c r="BM230" i="5" s="1"/>
  <c r="BG20" i="5"/>
  <c r="BL20" i="5" s="1"/>
  <c r="BG75" i="5"/>
  <c r="BL75" i="5" s="1"/>
  <c r="BH533" i="5"/>
  <c r="BM533" i="5" s="1"/>
  <c r="BH277" i="5"/>
  <c r="BM277" i="5" s="1"/>
  <c r="BH545" i="5"/>
  <c r="BM545" i="5" s="1"/>
  <c r="BG371" i="5"/>
  <c r="BL371" i="5" s="1"/>
  <c r="BG48" i="5"/>
  <c r="BL48" i="5" s="1"/>
  <c r="BH139" i="5"/>
  <c r="BM139" i="5" s="1"/>
  <c r="BH114" i="5"/>
  <c r="BM114" i="5" s="1"/>
  <c r="BG229" i="5"/>
  <c r="BL229" i="5" s="1"/>
  <c r="BH453" i="5"/>
  <c r="BM453" i="5" s="1"/>
  <c r="BH198" i="5"/>
  <c r="BM198" i="5" s="1"/>
  <c r="BH477" i="5"/>
  <c r="BM477" i="5" s="1"/>
  <c r="BG65" i="5"/>
  <c r="BL65" i="5" s="1"/>
  <c r="BH90" i="5"/>
  <c r="BM90" i="5" s="1"/>
  <c r="BG257" i="5"/>
  <c r="BL257" i="5" s="1"/>
  <c r="BH103" i="5"/>
  <c r="BM103" i="5" s="1"/>
  <c r="BH426" i="5"/>
  <c r="BM426" i="5" s="1"/>
  <c r="BH92" i="5"/>
  <c r="BM92" i="5" s="1"/>
  <c r="BG190" i="5"/>
  <c r="BL190" i="5" s="1"/>
  <c r="BH294" i="5"/>
  <c r="BM294" i="5" s="1"/>
  <c r="BH265" i="5"/>
  <c r="BM265" i="5" s="1"/>
  <c r="BG125" i="5"/>
  <c r="BL125" i="5" s="1"/>
  <c r="BG119" i="5"/>
  <c r="BL119" i="5" s="1"/>
  <c r="BH445" i="5"/>
  <c r="BM445" i="5" s="1"/>
  <c r="BH166" i="5"/>
  <c r="BM166" i="5" s="1"/>
  <c r="BH95" i="5"/>
  <c r="BM95" i="5" s="1"/>
  <c r="BH47" i="5"/>
  <c r="BM47" i="5" s="1"/>
  <c r="BG195" i="5"/>
  <c r="BL195" i="5" s="1"/>
  <c r="BG369" i="5"/>
  <c r="BL369" i="5" s="1"/>
  <c r="BH164" i="5"/>
  <c r="BM164" i="5" s="1"/>
  <c r="BH350" i="5"/>
  <c r="BM350" i="5" s="1"/>
  <c r="BH91" i="5"/>
  <c r="BM91" i="5" s="1"/>
  <c r="BH309" i="5"/>
  <c r="BM309" i="5" s="1"/>
  <c r="BH401" i="5"/>
  <c r="BM401" i="5" s="1"/>
  <c r="BG464" i="5"/>
  <c r="BL464" i="5" s="1"/>
  <c r="BH441" i="5"/>
  <c r="BM441" i="5" s="1"/>
  <c r="BG543" i="5"/>
  <c r="BL543" i="5" s="1"/>
  <c r="BH143" i="5"/>
  <c r="BM143" i="5" s="1"/>
  <c r="BG149" i="5"/>
  <c r="BL149" i="5" s="1"/>
  <c r="BH172" i="5"/>
  <c r="BM172" i="5" s="1"/>
  <c r="BG129" i="5"/>
  <c r="BL129" i="5" s="1"/>
  <c r="BG41" i="5"/>
  <c r="BL41" i="5" s="1"/>
  <c r="BH269" i="5"/>
  <c r="BM269" i="5" s="1"/>
  <c r="BH270" i="5"/>
  <c r="BM270" i="5" s="1"/>
  <c r="BH59" i="5"/>
  <c r="BM59" i="5" s="1"/>
  <c r="BG428" i="5"/>
  <c r="BL428" i="5" s="1"/>
  <c r="BH428" i="5"/>
  <c r="BM428" i="5" s="1"/>
  <c r="BH368" i="5"/>
  <c r="BM368" i="5" s="1"/>
  <c r="BG429" i="5"/>
  <c r="BL429" i="5" s="1"/>
  <c r="BH30" i="5"/>
  <c r="BM30" i="5" s="1"/>
  <c r="BH334" i="5"/>
  <c r="BM334" i="5" s="1"/>
  <c r="BG334" i="5"/>
  <c r="BL334" i="5" s="1"/>
  <c r="BG72" i="5"/>
  <c r="BL72" i="5" s="1"/>
  <c r="BH72" i="5"/>
  <c r="BM72" i="5" s="1"/>
  <c r="BG209" i="5"/>
  <c r="BL209" i="5" s="1"/>
  <c r="BH209" i="5"/>
  <c r="BM209" i="5" s="1"/>
  <c r="BH39" i="5"/>
  <c r="BM39" i="5" s="1"/>
  <c r="BG327" i="5"/>
  <c r="BL327" i="5" s="1"/>
  <c r="BH558" i="5"/>
  <c r="BM558" i="5" s="1"/>
  <c r="BG461" i="5"/>
  <c r="BL461" i="5" s="1"/>
  <c r="BH461" i="5"/>
  <c r="BM461" i="5" s="1"/>
  <c r="BG82" i="5"/>
  <c r="BL82" i="5" s="1"/>
  <c r="BH187" i="5"/>
  <c r="BM187" i="5" s="1"/>
  <c r="BG193" i="5"/>
  <c r="BL193" i="5" s="1"/>
  <c r="BG315" i="5"/>
  <c r="BL315" i="5" s="1"/>
  <c r="BH511" i="5"/>
  <c r="BM511" i="5" s="1"/>
  <c r="BH466" i="5"/>
  <c r="BM466" i="5" s="1"/>
  <c r="BG52" i="5"/>
  <c r="BL52" i="5" s="1"/>
  <c r="BH52" i="5"/>
  <c r="BM52" i="5" s="1"/>
  <c r="BG87" i="5"/>
  <c r="BL87" i="5" s="1"/>
  <c r="BG232" i="5"/>
  <c r="BL232" i="5" s="1"/>
  <c r="BH444" i="5"/>
  <c r="BM444" i="5" s="1"/>
  <c r="BG444" i="5"/>
  <c r="BL444" i="5" s="1"/>
  <c r="BH153" i="5"/>
  <c r="BM153" i="5" s="1"/>
  <c r="BG153" i="5"/>
  <c r="BL153" i="5" s="1"/>
  <c r="BH156" i="5"/>
  <c r="BM156" i="5" s="1"/>
  <c r="BG156" i="5"/>
  <c r="BL156" i="5" s="1"/>
  <c r="BG303" i="5"/>
  <c r="BL303" i="5" s="1"/>
  <c r="BH483" i="5"/>
  <c r="BM483" i="5" s="1"/>
  <c r="BH531" i="5"/>
  <c r="BM531" i="5" s="1"/>
  <c r="BH79" i="5"/>
  <c r="BM79" i="5" s="1"/>
  <c r="BG79" i="5"/>
  <c r="BL79" i="5" s="1"/>
  <c r="BG89" i="5"/>
  <c r="BL89" i="5" s="1"/>
  <c r="BH89" i="5"/>
  <c r="BM89" i="5" s="1"/>
  <c r="BH36" i="5"/>
  <c r="BM36" i="5" s="1"/>
  <c r="BH138" i="5"/>
  <c r="BM138" i="5" s="1"/>
  <c r="BH180" i="5"/>
  <c r="BM180" i="5" s="1"/>
  <c r="BG196" i="5"/>
  <c r="BL196" i="5" s="1"/>
  <c r="BH158" i="5"/>
  <c r="BM158" i="5" s="1"/>
  <c r="BG136" i="5"/>
  <c r="BL136" i="5" s="1"/>
  <c r="BG185" i="5"/>
  <c r="BL185" i="5" s="1"/>
  <c r="BG42" i="5"/>
  <c r="BL42" i="5" s="1"/>
  <c r="BH459" i="5"/>
  <c r="BM459" i="5" s="1"/>
  <c r="BH525" i="5"/>
  <c r="BM525" i="5" s="1"/>
  <c r="BG361" i="5"/>
  <c r="BL361" i="5" s="1"/>
  <c r="BG240" i="5"/>
  <c r="BL240" i="5" s="1"/>
  <c r="BG465" i="5"/>
  <c r="BL465" i="5" s="1"/>
  <c r="BH465" i="5"/>
  <c r="BM465" i="5" s="1"/>
  <c r="BH228" i="5"/>
  <c r="BM228" i="5" s="1"/>
  <c r="BG228" i="5"/>
  <c r="BL228" i="5" s="1"/>
  <c r="BG177" i="5"/>
  <c r="BL177" i="5" s="1"/>
  <c r="BH177" i="5"/>
  <c r="BM177" i="5" s="1"/>
  <c r="BH60" i="5"/>
  <c r="BM60" i="5" s="1"/>
  <c r="BG60" i="5"/>
  <c r="BL60" i="5" s="1"/>
  <c r="BH124" i="5"/>
  <c r="BM124" i="5" s="1"/>
  <c r="BH222" i="5"/>
  <c r="BM222" i="5" s="1"/>
  <c r="BG435" i="5"/>
  <c r="BL435" i="5" s="1"/>
  <c r="BH435" i="5"/>
  <c r="BM435" i="5" s="1"/>
  <c r="BH274" i="5"/>
  <c r="BM274" i="5" s="1"/>
  <c r="BG274" i="5"/>
  <c r="BL274" i="5" s="1"/>
  <c r="BH387" i="5"/>
  <c r="BM387" i="5" s="1"/>
  <c r="BG431" i="5"/>
  <c r="BL431" i="5" s="1"/>
  <c r="BH55" i="5"/>
  <c r="BM55" i="5" s="1"/>
  <c r="BH208" i="5"/>
  <c r="BM208" i="5" s="1"/>
  <c r="BH112" i="5"/>
  <c r="BM112" i="5" s="1"/>
  <c r="BH225" i="5"/>
  <c r="BM225" i="5" s="1"/>
  <c r="BH84" i="5"/>
  <c r="BM84" i="5" s="1"/>
  <c r="BG236" i="5"/>
  <c r="BL236" i="5" s="1"/>
  <c r="BH224" i="5"/>
  <c r="BM224" i="5" s="1"/>
  <c r="BG539" i="5"/>
  <c r="BL539" i="5" s="1"/>
  <c r="BH539" i="5"/>
  <c r="BM539" i="5" s="1"/>
  <c r="BH420" i="5"/>
  <c r="BM420" i="5" s="1"/>
  <c r="BG420" i="5"/>
  <c r="BL420" i="5" s="1"/>
  <c r="BG262" i="5"/>
  <c r="BL262" i="5" s="1"/>
  <c r="BH262" i="5"/>
  <c r="BM262" i="5" s="1"/>
  <c r="BH304" i="5"/>
  <c r="BM304" i="5" s="1"/>
  <c r="BG306" i="5"/>
  <c r="BL306" i="5" s="1"/>
  <c r="BH74" i="5"/>
  <c r="BM74" i="5" s="1"/>
  <c r="BG245" i="5"/>
  <c r="BL245" i="5" s="1"/>
  <c r="BH519" i="5"/>
  <c r="BM519" i="5" s="1"/>
  <c r="BG374" i="5"/>
  <c r="BL374" i="5" s="1"/>
  <c r="BH86" i="5"/>
  <c r="BM86" i="5" s="1"/>
  <c r="BG86" i="5"/>
  <c r="BL86" i="5" s="1"/>
  <c r="BH293" i="5"/>
  <c r="BM293" i="5" s="1"/>
  <c r="BG293" i="5"/>
  <c r="BL293" i="5" s="1"/>
  <c r="BG106" i="5"/>
  <c r="BL106" i="5" s="1"/>
  <c r="BH322" i="5"/>
  <c r="BM322" i="5" s="1"/>
  <c r="BH120" i="5"/>
  <c r="BM120" i="5" s="1"/>
  <c r="BG67" i="5"/>
  <c r="BL67" i="5" s="1"/>
  <c r="BH527" i="5"/>
  <c r="BM527" i="5" s="1"/>
  <c r="BG527" i="5"/>
  <c r="BL527" i="5" s="1"/>
  <c r="BG358" i="5"/>
  <c r="BL358" i="5" s="1"/>
  <c r="BH358" i="5"/>
  <c r="BM358" i="5" s="1"/>
  <c r="BG31" i="5"/>
  <c r="BL31" i="5" s="1"/>
  <c r="BH31" i="5"/>
  <c r="BM31" i="5" s="1"/>
  <c r="BH167" i="5"/>
  <c r="BM167" i="5" s="1"/>
  <c r="BG167" i="5"/>
  <c r="BL167" i="5" s="1"/>
  <c r="BH297" i="5"/>
  <c r="BM297" i="5" s="1"/>
  <c r="BH121" i="5"/>
  <c r="BM121" i="5" s="1"/>
  <c r="BH26" i="5"/>
  <c r="BM26" i="5" s="1"/>
  <c r="BG26" i="5"/>
  <c r="BL26" i="5" s="1"/>
  <c r="BG348" i="5"/>
  <c r="BL348" i="5" s="1"/>
  <c r="BH348" i="5"/>
  <c r="BM348" i="5" s="1"/>
  <c r="BH423" i="5"/>
  <c r="BM423" i="5" s="1"/>
  <c r="BG423" i="5"/>
  <c r="BL423" i="5" s="1"/>
  <c r="BH23" i="5"/>
  <c r="BM23" i="5" s="1"/>
  <c r="BG23" i="5"/>
  <c r="BL23" i="5" s="1"/>
  <c r="BH312" i="5"/>
  <c r="BM312" i="5" s="1"/>
  <c r="BG312" i="5"/>
  <c r="BL312" i="5" s="1"/>
  <c r="BG246" i="5"/>
  <c r="BL246" i="5" s="1"/>
  <c r="BH246" i="5"/>
  <c r="BM246" i="5" s="1"/>
  <c r="BH437" i="5"/>
  <c r="BM437" i="5" s="1"/>
  <c r="BG535" i="5"/>
  <c r="BL535" i="5" s="1"/>
  <c r="BH535" i="5"/>
  <c r="BM535" i="5" s="1"/>
  <c r="BH415" i="5"/>
  <c r="BM415" i="5" s="1"/>
  <c r="BG415" i="5"/>
  <c r="BL415" i="5" s="1"/>
  <c r="BH104" i="5"/>
  <c r="BM104" i="5" s="1"/>
  <c r="BG104" i="5"/>
  <c r="BL104" i="5" s="1"/>
  <c r="BH210" i="5"/>
  <c r="BM210" i="5" s="1"/>
  <c r="BG210" i="5"/>
  <c r="BL210" i="5" s="1"/>
  <c r="BG168" i="5"/>
  <c r="BL168" i="5" s="1"/>
  <c r="BH168" i="5"/>
  <c r="BM168" i="5" s="1"/>
  <c r="BH242" i="5"/>
  <c r="BM242" i="5" s="1"/>
  <c r="BG284" i="5"/>
  <c r="BL284" i="5" s="1"/>
  <c r="BH284" i="5"/>
  <c r="BM284" i="5" s="1"/>
  <c r="BH314" i="5"/>
  <c r="BM314" i="5" s="1"/>
  <c r="BG419" i="5"/>
  <c r="BL419" i="5" s="1"/>
  <c r="BG261" i="5"/>
  <c r="BL261" i="5" s="1"/>
  <c r="BH291" i="5"/>
  <c r="BM291" i="5" s="1"/>
  <c r="BH287" i="5"/>
  <c r="BM287" i="5" s="1"/>
  <c r="BG295" i="5"/>
  <c r="BL295" i="5" s="1"/>
  <c r="BH295" i="5"/>
  <c r="BM295" i="5" s="1"/>
  <c r="BH400" i="5"/>
  <c r="BM400" i="5" s="1"/>
  <c r="BG400" i="5"/>
  <c r="BL400" i="5" s="1"/>
  <c r="BH199" i="5"/>
  <c r="BM199" i="5" s="1"/>
  <c r="BG199" i="5"/>
  <c r="BL199" i="5" s="1"/>
  <c r="BG552" i="5"/>
  <c r="BL552" i="5" s="1"/>
  <c r="BG68" i="5"/>
  <c r="BL68" i="5" s="1"/>
  <c r="BH68" i="5"/>
  <c r="BM68" i="5" s="1"/>
  <c r="BG73" i="5"/>
  <c r="BL73" i="5" s="1"/>
  <c r="BH73" i="5"/>
  <c r="BM73" i="5" s="1"/>
  <c r="BH165" i="5"/>
  <c r="BM165" i="5" s="1"/>
  <c r="BG165" i="5"/>
  <c r="BL165" i="5" s="1"/>
  <c r="BG80" i="5"/>
  <c r="BL80" i="5" s="1"/>
  <c r="BH80" i="5"/>
  <c r="BM80" i="5" s="1"/>
  <c r="BH285" i="5"/>
  <c r="BM285" i="5" s="1"/>
  <c r="BG285" i="5"/>
  <c r="BL285" i="5" s="1"/>
  <c r="BH254" i="5"/>
  <c r="BM254" i="5" s="1"/>
  <c r="BG254" i="5"/>
  <c r="BL254" i="5" s="1"/>
  <c r="BG170" i="5"/>
  <c r="BL170" i="5" s="1"/>
  <c r="BH170" i="5"/>
  <c r="BM170" i="5" s="1"/>
  <c r="BG474" i="5"/>
  <c r="BL474" i="5" s="1"/>
  <c r="BH474" i="5"/>
  <c r="BM474" i="5" s="1"/>
  <c r="BG292" i="5"/>
  <c r="BL292" i="5" s="1"/>
  <c r="BH28" i="5"/>
  <c r="BM28" i="5" s="1"/>
  <c r="BG28" i="5"/>
  <c r="BL28" i="5" s="1"/>
  <c r="BG40" i="5"/>
  <c r="BL40" i="5" s="1"/>
  <c r="BH40" i="5"/>
  <c r="BM40" i="5" s="1"/>
  <c r="BH302" i="5"/>
  <c r="BM302" i="5" s="1"/>
  <c r="BH140" i="5"/>
  <c r="BM140" i="5" s="1"/>
  <c r="BH529" i="5"/>
  <c r="BM529" i="5" s="1"/>
  <c r="BG529" i="5"/>
  <c r="BL529" i="5" s="1"/>
  <c r="BG518" i="5"/>
  <c r="BL518" i="5" s="1"/>
  <c r="BH518" i="5"/>
  <c r="BM518" i="5" s="1"/>
  <c r="BG122" i="5"/>
  <c r="BL122" i="5" s="1"/>
  <c r="BH122" i="5"/>
  <c r="BM122" i="5" s="1"/>
  <c r="BH404" i="5"/>
  <c r="BM404" i="5" s="1"/>
  <c r="BG476" i="5"/>
  <c r="BL476" i="5" s="1"/>
  <c r="BH476" i="5"/>
  <c r="BM476" i="5" s="1"/>
  <c r="BH101" i="5"/>
  <c r="BM101" i="5" s="1"/>
  <c r="BG101" i="5"/>
  <c r="BL101" i="5" s="1"/>
  <c r="BG181" i="5"/>
  <c r="BL181" i="5" s="1"/>
  <c r="BH181" i="5"/>
  <c r="BM181" i="5" s="1"/>
  <c r="BH221" i="5"/>
  <c r="BM221" i="5" s="1"/>
  <c r="BH24" i="5"/>
  <c r="BM24" i="5" s="1"/>
  <c r="BH263" i="5"/>
  <c r="BM263" i="5" s="1"/>
  <c r="BH544" i="5"/>
  <c r="BM544" i="5" s="1"/>
  <c r="BG544" i="5"/>
  <c r="BL544" i="5" s="1"/>
  <c r="BH155" i="5"/>
  <c r="BM155" i="5" s="1"/>
  <c r="BG155" i="5"/>
  <c r="BL155" i="5" s="1"/>
  <c r="BG123" i="5"/>
  <c r="BL123" i="5" s="1"/>
  <c r="BH123" i="5"/>
  <c r="BM123" i="5" s="1"/>
  <c r="BG398" i="5"/>
  <c r="BL398" i="5" s="1"/>
  <c r="BH398" i="5"/>
  <c r="BM398" i="5" s="1"/>
  <c r="BH503" i="5"/>
  <c r="BM503" i="5" s="1"/>
  <c r="BG503" i="5"/>
  <c r="BL503" i="5" s="1"/>
  <c r="BH133" i="5"/>
  <c r="BM133" i="5" s="1"/>
  <c r="BH316" i="5"/>
  <c r="BM316" i="5" s="1"/>
  <c r="BG407" i="5"/>
  <c r="BL407" i="5" s="1"/>
  <c r="BH407" i="5"/>
  <c r="BM407" i="5" s="1"/>
  <c r="BH56" i="5"/>
  <c r="BM56" i="5" s="1"/>
  <c r="BG56" i="5"/>
  <c r="BL56" i="5" s="1"/>
  <c r="BH386" i="5"/>
  <c r="BM386" i="5" s="1"/>
  <c r="BG386" i="5"/>
  <c r="BL386" i="5" s="1"/>
  <c r="BH346" i="5"/>
  <c r="BM346" i="5" s="1"/>
  <c r="BG346" i="5"/>
  <c r="BL346" i="5" s="1"/>
  <c r="BG176" i="5"/>
  <c r="BL176" i="5" s="1"/>
  <c r="BH176" i="5"/>
  <c r="BM176" i="5" s="1"/>
  <c r="BG98" i="5"/>
  <c r="BL98" i="5" s="1"/>
  <c r="BH98" i="5"/>
  <c r="BM98" i="5" s="1"/>
  <c r="BG307" i="5"/>
  <c r="BL307" i="5" s="1"/>
  <c r="BH307" i="5"/>
  <c r="BM307" i="5" s="1"/>
  <c r="BH243" i="5"/>
  <c r="BM243" i="5" s="1"/>
  <c r="BG243" i="5"/>
  <c r="BL243" i="5" s="1"/>
  <c r="AO72" i="4" l="1"/>
  <c r="AR72" i="4" s="1"/>
  <c r="AT72" i="4" s="1"/>
  <c r="AC72" i="4"/>
  <c r="AD72" i="4" s="1"/>
  <c r="AF137" i="4"/>
  <c r="AO137" i="4" s="1"/>
  <c r="AG114" i="4"/>
  <c r="AI114" i="4" s="1"/>
  <c r="AR114" i="4" s="1"/>
  <c r="AT114" i="4" s="1"/>
  <c r="AF148" i="4"/>
  <c r="AG148" i="4" s="1"/>
  <c r="AI148" i="4" s="1"/>
  <c r="AF107" i="4"/>
  <c r="AO107" i="4" s="1"/>
  <c r="BH11" i="5"/>
  <c r="BM11" i="5" s="1"/>
  <c r="AF153" i="4"/>
  <c r="AO153" i="4" s="1"/>
  <c r="AF136" i="4"/>
  <c r="AG136" i="4" s="1"/>
  <c r="AI136" i="4" s="1"/>
  <c r="BJ11" i="5"/>
  <c r="AC97" i="4"/>
  <c r="AD97" i="4" s="1"/>
  <c r="AF118" i="4"/>
  <c r="AO118" i="4" s="1"/>
  <c r="AC59" i="4"/>
  <c r="AD59" i="4" s="1"/>
  <c r="AC94" i="4"/>
  <c r="AD94" i="4" s="1"/>
  <c r="AF131" i="4"/>
  <c r="AO131" i="4" s="1"/>
  <c r="AF124" i="4"/>
  <c r="AG124" i="4" s="1"/>
  <c r="AI124" i="4" s="1"/>
  <c r="AG94" i="4"/>
  <c r="AI94" i="4" s="1"/>
  <c r="AR94" i="4" s="1"/>
  <c r="AT94" i="4" s="1"/>
  <c r="AF147" i="4"/>
  <c r="AO147" i="4" s="1"/>
  <c r="AC129" i="4"/>
  <c r="AD129" i="4" s="1"/>
  <c r="AC121" i="4"/>
  <c r="AD121" i="4" s="1"/>
  <c r="AF91" i="4"/>
  <c r="AC91" i="4"/>
  <c r="AD91" i="4" s="1"/>
  <c r="AO154" i="4"/>
  <c r="AR154" i="4" s="1"/>
  <c r="AT154" i="4" s="1"/>
  <c r="AG129" i="4"/>
  <c r="AI129" i="4" s="1"/>
  <c r="AR129" i="4" s="1"/>
  <c r="AT129" i="4" s="1"/>
  <c r="AC54" i="4"/>
  <c r="AD54" i="4" s="1"/>
  <c r="AC144" i="4"/>
  <c r="AD144" i="4" s="1"/>
  <c r="AF133" i="4"/>
  <c r="AO133" i="4" s="1"/>
  <c r="AF88" i="4"/>
  <c r="AO88" i="4" s="1"/>
  <c r="AC109" i="4"/>
  <c r="AD109" i="4" s="1"/>
  <c r="AF75" i="4"/>
  <c r="AG116" i="4"/>
  <c r="AI116" i="4" s="1"/>
  <c r="AO116" i="4"/>
  <c r="AG109" i="4"/>
  <c r="AI109" i="4" s="1"/>
  <c r="AO109" i="4"/>
  <c r="AC145" i="4"/>
  <c r="AD145" i="4" s="1"/>
  <c r="AC113" i="4"/>
  <c r="AD113" i="4" s="1"/>
  <c r="AC116" i="4"/>
  <c r="AD116" i="4" s="1"/>
  <c r="AF117" i="4"/>
  <c r="AO117" i="4" s="1"/>
  <c r="B116" i="2"/>
  <c r="H29" i="1" s="1"/>
  <c r="AA138" i="4"/>
  <c r="AC138" i="4" s="1"/>
  <c r="AD138" i="4" s="1"/>
  <c r="AC82" i="4"/>
  <c r="AD82" i="4" s="1"/>
  <c r="AG99" i="4"/>
  <c r="AI99" i="4" s="1"/>
  <c r="AR99" i="4" s="1"/>
  <c r="AT99" i="4" s="1"/>
  <c r="AO14" i="4"/>
  <c r="AR14" i="4" s="1"/>
  <c r="AT14" i="4" s="1"/>
  <c r="AC156" i="4"/>
  <c r="AD156" i="4" s="1"/>
  <c r="AC51" i="4"/>
  <c r="AD51" i="4" s="1"/>
  <c r="AC37" i="4"/>
  <c r="AD37" i="4" s="1"/>
  <c r="AC99" i="4"/>
  <c r="AD99" i="4" s="1"/>
  <c r="AC57" i="4"/>
  <c r="AD57" i="4" s="1"/>
  <c r="AC84" i="4"/>
  <c r="AD84" i="4" s="1"/>
  <c r="AO57" i="4"/>
  <c r="AG57" i="4"/>
  <c r="AI57" i="4" s="1"/>
  <c r="AG97" i="4"/>
  <c r="AI97" i="4" s="1"/>
  <c r="AR97" i="4" s="1"/>
  <c r="AT97" i="4" s="1"/>
  <c r="AG121" i="4"/>
  <c r="AI121" i="4" s="1"/>
  <c r="AR121" i="4" s="1"/>
  <c r="AT121" i="4" s="1"/>
  <c r="AF52" i="4"/>
  <c r="AO52" i="4" s="1"/>
  <c r="AG145" i="4"/>
  <c r="AI145" i="4" s="1"/>
  <c r="AR145" i="4" s="1"/>
  <c r="AT145" i="4" s="1"/>
  <c r="AG113" i="4"/>
  <c r="AI113" i="4" s="1"/>
  <c r="AR113" i="4" s="1"/>
  <c r="AT113" i="4" s="1"/>
  <c r="AG144" i="4"/>
  <c r="AI144" i="4" s="1"/>
  <c r="AR144" i="4" s="1"/>
  <c r="AT144" i="4" s="1"/>
  <c r="AC83" i="4"/>
  <c r="AD83" i="4" s="1"/>
  <c r="AF83" i="4"/>
  <c r="AG84" i="4"/>
  <c r="AI84" i="4" s="1"/>
  <c r="AR84" i="4" s="1"/>
  <c r="AT84" i="4" s="1"/>
  <c r="AF62" i="4"/>
  <c r="AO62" i="4" s="1"/>
  <c r="AG51" i="4"/>
  <c r="AI51" i="4" s="1"/>
  <c r="AO51" i="4"/>
  <c r="AK43" i="4"/>
  <c r="AG34" i="4"/>
  <c r="AI34" i="4" s="1"/>
  <c r="AR34" i="4" s="1"/>
  <c r="AT34" i="4" s="1"/>
  <c r="AK81" i="4"/>
  <c r="AK74" i="4"/>
  <c r="AO54" i="4"/>
  <c r="AG54" i="4"/>
  <c r="AI54" i="4" s="1"/>
  <c r="AF49" i="4"/>
  <c r="AO49" i="4" s="1"/>
  <c r="AF50" i="4"/>
  <c r="AF150" i="4"/>
  <c r="AF13" i="4"/>
  <c r="AO13" i="4" s="1"/>
  <c r="AC112" i="4"/>
  <c r="AD112" i="4" s="1"/>
  <c r="AF112" i="4"/>
  <c r="AF81" i="4"/>
  <c r="AC81" i="4"/>
  <c r="AD81" i="4" s="1"/>
  <c r="AC74" i="4"/>
  <c r="AD74" i="4" s="1"/>
  <c r="AF74" i="4"/>
  <c r="X103" i="4"/>
  <c r="AK103" i="4" s="1"/>
  <c r="X101" i="4"/>
  <c r="AA101" i="4" s="1"/>
  <c r="AF101" i="4" s="1"/>
  <c r="X157" i="4"/>
  <c r="AK157" i="4" s="1"/>
  <c r="X68" i="4"/>
  <c r="AK68" i="4" s="1"/>
  <c r="X77" i="4"/>
  <c r="AK77" i="4" s="1"/>
  <c r="X111" i="4"/>
  <c r="AK111" i="4" s="1"/>
  <c r="X152" i="4"/>
  <c r="AA152" i="4" s="1"/>
  <c r="AC152" i="4" s="1"/>
  <c r="AD152" i="4" s="1"/>
  <c r="X61" i="4"/>
  <c r="AA61" i="4" s="1"/>
  <c r="AF61" i="4" s="1"/>
  <c r="X76" i="4"/>
  <c r="AA76" i="4" s="1"/>
  <c r="AF76" i="4" s="1"/>
  <c r="AA141" i="4"/>
  <c r="AF141" i="4" s="1"/>
  <c r="X93" i="4"/>
  <c r="AA93" i="4" s="1"/>
  <c r="AF93" i="4" s="1"/>
  <c r="X134" i="4"/>
  <c r="AK134" i="4" s="1"/>
  <c r="AC73" i="4"/>
  <c r="AD73" i="4" s="1"/>
  <c r="AF73" i="4"/>
  <c r="AC123" i="4"/>
  <c r="AD123" i="4" s="1"/>
  <c r="AF123" i="4"/>
  <c r="AC67" i="4"/>
  <c r="AD67" i="4" s="1"/>
  <c r="AF67" i="4"/>
  <c r="AF86" i="4"/>
  <c r="AC86" i="4"/>
  <c r="AD86" i="4" s="1"/>
  <c r="X143" i="4"/>
  <c r="AA143" i="4" s="1"/>
  <c r="X108" i="4"/>
  <c r="AA108" i="4" s="1"/>
  <c r="AC108" i="4" s="1"/>
  <c r="AD108" i="4" s="1"/>
  <c r="X126" i="4"/>
  <c r="AA126" i="4" s="1"/>
  <c r="X64" i="4"/>
  <c r="AK64" i="4" s="1"/>
  <c r="X56" i="4"/>
  <c r="AA56" i="4" s="1"/>
  <c r="X96" i="4"/>
  <c r="AK96" i="4" s="1"/>
  <c r="X127" i="4"/>
  <c r="AA127" i="4" s="1"/>
  <c r="X132" i="4"/>
  <c r="AA132" i="4" s="1"/>
  <c r="X128" i="4"/>
  <c r="AA128" i="4" s="1"/>
  <c r="X119" i="4"/>
  <c r="AK119" i="4" s="1"/>
  <c r="X70" i="4"/>
  <c r="AA70" i="4" s="1"/>
  <c r="X85" i="4"/>
  <c r="AK85" i="4" s="1"/>
  <c r="X95" i="4"/>
  <c r="AA95" i="4" s="1"/>
  <c r="X149" i="4"/>
  <c r="AK149" i="4" s="1"/>
  <c r="AA48" i="4"/>
  <c r="AC48" i="4" s="1"/>
  <c r="AD48" i="4" s="1"/>
  <c r="AC104" i="4"/>
  <c r="AD104" i="4" s="1"/>
  <c r="AF104" i="4"/>
  <c r="AK112" i="4"/>
  <c r="AF105" i="4"/>
  <c r="AC105" i="4"/>
  <c r="AD105" i="4" s="1"/>
  <c r="AF125" i="4"/>
  <c r="AC125" i="4"/>
  <c r="AD125" i="4" s="1"/>
  <c r="AC106" i="4"/>
  <c r="AD106" i="4" s="1"/>
  <c r="AF106" i="4"/>
  <c r="AA89" i="4"/>
  <c r="X135" i="4"/>
  <c r="AK135" i="4" s="1"/>
  <c r="X151" i="4"/>
  <c r="AA151" i="4" s="1"/>
  <c r="X79" i="4"/>
  <c r="AA79" i="4" s="1"/>
  <c r="AF79" i="4" s="1"/>
  <c r="X142" i="4"/>
  <c r="AA142" i="4" s="1"/>
  <c r="AF142" i="4" s="1"/>
  <c r="AA119" i="4"/>
  <c r="AC119" i="4" s="1"/>
  <c r="AD119" i="4" s="1"/>
  <c r="X55" i="4"/>
  <c r="AA55" i="4" s="1"/>
  <c r="AF55" i="4" s="1"/>
  <c r="X58" i="4"/>
  <c r="AK58" i="4" s="1"/>
  <c r="X140" i="4"/>
  <c r="AA140" i="4" s="1"/>
  <c r="AF140" i="4" s="1"/>
  <c r="X90" i="4"/>
  <c r="AA90" i="4" s="1"/>
  <c r="AC90" i="4" s="1"/>
  <c r="AD90" i="4" s="1"/>
  <c r="AA71" i="4"/>
  <c r="AF71" i="4" s="1"/>
  <c r="X66" i="4"/>
  <c r="AA66" i="4" s="1"/>
  <c r="X100" i="4"/>
  <c r="AK100" i="4" s="1"/>
  <c r="AC60" i="4"/>
  <c r="AD60" i="4" s="1"/>
  <c r="AF60" i="4"/>
  <c r="AF102" i="4"/>
  <c r="AC102" i="4"/>
  <c r="AD102" i="4" s="1"/>
  <c r="AA103" i="4"/>
  <c r="AC103" i="4" s="1"/>
  <c r="AD103" i="4" s="1"/>
  <c r="X69" i="4"/>
  <c r="AA69" i="4" s="1"/>
  <c r="AC69" i="4" s="1"/>
  <c r="AD69" i="4" s="1"/>
  <c r="X98" i="4"/>
  <c r="AA98" i="4" s="1"/>
  <c r="AF98" i="4" s="1"/>
  <c r="AA135" i="4"/>
  <c r="AF135" i="4" s="1"/>
  <c r="X53" i="4"/>
  <c r="AA53" i="4" s="1"/>
  <c r="AC53" i="4" s="1"/>
  <c r="AD53" i="4" s="1"/>
  <c r="X78" i="4"/>
  <c r="AA78" i="4" s="1"/>
  <c r="AF78" i="4" s="1"/>
  <c r="X87" i="4"/>
  <c r="AA87" i="4" s="1"/>
  <c r="AF87" i="4" s="1"/>
  <c r="AA111" i="4"/>
  <c r="AC111" i="4" s="1"/>
  <c r="AD111" i="4" s="1"/>
  <c r="X130" i="4"/>
  <c r="AA130" i="4" s="1"/>
  <c r="AC130" i="4" s="1"/>
  <c r="AD130" i="4" s="1"/>
  <c r="X120" i="4"/>
  <c r="AA120" i="4" s="1"/>
  <c r="X63" i="4"/>
  <c r="AA63" i="4" s="1"/>
  <c r="AC63" i="4" s="1"/>
  <c r="AD63" i="4" s="1"/>
  <c r="X110" i="4"/>
  <c r="AA110" i="4" s="1"/>
  <c r="AC110" i="4" s="1"/>
  <c r="AD110" i="4" s="1"/>
  <c r="AA100" i="4"/>
  <c r="AC100" i="4" s="1"/>
  <c r="AD100" i="4" s="1"/>
  <c r="AF146" i="4"/>
  <c r="AO146" i="4" s="1"/>
  <c r="AC114" i="4"/>
  <c r="AD114" i="4" s="1"/>
  <c r="AF155" i="4"/>
  <c r="AC155" i="4"/>
  <c r="AD155" i="4" s="1"/>
  <c r="AF92" i="4"/>
  <c r="AC92" i="4"/>
  <c r="AD92" i="4" s="1"/>
  <c r="AC65" i="4"/>
  <c r="AD65" i="4" s="1"/>
  <c r="AF65" i="4"/>
  <c r="BK9" i="5"/>
  <c r="AF15" i="4"/>
  <c r="AG15" i="4" s="1"/>
  <c r="AI15" i="4" s="1"/>
  <c r="AG45" i="4"/>
  <c r="AI45" i="4" s="1"/>
  <c r="AR45" i="4" s="1"/>
  <c r="AT45" i="4" s="1"/>
  <c r="AF29" i="4"/>
  <c r="AC29" i="4"/>
  <c r="AD29" i="4" s="1"/>
  <c r="AC28" i="4"/>
  <c r="AD28" i="4" s="1"/>
  <c r="AC25" i="4"/>
  <c r="AD25" i="4" s="1"/>
  <c r="AF25" i="4"/>
  <c r="AK44" i="4"/>
  <c r="AC27" i="4"/>
  <c r="AD27" i="4" s="1"/>
  <c r="X47" i="4"/>
  <c r="AA47" i="4" s="1"/>
  <c r="AC42" i="4"/>
  <c r="AD42" i="4" s="1"/>
  <c r="X46" i="4"/>
  <c r="AA46" i="4" s="1"/>
  <c r="AF41" i="4"/>
  <c r="AC43" i="4"/>
  <c r="AD43" i="4" s="1"/>
  <c r="AF43" i="4"/>
  <c r="AG42" i="4"/>
  <c r="AI42" i="4" s="1"/>
  <c r="AO42" i="4"/>
  <c r="AA44" i="4"/>
  <c r="AF44" i="4" s="1"/>
  <c r="AC24" i="4"/>
  <c r="AD24" i="4" s="1"/>
  <c r="AF24" i="4"/>
  <c r="X39" i="4"/>
  <c r="AA39" i="4" s="1"/>
  <c r="AF39" i="4" s="1"/>
  <c r="AF35" i="4"/>
  <c r="X40" i="4"/>
  <c r="AA40" i="4" s="1"/>
  <c r="AC40" i="4" s="1"/>
  <c r="AD40" i="4" s="1"/>
  <c r="X38" i="4"/>
  <c r="AA38" i="4" s="1"/>
  <c r="AF38" i="4" s="1"/>
  <c r="AF36" i="4"/>
  <c r="AC36" i="4"/>
  <c r="AD36" i="4" s="1"/>
  <c r="AF33" i="4"/>
  <c r="AC33" i="4"/>
  <c r="AD33" i="4" s="1"/>
  <c r="X32" i="4"/>
  <c r="AA32" i="4" s="1"/>
  <c r="AC32" i="4" s="1"/>
  <c r="AD32" i="4" s="1"/>
  <c r="AC30" i="4"/>
  <c r="AD30" i="4" s="1"/>
  <c r="AF30" i="4"/>
  <c r="AF26" i="4"/>
  <c r="AF31" i="4"/>
  <c r="AC31" i="4"/>
  <c r="AD31" i="4" s="1"/>
  <c r="X23" i="4"/>
  <c r="AA23" i="4" s="1"/>
  <c r="AA12" i="4"/>
  <c r="AF12" i="4" s="1"/>
  <c r="AK19" i="4"/>
  <c r="AR139" i="4"/>
  <c r="AT139" i="4" s="1"/>
  <c r="AK20" i="4"/>
  <c r="AK21" i="4"/>
  <c r="AC10" i="4"/>
  <c r="AD10" i="4" s="1"/>
  <c r="AF10" i="4"/>
  <c r="AC21" i="4"/>
  <c r="AD21" i="4" s="1"/>
  <c r="AF21" i="4"/>
  <c r="AF19" i="4"/>
  <c r="AC19" i="4"/>
  <c r="AD19" i="4" s="1"/>
  <c r="AF20" i="4"/>
  <c r="AC20" i="4"/>
  <c r="AD20" i="4" s="1"/>
  <c r="AF16" i="4"/>
  <c r="AC16" i="4"/>
  <c r="AD16" i="4" s="1"/>
  <c r="AO37" i="4"/>
  <c r="AG37" i="4"/>
  <c r="AI37" i="4" s="1"/>
  <c r="AO115" i="4"/>
  <c r="AG115" i="4"/>
  <c r="AI115" i="4" s="1"/>
  <c r="AO122" i="4"/>
  <c r="AG122" i="4"/>
  <c r="AI122" i="4" s="1"/>
  <c r="AO59" i="4"/>
  <c r="AG59" i="4"/>
  <c r="AI59" i="4" s="1"/>
  <c r="AA18" i="4"/>
  <c r="AK10" i="4"/>
  <c r="AA22" i="4"/>
  <c r="AG82" i="4"/>
  <c r="AI82" i="4" s="1"/>
  <c r="AO82" i="4"/>
  <c r="AO156" i="4"/>
  <c r="AG156" i="4"/>
  <c r="AI156" i="4" s="1"/>
  <c r="AG11" i="4"/>
  <c r="AI11" i="4" s="1"/>
  <c r="AO11" i="4"/>
  <c r="AA9" i="4"/>
  <c r="AK16" i="4"/>
  <c r="AF17" i="4"/>
  <c r="AC17" i="4"/>
  <c r="AD17" i="4" s="1"/>
  <c r="AO28" i="4"/>
  <c r="AG28" i="4"/>
  <c r="AI28" i="4" s="1"/>
  <c r="AO80" i="4"/>
  <c r="AG80" i="4"/>
  <c r="AI80" i="4" s="1"/>
  <c r="AO27" i="4"/>
  <c r="AG27" i="4"/>
  <c r="AI27" i="4" s="1"/>
  <c r="AO8" i="4"/>
  <c r="AG8" i="4"/>
  <c r="AI8" i="4" s="1"/>
  <c r="AC7" i="4"/>
  <c r="AD7" i="4" s="1"/>
  <c r="AF7" i="4"/>
  <c r="AG7" i="4" s="1"/>
  <c r="AI7" i="4" s="1"/>
  <c r="BH7" i="5"/>
  <c r="BM7" i="5" s="1"/>
  <c r="BG7" i="5"/>
  <c r="BL7" i="5" s="1"/>
  <c r="B115" i="2"/>
  <c r="H28" i="1" s="1"/>
  <c r="BH9" i="5"/>
  <c r="BM9" i="5" s="1"/>
  <c r="BG9" i="5"/>
  <c r="BL11" i="5"/>
  <c r="BK10" i="5"/>
  <c r="BM10" i="5" s="1"/>
  <c r="BJ10" i="5"/>
  <c r="BL10" i="5" s="1"/>
  <c r="BJ9" i="5"/>
  <c r="AK7" i="4"/>
  <c r="B239" i="2"/>
  <c r="F73" i="1" s="1"/>
  <c r="AG131" i="4" l="1"/>
  <c r="AI131" i="4" s="1"/>
  <c r="AR131" i="4" s="1"/>
  <c r="AT131" i="4" s="1"/>
  <c r="AG137" i="4"/>
  <c r="AI137" i="4" s="1"/>
  <c r="AR137" i="4" s="1"/>
  <c r="AT137" i="4" s="1"/>
  <c r="AO148" i="4"/>
  <c r="AR148" i="4" s="1"/>
  <c r="AT148" i="4" s="1"/>
  <c r="AG107" i="4"/>
  <c r="AI107" i="4" s="1"/>
  <c r="AR107" i="4" s="1"/>
  <c r="AT107" i="4" s="1"/>
  <c r="AG118" i="4"/>
  <c r="AI118" i="4" s="1"/>
  <c r="AR118" i="4" s="1"/>
  <c r="AT118" i="4" s="1"/>
  <c r="AF130" i="4"/>
  <c r="AG130" i="4" s="1"/>
  <c r="AI130" i="4" s="1"/>
  <c r="AO136" i="4"/>
  <c r="AR136" i="4" s="1"/>
  <c r="AT136" i="4" s="1"/>
  <c r="AO124" i="4"/>
  <c r="AR124" i="4" s="1"/>
  <c r="AT124" i="4" s="1"/>
  <c r="AG147" i="4"/>
  <c r="AI147" i="4" s="1"/>
  <c r="AR147" i="4" s="1"/>
  <c r="AT147" i="4" s="1"/>
  <c r="AG153" i="4"/>
  <c r="AI153" i="4" s="1"/>
  <c r="AR153" i="4" s="1"/>
  <c r="AT153" i="4" s="1"/>
  <c r="AF138" i="4"/>
  <c r="AO138" i="4" s="1"/>
  <c r="AC142" i="4"/>
  <c r="AD142" i="4" s="1"/>
  <c r="AG133" i="4"/>
  <c r="AI133" i="4" s="1"/>
  <c r="AR133" i="4" s="1"/>
  <c r="AT133" i="4" s="1"/>
  <c r="AR109" i="4"/>
  <c r="AT109" i="4" s="1"/>
  <c r="AC71" i="4"/>
  <c r="AD71" i="4" s="1"/>
  <c r="AG91" i="4"/>
  <c r="AI91" i="4" s="1"/>
  <c r="AO91" i="4"/>
  <c r="AG49" i="4"/>
  <c r="AI49" i="4" s="1"/>
  <c r="AR49" i="4" s="1"/>
  <c r="AT49" i="4" s="1"/>
  <c r="AA134" i="4"/>
  <c r="AC134" i="4" s="1"/>
  <c r="AD134" i="4" s="1"/>
  <c r="AA68" i="4"/>
  <c r="AC68" i="4" s="1"/>
  <c r="AD68" i="4" s="1"/>
  <c r="AG88" i="4"/>
  <c r="AI88" i="4" s="1"/>
  <c r="AR88" i="4" s="1"/>
  <c r="AT88" i="4" s="1"/>
  <c r="AF103" i="4"/>
  <c r="AO103" i="4" s="1"/>
  <c r="AR116" i="4"/>
  <c r="AT116" i="4" s="1"/>
  <c r="AC61" i="4"/>
  <c r="AD61" i="4" s="1"/>
  <c r="AC76" i="4"/>
  <c r="AD76" i="4" s="1"/>
  <c r="AO75" i="4"/>
  <c r="AG75" i="4"/>
  <c r="AI75" i="4" s="1"/>
  <c r="AG117" i="4"/>
  <c r="AI117" i="4" s="1"/>
  <c r="AR117" i="4" s="1"/>
  <c r="AT117" i="4" s="1"/>
  <c r="AA157" i="4"/>
  <c r="AC157" i="4" s="1"/>
  <c r="AD157" i="4" s="1"/>
  <c r="AA96" i="4"/>
  <c r="AF96" i="4" s="1"/>
  <c r="AO96" i="4" s="1"/>
  <c r="AF100" i="4"/>
  <c r="AO100" i="4" s="1"/>
  <c r="AF63" i="4"/>
  <c r="AO63" i="4" s="1"/>
  <c r="AC87" i="4"/>
  <c r="AD87" i="4" s="1"/>
  <c r="AC55" i="4"/>
  <c r="AD55" i="4" s="1"/>
  <c r="AC93" i="4"/>
  <c r="AD93" i="4" s="1"/>
  <c r="AF152" i="4"/>
  <c r="AG152" i="4" s="1"/>
  <c r="AI152" i="4" s="1"/>
  <c r="AF48" i="4"/>
  <c r="AO48" i="4" s="1"/>
  <c r="AA85" i="4"/>
  <c r="AC85" i="4" s="1"/>
  <c r="AD85" i="4" s="1"/>
  <c r="AR57" i="4"/>
  <c r="AT57" i="4" s="1"/>
  <c r="AA77" i="4"/>
  <c r="AC77" i="4" s="1"/>
  <c r="AD77" i="4" s="1"/>
  <c r="AG52" i="4"/>
  <c r="AI52" i="4" s="1"/>
  <c r="AR52" i="4" s="1"/>
  <c r="AT52" i="4" s="1"/>
  <c r="AR51" i="4"/>
  <c r="AT51" i="4" s="1"/>
  <c r="AO83" i="4"/>
  <c r="AG83" i="4"/>
  <c r="AI83" i="4" s="1"/>
  <c r="AR54" i="4"/>
  <c r="AT54" i="4" s="1"/>
  <c r="AF108" i="4"/>
  <c r="AG108" i="4" s="1"/>
  <c r="AI108" i="4" s="1"/>
  <c r="AG13" i="4"/>
  <c r="AI13" i="4" s="1"/>
  <c r="AR13" i="4" s="1"/>
  <c r="AT13" i="4" s="1"/>
  <c r="AF119" i="4"/>
  <c r="AG119" i="4" s="1"/>
  <c r="AI119" i="4" s="1"/>
  <c r="AC101" i="4"/>
  <c r="AD101" i="4" s="1"/>
  <c r="AC135" i="4"/>
  <c r="AD135" i="4" s="1"/>
  <c r="AG62" i="4"/>
  <c r="AI62" i="4" s="1"/>
  <c r="AR62" i="4" s="1"/>
  <c r="AT62" i="4" s="1"/>
  <c r="AC79" i="4"/>
  <c r="AD79" i="4" s="1"/>
  <c r="AC44" i="4"/>
  <c r="AD44" i="4" s="1"/>
  <c r="AO15" i="4"/>
  <c r="AR15" i="4" s="1"/>
  <c r="AT15" i="4" s="1"/>
  <c r="AC98" i="4"/>
  <c r="AD98" i="4" s="1"/>
  <c r="AF90" i="4"/>
  <c r="AO90" i="4" s="1"/>
  <c r="AF110" i="4"/>
  <c r="AO110" i="4" s="1"/>
  <c r="AC141" i="4"/>
  <c r="AD141" i="4" s="1"/>
  <c r="AC78" i="4"/>
  <c r="AD78" i="4" s="1"/>
  <c r="AF53" i="4"/>
  <c r="AG53" i="4" s="1"/>
  <c r="AI53" i="4" s="1"/>
  <c r="AA58" i="4"/>
  <c r="AF58" i="4" s="1"/>
  <c r="AO58" i="4" s="1"/>
  <c r="AO50" i="4"/>
  <c r="AG50" i="4"/>
  <c r="AI50" i="4" s="1"/>
  <c r="AO150" i="4"/>
  <c r="AG150" i="4"/>
  <c r="AI150" i="4" s="1"/>
  <c r="AC140" i="4"/>
  <c r="AD140" i="4" s="1"/>
  <c r="AF111" i="4"/>
  <c r="AO111" i="4" s="1"/>
  <c r="AG146" i="4"/>
  <c r="AI146" i="4" s="1"/>
  <c r="AR146" i="4" s="1"/>
  <c r="AT146" i="4" s="1"/>
  <c r="AK142" i="4"/>
  <c r="AK152" i="4"/>
  <c r="AK151" i="4"/>
  <c r="AK76" i="4"/>
  <c r="AK78" i="4"/>
  <c r="AF126" i="4"/>
  <c r="AG126" i="4" s="1"/>
  <c r="AI126" i="4" s="1"/>
  <c r="AC126" i="4"/>
  <c r="AD126" i="4" s="1"/>
  <c r="AC66" i="4"/>
  <c r="AD66" i="4" s="1"/>
  <c r="AF66" i="4"/>
  <c r="AO66" i="4" s="1"/>
  <c r="AC70" i="4"/>
  <c r="AD70" i="4" s="1"/>
  <c r="AF70" i="4"/>
  <c r="AO70" i="4" s="1"/>
  <c r="AF95" i="4"/>
  <c r="AO95" i="4" s="1"/>
  <c r="AC95" i="4"/>
  <c r="AD95" i="4" s="1"/>
  <c r="AC128" i="4"/>
  <c r="AD128" i="4" s="1"/>
  <c r="AF128" i="4"/>
  <c r="AO128" i="4" s="1"/>
  <c r="AF56" i="4"/>
  <c r="AO56" i="4" s="1"/>
  <c r="AC56" i="4"/>
  <c r="AD56" i="4" s="1"/>
  <c r="AC143" i="4"/>
  <c r="AD143" i="4" s="1"/>
  <c r="AF143" i="4"/>
  <c r="AG143" i="4" s="1"/>
  <c r="AI143" i="4" s="1"/>
  <c r="AF127" i="4"/>
  <c r="AG127" i="4" s="1"/>
  <c r="AI127" i="4" s="1"/>
  <c r="AC127" i="4"/>
  <c r="AD127" i="4" s="1"/>
  <c r="AC120" i="4"/>
  <c r="AD120" i="4" s="1"/>
  <c r="AF120" i="4"/>
  <c r="AG120" i="4" s="1"/>
  <c r="AI120" i="4" s="1"/>
  <c r="AF151" i="4"/>
  <c r="AO151" i="4" s="1"/>
  <c r="AC151" i="4"/>
  <c r="AD151" i="4" s="1"/>
  <c r="AC132" i="4"/>
  <c r="AD132" i="4" s="1"/>
  <c r="AF132" i="4"/>
  <c r="AG132" i="4" s="1"/>
  <c r="AI132" i="4" s="1"/>
  <c r="AG102" i="4"/>
  <c r="AI102" i="4" s="1"/>
  <c r="AO102" i="4"/>
  <c r="AO155" i="4"/>
  <c r="AG155" i="4"/>
  <c r="AI155" i="4" s="1"/>
  <c r="AK63" i="4"/>
  <c r="AK69" i="4"/>
  <c r="AO60" i="4"/>
  <c r="AG60" i="4"/>
  <c r="AI60" i="4" s="1"/>
  <c r="AK140" i="4"/>
  <c r="AK55" i="4"/>
  <c r="AO105" i="4"/>
  <c r="AG105" i="4"/>
  <c r="AI105" i="4" s="1"/>
  <c r="AK95" i="4"/>
  <c r="AK70" i="4"/>
  <c r="AK128" i="4"/>
  <c r="AK127" i="4"/>
  <c r="AK56" i="4"/>
  <c r="AK126" i="4"/>
  <c r="AK143" i="4"/>
  <c r="AK93" i="4"/>
  <c r="AA149" i="4"/>
  <c r="AA64" i="4"/>
  <c r="AG65" i="4"/>
  <c r="AI65" i="4" s="1"/>
  <c r="AO65" i="4"/>
  <c r="AO106" i="4"/>
  <c r="AG106" i="4"/>
  <c r="AI106" i="4" s="1"/>
  <c r="AG74" i="4"/>
  <c r="AI74" i="4" s="1"/>
  <c r="AO74" i="4"/>
  <c r="AO112" i="4"/>
  <c r="AG112" i="4"/>
  <c r="AI112" i="4" s="1"/>
  <c r="AF69" i="4"/>
  <c r="AG69" i="4" s="1"/>
  <c r="AI69" i="4" s="1"/>
  <c r="AK110" i="4"/>
  <c r="AK130" i="4"/>
  <c r="AK87" i="4"/>
  <c r="AK53" i="4"/>
  <c r="AK66" i="4"/>
  <c r="AK90" i="4"/>
  <c r="AK79" i="4"/>
  <c r="AO123" i="4"/>
  <c r="AG123" i="4"/>
  <c r="AI123" i="4" s="1"/>
  <c r="AK61" i="4"/>
  <c r="AK101" i="4"/>
  <c r="AG67" i="4"/>
  <c r="AI67" i="4" s="1"/>
  <c r="AO67" i="4"/>
  <c r="AO73" i="4"/>
  <c r="AG73" i="4"/>
  <c r="AI73" i="4" s="1"/>
  <c r="AO92" i="4"/>
  <c r="AG92" i="4"/>
  <c r="AI92" i="4" s="1"/>
  <c r="AK120" i="4"/>
  <c r="AK98" i="4"/>
  <c r="AF89" i="4"/>
  <c r="AC89" i="4"/>
  <c r="AD89" i="4" s="1"/>
  <c r="AG125" i="4"/>
  <c r="AI125" i="4" s="1"/>
  <c r="AO125" i="4"/>
  <c r="AG104" i="4"/>
  <c r="AI104" i="4" s="1"/>
  <c r="AO104" i="4"/>
  <c r="AK132" i="4"/>
  <c r="AK108" i="4"/>
  <c r="AO86" i="4"/>
  <c r="AG86" i="4"/>
  <c r="AI86" i="4" s="1"/>
  <c r="AG81" i="4"/>
  <c r="AI81" i="4" s="1"/>
  <c r="AO81" i="4"/>
  <c r="AC38" i="4"/>
  <c r="AD38" i="4" s="1"/>
  <c r="AF40" i="4"/>
  <c r="AO40" i="4" s="1"/>
  <c r="AO29" i="4"/>
  <c r="AG29" i="4"/>
  <c r="AI29" i="4" s="1"/>
  <c r="AF32" i="4"/>
  <c r="AO32" i="4" s="1"/>
  <c r="AO25" i="4"/>
  <c r="AG25" i="4"/>
  <c r="AI25" i="4" s="1"/>
  <c r="AC39" i="4"/>
  <c r="AD39" i="4" s="1"/>
  <c r="AF47" i="4"/>
  <c r="AO47" i="4" s="1"/>
  <c r="AC47" i="4"/>
  <c r="AD47" i="4" s="1"/>
  <c r="AK47" i="4"/>
  <c r="AF46" i="4"/>
  <c r="AO46" i="4" s="1"/>
  <c r="AC46" i="4"/>
  <c r="AD46" i="4" s="1"/>
  <c r="AG41" i="4"/>
  <c r="AI41" i="4" s="1"/>
  <c r="AO41" i="4"/>
  <c r="AK46" i="4"/>
  <c r="AR42" i="4"/>
  <c r="AT42" i="4" s="1"/>
  <c r="AO43" i="4"/>
  <c r="AG43" i="4"/>
  <c r="AI43" i="4" s="1"/>
  <c r="AO24" i="4"/>
  <c r="AG24" i="4"/>
  <c r="AI24" i="4" s="1"/>
  <c r="AK40" i="4"/>
  <c r="AO35" i="4"/>
  <c r="AG35" i="4"/>
  <c r="AI35" i="4" s="1"/>
  <c r="AK39" i="4"/>
  <c r="AK38" i="4"/>
  <c r="AG36" i="4"/>
  <c r="AI36" i="4" s="1"/>
  <c r="AO36" i="4"/>
  <c r="AO33" i="4"/>
  <c r="AG33" i="4"/>
  <c r="AI33" i="4" s="1"/>
  <c r="AO30" i="4"/>
  <c r="AG30" i="4"/>
  <c r="AI30" i="4" s="1"/>
  <c r="AO31" i="4"/>
  <c r="AG31" i="4"/>
  <c r="AI31" i="4" s="1"/>
  <c r="AO26" i="4"/>
  <c r="AG26" i="4"/>
  <c r="AI26" i="4" s="1"/>
  <c r="AK32" i="4"/>
  <c r="AC12" i="4"/>
  <c r="AD12" i="4" s="1"/>
  <c r="AC23" i="4"/>
  <c r="AD23" i="4" s="1"/>
  <c r="AF23" i="4"/>
  <c r="AG23" i="4" s="1"/>
  <c r="AI23" i="4" s="1"/>
  <c r="AK23" i="4"/>
  <c r="AR82" i="4"/>
  <c r="AT82" i="4" s="1"/>
  <c r="AR8" i="4"/>
  <c r="AT8" i="4" s="1"/>
  <c r="AR122" i="4"/>
  <c r="AT122" i="4" s="1"/>
  <c r="AR37" i="4"/>
  <c r="AT37" i="4" s="1"/>
  <c r="AR27" i="4"/>
  <c r="AT27" i="4" s="1"/>
  <c r="AR59" i="4"/>
  <c r="AT59" i="4" s="1"/>
  <c r="AR115" i="4"/>
  <c r="AT115" i="4" s="1"/>
  <c r="AR11" i="4"/>
  <c r="AT11" i="4" s="1"/>
  <c r="AO93" i="4"/>
  <c r="AG93" i="4"/>
  <c r="AI93" i="4" s="1"/>
  <c r="AO39" i="4"/>
  <c r="AG39" i="4"/>
  <c r="AI39" i="4" s="1"/>
  <c r="AO140" i="4"/>
  <c r="AG140" i="4"/>
  <c r="AI140" i="4" s="1"/>
  <c r="AO76" i="4"/>
  <c r="AG76" i="4"/>
  <c r="AI76" i="4" s="1"/>
  <c r="AO21" i="4"/>
  <c r="AG21" i="4"/>
  <c r="AI21" i="4" s="1"/>
  <c r="AO135" i="4"/>
  <c r="AG135" i="4"/>
  <c r="AI135" i="4" s="1"/>
  <c r="AO98" i="4"/>
  <c r="AG98" i="4"/>
  <c r="AI98" i="4" s="1"/>
  <c r="AO71" i="4"/>
  <c r="AG71" i="4"/>
  <c r="AI71" i="4" s="1"/>
  <c r="AO55" i="4"/>
  <c r="AG55" i="4"/>
  <c r="AI55" i="4" s="1"/>
  <c r="AO38" i="4"/>
  <c r="AG38" i="4"/>
  <c r="AI38" i="4" s="1"/>
  <c r="AO20" i="4"/>
  <c r="AG20" i="4"/>
  <c r="AI20" i="4" s="1"/>
  <c r="AG17" i="4"/>
  <c r="AI17" i="4" s="1"/>
  <c r="AO17" i="4"/>
  <c r="AO44" i="4"/>
  <c r="AG44" i="4"/>
  <c r="AI44" i="4" s="1"/>
  <c r="AC9" i="4"/>
  <c r="AD9" i="4" s="1"/>
  <c r="AF9" i="4"/>
  <c r="AO87" i="4"/>
  <c r="AG87" i="4"/>
  <c r="AI87" i="4" s="1"/>
  <c r="AO10" i="4"/>
  <c r="AG10" i="4"/>
  <c r="AI10" i="4" s="1"/>
  <c r="AR80" i="4"/>
  <c r="AT80" i="4" s="1"/>
  <c r="AO142" i="4"/>
  <c r="AG142" i="4"/>
  <c r="AI142" i="4" s="1"/>
  <c r="AO101" i="4"/>
  <c r="AG101" i="4"/>
  <c r="AI101" i="4" s="1"/>
  <c r="AR28" i="4"/>
  <c r="AT28" i="4" s="1"/>
  <c r="AO61" i="4"/>
  <c r="AG61" i="4"/>
  <c r="AI61" i="4" s="1"/>
  <c r="AO79" i="4"/>
  <c r="AG79" i="4"/>
  <c r="AI79" i="4" s="1"/>
  <c r="AR156" i="4"/>
  <c r="AT156" i="4" s="1"/>
  <c r="AC22" i="4"/>
  <c r="AD22" i="4" s="1"/>
  <c r="AF22" i="4"/>
  <c r="AG12" i="4"/>
  <c r="AI12" i="4" s="1"/>
  <c r="AO12" i="4"/>
  <c r="AC18" i="4"/>
  <c r="AD18" i="4" s="1"/>
  <c r="AF18" i="4"/>
  <c r="AO141" i="4"/>
  <c r="AG141" i="4"/>
  <c r="AI141" i="4" s="1"/>
  <c r="AO78" i="4"/>
  <c r="AG78" i="4"/>
  <c r="AI78" i="4" s="1"/>
  <c r="AG16" i="4"/>
  <c r="AI16" i="4" s="1"/>
  <c r="AO16" i="4"/>
  <c r="AG19" i="4"/>
  <c r="AI19" i="4" s="1"/>
  <c r="AO19" i="4"/>
  <c r="AO7" i="4"/>
  <c r="AR7" i="4" s="1"/>
  <c r="AT7" i="4" s="1"/>
  <c r="BL9" i="5"/>
  <c r="AO130" i="4" l="1"/>
  <c r="AR130" i="4" s="1"/>
  <c r="AT130" i="4" s="1"/>
  <c r="AG138" i="4"/>
  <c r="AI138" i="4" s="1"/>
  <c r="AR138" i="4" s="1"/>
  <c r="AT138" i="4" s="1"/>
  <c r="AG90" i="4"/>
  <c r="AI90" i="4" s="1"/>
  <c r="AR90" i="4" s="1"/>
  <c r="AT90" i="4" s="1"/>
  <c r="AO143" i="4"/>
  <c r="AR143" i="4" s="1"/>
  <c r="AT143" i="4" s="1"/>
  <c r="AF68" i="4"/>
  <c r="AG68" i="4" s="1"/>
  <c r="AI68" i="4" s="1"/>
  <c r="AO53" i="4"/>
  <c r="AR53" i="4" s="1"/>
  <c r="AT53" i="4" s="1"/>
  <c r="AO132" i="4"/>
  <c r="AR132" i="4" s="1"/>
  <c r="AT132" i="4" s="1"/>
  <c r="AO120" i="4"/>
  <c r="AR120" i="4" s="1"/>
  <c r="AT120" i="4" s="1"/>
  <c r="AG70" i="4"/>
  <c r="AI70" i="4" s="1"/>
  <c r="AR70" i="4" s="1"/>
  <c r="AT70" i="4" s="1"/>
  <c r="AF85" i="4"/>
  <c r="AO85" i="4" s="1"/>
  <c r="AG111" i="4"/>
  <c r="AI111" i="4" s="1"/>
  <c r="AR111" i="4" s="1"/>
  <c r="AT111" i="4" s="1"/>
  <c r="AG128" i="4"/>
  <c r="AI128" i="4" s="1"/>
  <c r="AR128" i="4" s="1"/>
  <c r="AT128" i="4" s="1"/>
  <c r="AG103" i="4"/>
  <c r="AI103" i="4" s="1"/>
  <c r="AR103" i="4" s="1"/>
  <c r="AT103" i="4" s="1"/>
  <c r="AC96" i="4"/>
  <c r="AD96" i="4" s="1"/>
  <c r="AG48" i="4"/>
  <c r="AI48" i="4" s="1"/>
  <c r="AR48" i="4" s="1"/>
  <c r="AT48" i="4" s="1"/>
  <c r="AG96" i="4"/>
  <c r="AI96" i="4" s="1"/>
  <c r="AR96" i="4" s="1"/>
  <c r="AT96" i="4" s="1"/>
  <c r="AR91" i="4"/>
  <c r="AT91" i="4" s="1"/>
  <c r="AG100" i="4"/>
  <c r="AI100" i="4" s="1"/>
  <c r="AR100" i="4" s="1"/>
  <c r="AT100" i="4" s="1"/>
  <c r="AF134" i="4"/>
  <c r="AO134" i="4" s="1"/>
  <c r="AG66" i="4"/>
  <c r="AI66" i="4" s="1"/>
  <c r="AR66" i="4" s="1"/>
  <c r="AT66" i="4" s="1"/>
  <c r="AO152" i="4"/>
  <c r="AR152" i="4" s="1"/>
  <c r="AT152" i="4" s="1"/>
  <c r="AO119" i="4"/>
  <c r="AR119" i="4" s="1"/>
  <c r="AT119" i="4" s="1"/>
  <c r="AG151" i="4"/>
  <c r="AI151" i="4" s="1"/>
  <c r="AR151" i="4" s="1"/>
  <c r="AT151" i="4" s="1"/>
  <c r="AO108" i="4"/>
  <c r="AR108" i="4" s="1"/>
  <c r="AT108" i="4" s="1"/>
  <c r="AF157" i="4"/>
  <c r="AR75" i="4"/>
  <c r="AT75" i="4" s="1"/>
  <c r="AG63" i="4"/>
  <c r="AI63" i="4" s="1"/>
  <c r="AR63" i="4" s="1"/>
  <c r="AT63" i="4" s="1"/>
  <c r="AG56" i="4"/>
  <c r="AI56" i="4" s="1"/>
  <c r="AR56" i="4" s="1"/>
  <c r="AT56" i="4" s="1"/>
  <c r="AO127" i="4"/>
  <c r="AR127" i="4" s="1"/>
  <c r="AT127" i="4" s="1"/>
  <c r="AO69" i="4"/>
  <c r="AR69" i="4" s="1"/>
  <c r="AT69" i="4" s="1"/>
  <c r="AF77" i="4"/>
  <c r="AO126" i="4"/>
  <c r="AR126" i="4" s="1"/>
  <c r="AT126" i="4" s="1"/>
  <c r="AG58" i="4"/>
  <c r="AI58" i="4" s="1"/>
  <c r="AR58" i="4" s="1"/>
  <c r="AT58" i="4" s="1"/>
  <c r="AG95" i="4"/>
  <c r="AI95" i="4" s="1"/>
  <c r="AR95" i="4" s="1"/>
  <c r="AT95" i="4" s="1"/>
  <c r="AG110" i="4"/>
  <c r="AI110" i="4" s="1"/>
  <c r="AR110" i="4" s="1"/>
  <c r="AT110" i="4" s="1"/>
  <c r="AC58" i="4"/>
  <c r="AD58" i="4" s="1"/>
  <c r="AR83" i="4"/>
  <c r="AT83" i="4" s="1"/>
  <c r="AG40" i="4"/>
  <c r="AI40" i="4" s="1"/>
  <c r="AR40" i="4" s="1"/>
  <c r="AT40" i="4" s="1"/>
  <c r="AG46" i="4"/>
  <c r="AI46" i="4" s="1"/>
  <c r="AR46" i="4" s="1"/>
  <c r="AT46" i="4" s="1"/>
  <c r="AR50" i="4"/>
  <c r="AT50" i="4" s="1"/>
  <c r="AR150" i="4"/>
  <c r="AT150" i="4" s="1"/>
  <c r="AR102" i="4"/>
  <c r="AT102" i="4" s="1"/>
  <c r="AR86" i="4"/>
  <c r="AT86" i="4" s="1"/>
  <c r="AR92" i="4"/>
  <c r="AT92" i="4" s="1"/>
  <c r="AR123" i="4"/>
  <c r="AT123" i="4" s="1"/>
  <c r="AR105" i="4"/>
  <c r="AT105" i="4" s="1"/>
  <c r="AR60" i="4"/>
  <c r="AT60" i="4" s="1"/>
  <c r="AR155" i="4"/>
  <c r="AT155" i="4" s="1"/>
  <c r="AR81" i="4"/>
  <c r="AT81" i="4" s="1"/>
  <c r="AR125" i="4"/>
  <c r="AT125" i="4" s="1"/>
  <c r="AR112" i="4"/>
  <c r="AT112" i="4" s="1"/>
  <c r="AR106" i="4"/>
  <c r="AT106" i="4" s="1"/>
  <c r="AF149" i="4"/>
  <c r="AC149" i="4"/>
  <c r="AD149" i="4" s="1"/>
  <c r="AR73" i="4"/>
  <c r="AT73" i="4" s="1"/>
  <c r="AR74" i="4"/>
  <c r="AT74" i="4" s="1"/>
  <c r="AR65" i="4"/>
  <c r="AT65" i="4" s="1"/>
  <c r="AO89" i="4"/>
  <c r="AG89" i="4"/>
  <c r="AI89" i="4" s="1"/>
  <c r="AC64" i="4"/>
  <c r="AD64" i="4" s="1"/>
  <c r="AF64" i="4"/>
  <c r="AR104" i="4"/>
  <c r="AT104" i="4" s="1"/>
  <c r="AR67" i="4"/>
  <c r="AT67" i="4" s="1"/>
  <c r="AG32" i="4"/>
  <c r="AI32" i="4" s="1"/>
  <c r="AR32" i="4" s="1"/>
  <c r="AT32" i="4" s="1"/>
  <c r="AR29" i="4"/>
  <c r="AT29" i="4" s="1"/>
  <c r="AG47" i="4"/>
  <c r="AI47" i="4" s="1"/>
  <c r="AR47" i="4" s="1"/>
  <c r="AT47" i="4" s="1"/>
  <c r="AR25" i="4"/>
  <c r="AT25" i="4" s="1"/>
  <c r="AR41" i="4"/>
  <c r="AT41" i="4" s="1"/>
  <c r="AR43" i="4"/>
  <c r="AT43" i="4" s="1"/>
  <c r="AR39" i="4"/>
  <c r="AT39" i="4" s="1"/>
  <c r="AR36" i="4"/>
  <c r="AT36" i="4" s="1"/>
  <c r="AR24" i="4"/>
  <c r="AT24" i="4" s="1"/>
  <c r="AR35" i="4"/>
  <c r="AT35" i="4" s="1"/>
  <c r="AO23" i="4"/>
  <c r="AR23" i="4" s="1"/>
  <c r="AT23" i="4" s="1"/>
  <c r="AR31" i="4"/>
  <c r="AT31" i="4" s="1"/>
  <c r="AR33" i="4"/>
  <c r="AT33" i="4" s="1"/>
  <c r="AR12" i="4"/>
  <c r="AT12" i="4" s="1"/>
  <c r="AR141" i="4"/>
  <c r="AT141" i="4" s="1"/>
  <c r="AR101" i="4"/>
  <c r="AT101" i="4" s="1"/>
  <c r="AR21" i="4"/>
  <c r="AT21" i="4" s="1"/>
  <c r="AR76" i="4"/>
  <c r="AT76" i="4" s="1"/>
  <c r="AR26" i="4"/>
  <c r="AT26" i="4" s="1"/>
  <c r="AR30" i="4"/>
  <c r="AT30" i="4" s="1"/>
  <c r="AR16" i="4"/>
  <c r="AT16" i="4" s="1"/>
  <c r="AR61" i="4"/>
  <c r="AT61" i="4" s="1"/>
  <c r="AR55" i="4"/>
  <c r="AT55" i="4" s="1"/>
  <c r="AR140" i="4"/>
  <c r="AT140" i="4" s="1"/>
  <c r="AR93" i="4"/>
  <c r="AT93" i="4" s="1"/>
  <c r="AR78" i="4"/>
  <c r="AT78" i="4" s="1"/>
  <c r="AG18" i="4"/>
  <c r="AI18" i="4" s="1"/>
  <c r="AO18" i="4"/>
  <c r="AR142" i="4"/>
  <c r="AT142" i="4" s="1"/>
  <c r="AG9" i="4"/>
  <c r="AI9" i="4" s="1"/>
  <c r="AO9" i="4"/>
  <c r="AR135" i="4"/>
  <c r="AT135" i="4" s="1"/>
  <c r="AR17" i="4"/>
  <c r="AT17" i="4" s="1"/>
  <c r="AO22" i="4"/>
  <c r="AG22" i="4"/>
  <c r="AI22" i="4" s="1"/>
  <c r="AR19" i="4"/>
  <c r="AT19" i="4" s="1"/>
  <c r="AR79" i="4"/>
  <c r="AT79" i="4" s="1"/>
  <c r="AR10" i="4"/>
  <c r="AT10" i="4" s="1"/>
  <c r="AR87" i="4"/>
  <c r="AT87" i="4" s="1"/>
  <c r="AR44" i="4"/>
  <c r="AT44" i="4" s="1"/>
  <c r="AR20" i="4"/>
  <c r="AT20" i="4" s="1"/>
  <c r="AR38" i="4"/>
  <c r="AT38" i="4" s="1"/>
  <c r="AR71" i="4"/>
  <c r="AT71" i="4" s="1"/>
  <c r="AR98" i="4"/>
  <c r="AT98" i="4" s="1"/>
  <c r="H67" i="1"/>
  <c r="AO68" i="4" l="1"/>
  <c r="AR68" i="4" s="1"/>
  <c r="AT68" i="4" s="1"/>
  <c r="AG134" i="4"/>
  <c r="AI134" i="4" s="1"/>
  <c r="AR134" i="4" s="1"/>
  <c r="AT134" i="4" s="1"/>
  <c r="AG85" i="4"/>
  <c r="AI85" i="4" s="1"/>
  <c r="AR85" i="4" s="1"/>
  <c r="AT85" i="4" s="1"/>
  <c r="AO157" i="4"/>
  <c r="AG157" i="4"/>
  <c r="AI157" i="4" s="1"/>
  <c r="AG77" i="4"/>
  <c r="AI77" i="4" s="1"/>
  <c r="AO77" i="4"/>
  <c r="AR89" i="4"/>
  <c r="AT89" i="4" s="1"/>
  <c r="AG64" i="4"/>
  <c r="AI64" i="4" s="1"/>
  <c r="AO64" i="4"/>
  <c r="AG149" i="4"/>
  <c r="AI149" i="4" s="1"/>
  <c r="AO149" i="4"/>
  <c r="AR18" i="4"/>
  <c r="AT18" i="4" s="1"/>
  <c r="AR9" i="4"/>
  <c r="AT9" i="4" s="1"/>
  <c r="AR22" i="4"/>
  <c r="AT22" i="4" s="1"/>
  <c r="AR157" i="4" l="1"/>
  <c r="AT157" i="4" s="1"/>
  <c r="AR77" i="4"/>
  <c r="AT77" i="4" s="1"/>
  <c r="AR149" i="4"/>
  <c r="AT149" i="4" s="1"/>
  <c r="AR64" i="4"/>
  <c r="AT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A3" authorId="0" shapeId="0" xr:uid="{00000000-0006-0000-0000-000001000000}">
      <text>
        <r>
          <rPr>
            <b/>
            <sz val="11"/>
            <color indexed="10"/>
            <rFont val="Tahoma"/>
            <family val="2"/>
          </rPr>
          <t>Welcome to the LM5155 Design Tool</t>
        </r>
        <r>
          <rPr>
            <sz val="9"/>
            <color indexed="81"/>
            <rFont val="Tahoma"/>
            <family val="2"/>
          </rPr>
          <t xml:space="preserve">
This stand-alone tool facilitates and assists the power supply engineer with design of a DC-DC boost converter based on the LM5155 SEPIC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O3" authorId="0" shapeId="0" xr:uid="{00000000-0006-0000-0000-000002000000}">
      <text>
        <r>
          <rPr>
            <sz val="9"/>
            <color indexed="81"/>
            <rFont val="Tahoma"/>
            <family val="2"/>
          </rPr>
          <t xml:space="preserve">
</t>
        </r>
        <r>
          <rPr>
            <sz val="12"/>
            <color indexed="10"/>
            <rFont val="Tahoma"/>
            <family val="2"/>
          </rPr>
          <t>Texas Instruments:</t>
        </r>
        <r>
          <rPr>
            <sz val="9"/>
            <color indexed="81"/>
            <rFont val="Tahoma"/>
            <family val="2"/>
          </rPr>
          <t xml:space="preserve">
Limited Use Policy
You must treat this software and documentation like any other copyrighted material.
You may not: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The most recent version of this excel file can be found in the product folder of the part at TI.com. To activate all functions, Macro should be enabled and 'Analysis Toolpak' should be added in. 
</t>
        </r>
      </text>
    </comment>
    <comment ref="G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LM5155 iBIAS pin voltage operating range is 3.5V to 45V.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45V
-The input voltage is below 1.5V</t>
        </r>
      </text>
    </comment>
    <comment ref="G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G9" authorId="0" shapeId="0" xr:uid="{00000000-0006-0000-0000-000005000000}">
      <text>
        <r>
          <rPr>
            <b/>
            <sz val="9"/>
            <color indexed="81"/>
            <rFont val="Tahoma"/>
            <family val="2"/>
          </rPr>
          <t>Maximum Input Voltage:</t>
        </r>
        <r>
          <rPr>
            <sz val="9"/>
            <color indexed="81"/>
            <rFont val="Tahoma"/>
            <family val="2"/>
          </rPr>
          <t xml:space="preserve">
Enter the maximum operating input voltage.
The LM5155 input voltage operating range is 1.5V to 45V.
</t>
        </r>
        <r>
          <rPr>
            <b/>
            <sz val="9"/>
            <color indexed="10"/>
            <rFont val="Tahoma"/>
            <family val="2"/>
          </rPr>
          <t xml:space="preserve">
The text in the cell is flagged red if:</t>
        </r>
        <r>
          <rPr>
            <sz val="9"/>
            <color indexed="81"/>
            <rFont val="Tahoma"/>
            <family val="2"/>
          </rPr>
          <t xml:space="preserve">
-The input voltage is above 45V. Note the LM5156 is rated for 60V
-The input voltage is below 1.5V</t>
        </r>
      </text>
    </comment>
    <comment ref="G10" authorId="0" shapeId="0" xr:uid="{00000000-0006-0000-0000-000006000000}">
      <text>
        <r>
          <rPr>
            <b/>
            <sz val="9"/>
            <color indexed="81"/>
            <rFont val="Tahoma"/>
            <family val="2"/>
          </rPr>
          <t>Output Voltage:</t>
        </r>
        <r>
          <rPr>
            <sz val="9"/>
            <color indexed="81"/>
            <rFont val="Tahoma"/>
            <family val="2"/>
          </rPr>
          <t xml:space="preserve">
Enter the desired output voltage.
</t>
        </r>
      </text>
    </comment>
    <comment ref="G12" authorId="0" shapeId="0" xr:uid="{00000000-0006-0000-0000-000007000000}">
      <text>
        <r>
          <rPr>
            <b/>
            <sz val="9"/>
            <color indexed="81"/>
            <rFont val="Tahoma"/>
            <family val="2"/>
          </rPr>
          <t>Operating Frequency (set by RT):</t>
        </r>
        <r>
          <rPr>
            <sz val="9"/>
            <color indexed="81"/>
            <rFont val="Tahoma"/>
            <family val="2"/>
          </rPr>
          <t xml:space="preserve">
This cell defines the free-running switching frequency set by the RT resistor. 
</t>
        </r>
        <r>
          <rPr>
            <sz val="11"/>
            <color indexed="10"/>
            <rFont val="Calibri"/>
            <family val="2"/>
            <scheme val="minor"/>
          </rPr>
          <t>The text in the cell is flagged red if:</t>
        </r>
        <r>
          <rPr>
            <sz val="9"/>
            <color indexed="81"/>
            <rFont val="Tahoma"/>
            <family val="2"/>
          </rPr>
          <t xml:space="preserve">
-The frequency is below 100 kHz
-The frequency is above 2.2 MHz</t>
        </r>
      </text>
    </comment>
    <comment ref="G15" authorId="0" shapeId="0" xr:uid="{00000000-0006-0000-0000-000008000000}">
      <text>
        <r>
          <rPr>
            <b/>
            <sz val="9"/>
            <color indexed="81"/>
            <rFont val="Tahoma"/>
            <family val="2"/>
          </rPr>
          <t xml:space="preserve">Maximum duty cycle
</t>
        </r>
        <r>
          <rPr>
            <sz val="9"/>
            <color indexed="81"/>
            <rFont val="Tahoma"/>
            <family val="2"/>
          </rPr>
          <t xml:space="preserve">Limit of the LM5155/56. See the datasheet for more detail on how the maximum duty cycle changes with switching frequency
</t>
        </r>
      </text>
    </comment>
    <comment ref="G16" authorId="0" shapeId="0" xr:uid="{00000000-0006-0000-0000-000009000000}">
      <text>
        <r>
          <rPr>
            <sz val="9"/>
            <color indexed="10"/>
            <rFont val="Tahoma"/>
            <family val="2"/>
          </rPr>
          <t xml:space="preserve">
</t>
        </r>
        <r>
          <rPr>
            <b/>
            <sz val="9"/>
            <color indexed="10"/>
            <rFont val="Tahoma"/>
            <family val="2"/>
          </rPr>
          <t>The text in the cell is flagged red if:</t>
        </r>
        <r>
          <rPr>
            <sz val="9"/>
            <color indexed="81"/>
            <rFont val="Tahoma"/>
            <family val="2"/>
          </rPr>
          <t xml:space="preserve">
</t>
        </r>
        <r>
          <rPr>
            <b/>
            <sz val="9"/>
            <color indexed="81"/>
            <rFont val="Tahoma"/>
            <family val="2"/>
          </rPr>
          <t>- Duty CCM duty cycle for the step up ratio is greater then the duty cycle limit of the LM5155/56. For high step-up ratio designs the regulator can be configured to operate in discontinous conduction mode (DCM) to achieve the step up ratio.</t>
        </r>
      </text>
    </comment>
    <comment ref="G19" authorId="0" shapeId="0" xr:uid="{00000000-0006-0000-0000-00000A000000}">
      <text>
        <r>
          <rPr>
            <b/>
            <sz val="9"/>
            <color indexed="81"/>
            <rFont val="Tahoma"/>
            <family val="2"/>
          </rPr>
          <t>BMC-BCS:</t>
        </r>
        <r>
          <rPr>
            <sz val="9"/>
            <color indexed="81"/>
            <rFont val="Tahoma"/>
            <family val="2"/>
          </rPr>
          <t xml:space="preserve">
CCM = Continous Conduction Mode
DCM  = Discontinous Conduction Mode</t>
        </r>
      </text>
    </comment>
    <comment ref="G20" authorId="0" shapeId="0" xr:uid="{00000000-0006-0000-0000-00000B000000}">
      <text>
        <r>
          <rPr>
            <b/>
            <sz val="9"/>
            <color indexed="81"/>
            <rFont val="Tahoma"/>
            <family val="2"/>
          </rPr>
          <t>Ripple Ratio</t>
        </r>
        <r>
          <rPr>
            <sz val="9"/>
            <color indexed="81"/>
            <rFont val="Tahoma"/>
            <family val="2"/>
          </rPr>
          <t xml:space="preserve">
Select the maximum ripple ratio of the inductor current. The maximum ripple ratio occurs when the duty cycle is 33%. 
Typically a good maximum ripple current is in the 50% to 70% range. In this range there is a good trade off between efficiency and the minimum RHP zero frequency of the plant
If cell H19 is equal to 1, this input cell is not condsidered as DCM operation is required to achieve the desired ste-up ratio. For the case the maximum duty cycyle is set to be 70%.</t>
        </r>
      </text>
    </comment>
    <comment ref="G22" authorId="0" shapeId="0" xr:uid="{00000000-0006-0000-0000-00000C000000}">
      <text>
        <r>
          <rPr>
            <b/>
            <sz val="9"/>
            <color indexed="81"/>
            <rFont val="Tahoma"/>
            <family val="2"/>
          </rPr>
          <t xml:space="preserve">Filter Inductance:
</t>
        </r>
        <r>
          <rPr>
            <sz val="9"/>
            <color indexed="81"/>
            <rFont val="Tahoma"/>
            <family val="2"/>
          </rPr>
          <t xml:space="preserve">Enter the filter inductance here.
</t>
        </r>
      </text>
    </comment>
    <comment ref="G23" authorId="0" shapeId="0" xr:uid="{00000000-0006-0000-0000-00000D000000}">
      <text>
        <r>
          <rPr>
            <b/>
            <sz val="9"/>
            <color indexed="81"/>
            <rFont val="Tahoma"/>
            <family val="2"/>
          </rPr>
          <t>Peak Inductor Current</t>
        </r>
        <r>
          <rPr>
            <sz val="9"/>
            <color indexed="81"/>
            <rFont val="Tahoma"/>
            <family val="2"/>
          </rPr>
          <t xml:space="preserve">
Maximum peak inductor current during normal operation.  The peak current limit calculations are based on this value</t>
        </r>
      </text>
    </comment>
    <comment ref="G26" authorId="0" shapeId="0" xr:uid="{00000000-0006-0000-0000-00000E000000}">
      <text>
        <r>
          <rPr>
            <b/>
            <sz val="9"/>
            <color indexed="81"/>
            <rFont val="Tahoma"/>
            <family val="2"/>
          </rPr>
          <t>Peak Current Limit Margin</t>
        </r>
        <r>
          <rPr>
            <sz val="9"/>
            <color indexed="81"/>
            <rFont val="Tahoma"/>
            <family val="2"/>
          </rPr>
          <t xml:space="preserve">
Minimum value is 15%
Margin above the calculated peak inductor current. Margin must be given to allow for load transients and component tolerances.</t>
        </r>
      </text>
    </comment>
    <comment ref="G27" authorId="0" shapeId="0" xr:uid="{00000000-0006-0000-0000-00000F000000}">
      <text>
        <r>
          <rPr>
            <b/>
            <sz val="9"/>
            <color indexed="81"/>
            <rFont val="Tahoma"/>
            <family val="2"/>
          </rPr>
          <t xml:space="preserve">Selected Peak Inductor Current Limt
</t>
        </r>
        <r>
          <rPr>
            <sz val="9"/>
            <color indexed="81"/>
            <rFont val="Tahoma"/>
            <family val="2"/>
          </rPr>
          <t xml:space="preserve">
Peak inductor current limit based on the margin and the steady state peak inductor current at V</t>
        </r>
        <r>
          <rPr>
            <vertAlign val="subscript"/>
            <sz val="9"/>
            <color indexed="81"/>
            <rFont val="Tahoma"/>
            <family val="2"/>
          </rPr>
          <t>IN_MIN</t>
        </r>
        <r>
          <rPr>
            <sz val="9"/>
            <color indexed="81"/>
            <rFont val="Tahoma"/>
            <family val="2"/>
          </rPr>
          <t xml:space="preserve"> and maximum output current</t>
        </r>
      </text>
    </comment>
    <comment ref="G28" authorId="0" shapeId="0" xr:uid="{00000000-0006-0000-0000-000010000000}">
      <text>
        <r>
          <rPr>
            <b/>
            <sz val="9"/>
            <color indexed="81"/>
            <rFont val="Tahoma"/>
            <family val="2"/>
          </rPr>
          <t>Current Sense Resistor Calculation</t>
        </r>
        <r>
          <rPr>
            <sz val="9"/>
            <color indexed="81"/>
            <rFont val="Tahoma"/>
            <family val="2"/>
          </rPr>
          <t xml:space="preserve">
Calculated current sense resistor based on the desired maximum peak current limit. 
</t>
        </r>
      </text>
    </comment>
    <comment ref="G29" authorId="0" shapeId="0" xr:uid="{00000000-0006-0000-0000-000011000000}">
      <text>
        <r>
          <rPr>
            <b/>
            <sz val="9"/>
            <color indexed="81"/>
            <rFont val="Tahoma"/>
            <family val="2"/>
          </rPr>
          <t>Calculated External Slope Compensation Resistor</t>
        </r>
        <r>
          <rPr>
            <sz val="9"/>
            <color indexed="81"/>
            <rFont val="Tahoma"/>
            <family val="2"/>
          </rPr>
          <t xml:space="preserve">
</t>
        </r>
      </text>
    </comment>
    <comment ref="G30" authorId="0" shapeId="0" xr:uid="{00000000-0006-0000-0000-000012000000}">
      <text>
        <r>
          <rPr>
            <sz val="9"/>
            <color indexed="81"/>
            <rFont val="Tahoma"/>
            <family val="2"/>
          </rPr>
          <t xml:space="preserve">
</t>
        </r>
      </text>
    </comment>
    <comment ref="G40" authorId="0" shapeId="0" xr:uid="{00000000-0006-0000-0000-000013000000}">
      <text>
        <r>
          <rPr>
            <b/>
            <sz val="11"/>
            <color indexed="81"/>
            <rFont val="Tahoma"/>
            <family val="2"/>
          </rPr>
          <t>This is the desired load transient output voltage dip for the a 50% to 100% load step on the output.</t>
        </r>
        <r>
          <rPr>
            <sz val="9"/>
            <color indexed="81"/>
            <rFont val="Tahoma"/>
            <family val="2"/>
          </rPr>
          <t xml:space="preserve">
</t>
        </r>
      </text>
    </comment>
    <comment ref="G59" authorId="0" shapeId="0" xr:uid="{00000000-0006-0000-0000-000014000000}">
      <text>
        <r>
          <rPr>
            <b/>
            <sz val="9"/>
            <color indexed="81"/>
            <rFont val="Tahoma"/>
            <family val="2"/>
          </rPr>
          <t xml:space="preserve">Changes the input voltage value. Allow for evaluation of the control loop ane efficiency at different input voltages.
</t>
        </r>
        <r>
          <rPr>
            <b/>
            <sz val="9"/>
            <color indexed="10"/>
            <rFont val="Tahoma"/>
            <family val="2"/>
          </rPr>
          <t>The text in the cell is flagged red if:
-The variable input voltage is less than the minimum input voltage
-The variable input voltage is greater than the maximum input voltage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B21" authorId="0" shapeId="0" xr:uid="{00000000-0006-0000-0100-000001000000}">
      <text>
        <r>
          <rPr>
            <b/>
            <sz val="9"/>
            <color indexed="81"/>
            <rFont val="Tahoma"/>
            <family val="2"/>
          </rPr>
          <t xml:space="preserve">Forced off time limit? 
[1 True, 0 False]
Just comparing the maximum duty cycle of the IC and the ideal duty cycle of the step up ratio
</t>
        </r>
        <r>
          <rPr>
            <sz val="9"/>
            <color indexed="81"/>
            <rFont val="Tahoma"/>
            <family val="2"/>
          </rPr>
          <t xml:space="preserve">
</t>
        </r>
      </text>
    </comment>
    <comment ref="K121" authorId="0" shapeId="0" xr:uid="{00000000-0006-0000-0100-000002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22" authorId="0" shapeId="0" xr:uid="{00000000-0006-0000-0100-000003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 ref="AG6" authorId="0" shapeId="0" xr:uid="{00000000-0006-0000-0200-000002000000}">
      <text>
        <r>
          <rPr>
            <b/>
            <sz val="9"/>
            <color indexed="81"/>
            <rFont val="Tahoma"/>
            <family val="2"/>
          </rPr>
          <t>BMC-BCS:</t>
        </r>
        <r>
          <rPr>
            <sz val="9"/>
            <color indexed="81"/>
            <rFont val="Tahoma"/>
            <family val="2"/>
          </rPr>
          <t xml:space="preserve">
Estimating uisng Average current. Needs to be updated for RMS current
</t>
        </r>
      </text>
    </comment>
    <comment ref="AK6" authorId="0" shapeId="0" xr:uid="{00000000-0006-0000-0200-000003000000}">
      <text>
        <r>
          <rPr>
            <b/>
            <sz val="9"/>
            <color indexed="81"/>
            <rFont val="Tahoma"/>
            <family val="2"/>
          </rPr>
          <t>BMC-BCS:</t>
        </r>
        <r>
          <rPr>
            <sz val="9"/>
            <color indexed="81"/>
            <rFont val="Tahoma"/>
            <family val="2"/>
          </rPr>
          <t xml:space="preserve">
Written for boost. Needs to be updated but no big rush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sharedStrings.xml><?xml version="1.0" encoding="utf-8"?>
<sst xmlns="http://schemas.openxmlformats.org/spreadsheetml/2006/main" count="1018" uniqueCount="591">
  <si>
    <t>TERMS OF USE</t>
  </si>
  <si>
    <t>ABOUT</t>
  </si>
  <si>
    <t>=Input Box</t>
  </si>
  <si>
    <t>Step 1: Design Specifications</t>
  </si>
  <si>
    <r>
      <t>Minimum Input Supply Voltage , V</t>
    </r>
    <r>
      <rPr>
        <vertAlign val="subscript"/>
        <sz val="10"/>
        <color theme="1"/>
        <rFont val="Calibri"/>
        <family val="2"/>
        <scheme val="minor"/>
      </rPr>
      <t>SUPPLY(min)</t>
    </r>
    <r>
      <rPr>
        <sz val="10"/>
        <color theme="1"/>
        <rFont val="Calibri"/>
        <family val="2"/>
        <scheme val="minor"/>
      </rPr>
      <t xml:space="preserve"> </t>
    </r>
  </si>
  <si>
    <r>
      <t>Typical Input Supply Voltage, V</t>
    </r>
    <r>
      <rPr>
        <vertAlign val="subscript"/>
        <sz val="10"/>
        <color theme="1"/>
        <rFont val="Calibri"/>
        <family val="2"/>
        <scheme val="minor"/>
      </rPr>
      <t>SUPPLY(typ)</t>
    </r>
    <r>
      <rPr>
        <sz val="10"/>
        <color theme="1"/>
        <rFont val="Calibri"/>
        <family val="2"/>
        <scheme val="minor"/>
      </rPr>
      <t xml:space="preserve"> </t>
    </r>
  </si>
  <si>
    <r>
      <t>Maximum Input Supply Voltage , V</t>
    </r>
    <r>
      <rPr>
        <vertAlign val="subscript"/>
        <sz val="10"/>
        <color theme="1"/>
        <rFont val="Calibri"/>
        <family val="2"/>
        <scheme val="minor"/>
      </rPr>
      <t>SUPPLY(max)</t>
    </r>
    <r>
      <rPr>
        <sz val="10"/>
        <color theme="1"/>
        <rFont val="Calibri"/>
        <family val="2"/>
        <scheme val="minor"/>
      </rPr>
      <t xml:space="preserve"> </t>
    </r>
  </si>
  <si>
    <r>
      <t>Output Target Voltage, V</t>
    </r>
    <r>
      <rPr>
        <vertAlign val="subscript"/>
        <sz val="10"/>
        <color theme="1"/>
        <rFont val="Calibri"/>
        <family val="2"/>
        <scheme val="minor"/>
      </rPr>
      <t>LOAD</t>
    </r>
    <r>
      <rPr>
        <sz val="10"/>
        <color theme="1"/>
        <rFont val="Calibri"/>
        <family val="2"/>
        <scheme val="minor"/>
      </rPr>
      <t xml:space="preserve"> </t>
    </r>
  </si>
  <si>
    <r>
      <t>Maximum Output Current , I</t>
    </r>
    <r>
      <rPr>
        <vertAlign val="subscript"/>
        <sz val="10"/>
        <color theme="1"/>
        <rFont val="Calibri"/>
        <family val="2"/>
        <scheme val="minor"/>
      </rPr>
      <t>LOAD</t>
    </r>
    <r>
      <rPr>
        <sz val="10"/>
        <color theme="1"/>
        <rFont val="Calibri"/>
        <family val="2"/>
        <scheme val="minor"/>
      </rPr>
      <t xml:space="preserve"> </t>
    </r>
  </si>
  <si>
    <r>
      <t>Free Running Switching Frequency, F</t>
    </r>
    <r>
      <rPr>
        <vertAlign val="subscript"/>
        <sz val="10"/>
        <color theme="1"/>
        <rFont val="Calibri"/>
        <family val="2"/>
        <scheme val="minor"/>
      </rPr>
      <t>SW</t>
    </r>
  </si>
  <si>
    <t>V</t>
  </si>
  <si>
    <t>A</t>
  </si>
  <si>
    <t>kHz</t>
  </si>
  <si>
    <t>%</t>
  </si>
  <si>
    <r>
      <t>Output Power, P</t>
    </r>
    <r>
      <rPr>
        <vertAlign val="subscript"/>
        <sz val="10"/>
        <color theme="1"/>
        <rFont val="Calibri"/>
        <family val="2"/>
        <scheme val="minor"/>
      </rPr>
      <t>OUT</t>
    </r>
    <r>
      <rPr>
        <sz val="10"/>
        <color theme="1"/>
        <rFont val="Calibri"/>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</si>
  <si>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</si>
  <si>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</si>
  <si>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</si>
  <si>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</si>
  <si>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</si>
  <si>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</si>
  <si>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</si>
  <si>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</si>
  <si>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</si>
  <si>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</si>
  <si>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</si>
  <si>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</si>
  <si>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</si>
  <si>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</si>
  <si>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</si>
  <si>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</si>
  <si>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</si>
  <si>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Target Output Voltage</t>
  </si>
  <si>
    <t>IOUT</t>
  </si>
  <si>
    <t>Maximum Output current</t>
  </si>
  <si>
    <t>ROUT</t>
  </si>
  <si>
    <t>Ω</t>
  </si>
  <si>
    <t>POUT</t>
  </si>
  <si>
    <t>W</t>
  </si>
  <si>
    <t>EFF_est</t>
  </si>
  <si>
    <t>Total output power</t>
  </si>
  <si>
    <t>Minimum load resistance</t>
  </si>
  <si>
    <t>Dc_max_ideal</t>
  </si>
  <si>
    <t>Dc_max_IC</t>
  </si>
  <si>
    <t>Maximum IC duty cycle. Based on the forced off time. See Mathcad Calculations</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</si>
  <si>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</si>
  <si>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</si>
  <si>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</si>
  <si>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</si>
  <si>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</si>
  <si>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</si>
  <si>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</si>
  <si>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</si>
  <si>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</si>
  <si>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</si>
  <si>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</si>
  <si>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</si>
  <si>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</si>
  <si>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</si>
  <si>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</si>
  <si>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</si>
  <si>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 xml:space="preserve">Base Calculations of </t>
  </si>
  <si>
    <t>Spec conditions</t>
  </si>
  <si>
    <t>Min max duty cycle at low frequency</t>
  </si>
  <si>
    <t>Maximum max duty cycle at low frequency</t>
  </si>
  <si>
    <t>Nominal right now</t>
  </si>
  <si>
    <t>Fsw</t>
  </si>
  <si>
    <t>Hz</t>
  </si>
  <si>
    <t xml:space="preserve">Switching frequnecy </t>
  </si>
  <si>
    <t>Flag</t>
  </si>
  <si>
    <t>RT</t>
  </si>
  <si>
    <t>Oscillator Set resistor. Based on the datasheet equation</t>
  </si>
  <si>
    <r>
      <t>Free running Oscillator Set Resistor, R</t>
    </r>
    <r>
      <rPr>
        <vertAlign val="subscript"/>
        <sz val="10"/>
        <color theme="1"/>
        <rFont val="Calibri"/>
        <family val="2"/>
        <scheme val="minor"/>
      </rPr>
      <t>T</t>
    </r>
  </si>
  <si>
    <r>
      <t>k</t>
    </r>
    <r>
      <rPr>
        <sz val="11"/>
        <color theme="1"/>
        <rFont val="Calibri"/>
        <family val="2"/>
      </rPr>
      <t>Ω</t>
    </r>
  </si>
  <si>
    <t>Step 2: Filter Inductor</t>
  </si>
  <si>
    <t>Dc_Limit</t>
  </si>
  <si>
    <t>Max duty cycle of LM5155 at Fsw</t>
  </si>
  <si>
    <t>EXCEL Constants / Values / IC Limits</t>
  </si>
  <si>
    <t>Dc_VIN_min</t>
  </si>
  <si>
    <t>Dc_VIN_nom</t>
  </si>
  <si>
    <t>Dc_VIN_max</t>
  </si>
  <si>
    <t>ton_min</t>
  </si>
  <si>
    <t>Typical Ton minimum value</t>
  </si>
  <si>
    <t>Average input current at minimum input voltage. 100% Eff assumed</t>
  </si>
  <si>
    <t>Average input current at nominal input voltage. 100% Eff assumed</t>
  </si>
  <si>
    <t>Average input current at maximum input voltage. 100% Eff assumed</t>
  </si>
  <si>
    <t>H</t>
  </si>
  <si>
    <t>ILrip</t>
  </si>
  <si>
    <t>Lm</t>
  </si>
  <si>
    <t>Selected filter inductor</t>
  </si>
  <si>
    <t>uH</t>
  </si>
  <si>
    <t>Rdcr</t>
  </si>
  <si>
    <r>
      <t>m</t>
    </r>
    <r>
      <rPr>
        <sz val="11"/>
        <color theme="1"/>
        <rFont val="Calibri"/>
        <family val="2"/>
      </rPr>
      <t>Ω</t>
    </r>
  </si>
  <si>
    <r>
      <t>Peak inductor current, IL</t>
    </r>
    <r>
      <rPr>
        <vertAlign val="subscript"/>
        <sz val="10"/>
        <color theme="1"/>
        <rFont val="Calibri"/>
        <family val="2"/>
        <scheme val="minor"/>
      </rPr>
      <t>PK</t>
    </r>
  </si>
  <si>
    <t>Lopt_2</t>
  </si>
  <si>
    <t>.</t>
  </si>
  <si>
    <t>Peak inductor current at VIN min. Including estimated efficiency</t>
  </si>
  <si>
    <t xml:space="preserve">Inductor ripple current at VIN min. </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</si>
  <si>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</si>
  <si>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</si>
  <si>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</si>
  <si>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</si>
  <si>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</si>
  <si>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</si>
  <si>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</si>
  <si>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</si>
  <si>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</si>
  <si>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</si>
  <si>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</si>
  <si>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</si>
  <si>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</si>
  <si>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</si>
  <si>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</si>
  <si>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</si>
  <si>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</si>
  <si>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</si>
  <si>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</si>
  <si>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</si>
  <si>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</si>
  <si>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</si>
  <si>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</si>
  <si>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</si>
  <si>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</si>
  <si>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</si>
  <si>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</si>
  <si>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Rcs_w_sl</t>
  </si>
  <si>
    <t>Rcs_ext_sl_ratio</t>
  </si>
  <si>
    <t>R_sl_ext</t>
  </si>
  <si>
    <t>R_cs_calc</t>
  </si>
  <si>
    <t>R_sl_calc</t>
  </si>
  <si>
    <t>R_cs</t>
  </si>
  <si>
    <t>R_sl</t>
  </si>
  <si>
    <t>Calculated external slope compensation resistor</t>
  </si>
  <si>
    <t>Calculated current sense resistor with slope compensation included</t>
  </si>
  <si>
    <r>
      <t>Recommended external slope compensation Resistor (R</t>
    </r>
    <r>
      <rPr>
        <vertAlign val="subscript"/>
        <sz val="11"/>
        <color theme="1"/>
        <rFont val="Calibri"/>
        <family val="2"/>
        <scheme val="minor"/>
      </rPr>
      <t>SL</t>
    </r>
    <r>
      <rPr>
        <sz val="11"/>
        <color theme="1"/>
        <rFont val="Calibri"/>
        <family val="2"/>
        <scheme val="minor"/>
      </rPr>
      <t>)</t>
    </r>
  </si>
  <si>
    <t>Selected current sense Resistor</t>
  </si>
  <si>
    <t>Selected external slope compensation</t>
  </si>
  <si>
    <r>
      <t>Selected external slope compensation Resistor (R</t>
    </r>
    <r>
      <rPr>
        <vertAlign val="subscript"/>
        <sz val="11"/>
        <color theme="1"/>
        <rFont val="Calibri"/>
        <family val="2"/>
        <scheme val="minor"/>
      </rPr>
      <t>SL</t>
    </r>
    <r>
      <rPr>
        <sz val="11"/>
        <color theme="1"/>
        <rFont val="Calibri"/>
        <family val="2"/>
        <scheme val="minor"/>
      </rPr>
      <t>)</t>
    </r>
  </si>
  <si>
    <t>Check to make sure that slope compensation is high enough at the minimum input voltage</t>
  </si>
  <si>
    <t>Slope Compensation</t>
  </si>
  <si>
    <t>sl_vin_min</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</si>
  <si>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</si>
  <si>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</si>
  <si>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</si>
  <si>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</si>
  <si>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</si>
  <si>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</si>
  <si>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</si>
  <si>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</si>
  <si>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</si>
  <si>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</si>
  <si>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mV</t>
  </si>
  <si>
    <t xml:space="preserve">Minimum output capacitance </t>
  </si>
  <si>
    <t>uF</t>
  </si>
  <si>
    <r>
      <t>Selected Output Capacitance (C</t>
    </r>
    <r>
      <rPr>
        <vertAlign val="subscript"/>
        <sz val="11"/>
        <color theme="1"/>
        <rFont val="Calibri"/>
        <family val="2"/>
        <scheme val="minor"/>
      </rPr>
      <t>OUT</t>
    </r>
    <r>
      <rPr>
        <sz val="11"/>
        <color theme="1"/>
        <rFont val="Calibri"/>
        <family val="2"/>
        <scheme val="minor"/>
      </rPr>
      <t>)</t>
    </r>
  </si>
  <si>
    <t>Desired output ripple</t>
  </si>
  <si>
    <t>Vout_rip_sel</t>
  </si>
  <si>
    <t>Cout_min</t>
  </si>
  <si>
    <t>F</t>
  </si>
  <si>
    <t>Calculate minimum capacitance based simply on the capacitive ripple</t>
  </si>
  <si>
    <r>
      <t>Capacitor RMS current (I</t>
    </r>
    <r>
      <rPr>
        <vertAlign val="subscript"/>
        <sz val="11"/>
        <color theme="1"/>
        <rFont val="Calibri"/>
        <family val="2"/>
        <scheme val="minor"/>
      </rPr>
      <t>RMS_COUT</t>
    </r>
    <r>
      <rPr>
        <sz val="11"/>
        <color theme="1"/>
        <rFont val="Calibri"/>
        <family val="2"/>
        <scheme val="minor"/>
      </rPr>
      <t>)</t>
    </r>
  </si>
  <si>
    <t>IRMS_COUT</t>
  </si>
  <si>
    <r>
      <t>Equivalent  COUT ESR (R</t>
    </r>
    <r>
      <rPr>
        <vertAlign val="subscript"/>
        <sz val="11"/>
        <color theme="1"/>
        <rFont val="Calibri"/>
        <family val="2"/>
        <scheme val="minor"/>
      </rPr>
      <t>ESR</t>
    </r>
    <r>
      <rPr>
        <sz val="11"/>
        <color theme="1"/>
        <rFont val="Calibri"/>
        <family val="2"/>
        <scheme val="minor"/>
      </rPr>
      <t>)</t>
    </r>
  </si>
  <si>
    <t>Resr</t>
  </si>
  <si>
    <t>Selected Output Capacitance</t>
  </si>
  <si>
    <t>Cout</t>
  </si>
  <si>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</si>
  <si>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</si>
  <si>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</si>
  <si>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</si>
  <si>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</si>
  <si>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</si>
  <si>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</si>
  <si>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</si>
  <si>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</si>
  <si>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Suggested bandwidth</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</si>
  <si>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</si>
  <si>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</si>
  <si>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</si>
  <si>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</si>
  <si>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</si>
  <si>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</si>
  <si>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</si>
  <si>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</si>
  <si>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</si>
  <si>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</si>
  <si>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</si>
  <si>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</si>
  <si>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</si>
  <si>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</si>
  <si>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</si>
  <si>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</si>
  <si>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</si>
  <si>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</si>
  <si>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</si>
  <si>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</si>
  <si>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</si>
  <si>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</si>
  <si>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</si>
  <si>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</si>
  <si>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</si>
  <si>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</si>
  <si>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</si>
  <si>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</si>
  <si>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</si>
  <si>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</si>
  <si>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</si>
  <si>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</si>
  <si>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</si>
  <si>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</si>
  <si>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</si>
  <si>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</si>
  <si>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</si>
  <si>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</si>
  <si>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</si>
  <si>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</si>
  <si>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</si>
  <si>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</si>
  <si>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</si>
  <si>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</si>
  <si>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</si>
  <si>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</si>
  <si>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</si>
  <si>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</si>
  <si>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wz_ea</t>
  </si>
  <si>
    <t>Adc_ea</t>
  </si>
  <si>
    <t>gm_ea</t>
  </si>
  <si>
    <t>Error Amplifier Gain</t>
  </si>
  <si>
    <t>A/V</t>
  </si>
  <si>
    <t>wp0_ea</t>
  </si>
  <si>
    <t>wp1_ea</t>
  </si>
  <si>
    <t>ADC_ea</t>
  </si>
  <si>
    <t xml:space="preserve">Gain </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</si>
  <si>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</si>
  <si>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</si>
  <si>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</si>
  <si>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</si>
  <si>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</si>
  <si>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</si>
  <si>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</si>
  <si>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</si>
  <si>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</si>
  <si>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</si>
  <si>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</si>
  <si>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</si>
  <si>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</si>
  <si>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</si>
  <si>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</si>
  <si>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</si>
  <si>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</si>
  <si>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</si>
  <si>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</si>
  <si>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</si>
  <si>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r>
      <t>Calculated bottom feedback resistor (R</t>
    </r>
    <r>
      <rPr>
        <vertAlign val="subscript"/>
        <sz val="11"/>
        <color theme="1"/>
        <rFont val="Calibri"/>
        <family val="2"/>
        <scheme val="minor"/>
      </rPr>
      <t>FBB_cala</t>
    </r>
    <r>
      <rPr>
        <sz val="11"/>
        <color theme="1"/>
        <rFont val="Calibri"/>
        <family val="2"/>
        <scheme val="minor"/>
      </rPr>
      <t>)</t>
    </r>
  </si>
  <si>
    <t>fcross</t>
  </si>
  <si>
    <t>Desired Crossover frequency</t>
  </si>
  <si>
    <t>1/10 the swictching frequency</t>
  </si>
  <si>
    <t>Fcross</t>
  </si>
  <si>
    <t>wz_RHP</t>
  </si>
  <si>
    <t>Rcomp_Calc</t>
  </si>
  <si>
    <t>Calculate on based on the desired Mid-band gain needed to set the crossover frequency</t>
  </si>
  <si>
    <t>fz_ea_est</t>
  </si>
  <si>
    <t>CCOMP_calc</t>
  </si>
  <si>
    <t>fp_ea_est</t>
  </si>
  <si>
    <r>
      <t>Select a top feedback resistor(R</t>
    </r>
    <r>
      <rPr>
        <vertAlign val="subscript"/>
        <sz val="11"/>
        <color theme="1"/>
        <rFont val="Calibri"/>
        <family val="2"/>
        <scheme val="minor"/>
      </rPr>
      <t>FBT</t>
    </r>
    <r>
      <rPr>
        <sz val="11"/>
        <color theme="1"/>
        <rFont val="Calibri"/>
        <family val="2"/>
        <scheme val="minor"/>
      </rPr>
      <t>)</t>
    </r>
  </si>
  <si>
    <r>
      <t>Select a bottomresistor based on calculated balue(R</t>
    </r>
    <r>
      <rPr>
        <vertAlign val="subscript"/>
        <sz val="11"/>
        <color theme="1"/>
        <rFont val="Calibri"/>
        <family val="2"/>
        <scheme val="minor"/>
      </rPr>
      <t>FBB</t>
    </r>
    <r>
      <rPr>
        <sz val="11"/>
        <color theme="1"/>
        <rFont val="Calibri"/>
        <family val="2"/>
        <scheme val="minor"/>
      </rPr>
      <t>)</t>
    </r>
  </si>
  <si>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</si>
  <si>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</si>
  <si>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</si>
  <si>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</si>
  <si>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</si>
  <si>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</si>
  <si>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</si>
  <si>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</si>
  <si>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</si>
  <si>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</si>
  <si>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On-time of the switch</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</si>
  <si>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</si>
  <si>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</si>
  <si>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</si>
  <si>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</si>
  <si>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</si>
  <si>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</si>
  <si>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</si>
  <si>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</si>
  <si>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Calibri"/>
        <family val="2"/>
        <scheme val="minor"/>
      </rPr>
      <t>SS_MIN</t>
    </r>
    <r>
      <rPr>
        <sz val="11"/>
        <color theme="1"/>
        <rFont val="Calibri"/>
        <family val="2"/>
        <scheme val="minor"/>
      </rPr>
      <t>)</t>
    </r>
  </si>
  <si>
    <t>ms</t>
  </si>
  <si>
    <t>Css_calc</t>
  </si>
  <si>
    <t>Calcualted Soft-start capacitor</t>
  </si>
  <si>
    <r>
      <t>Calculated soft-start capacitor (C</t>
    </r>
    <r>
      <rPr>
        <vertAlign val="subscript"/>
        <sz val="11"/>
        <color theme="1"/>
        <rFont val="Calibri"/>
        <family val="2"/>
        <scheme val="minor"/>
      </rPr>
      <t>SS</t>
    </r>
    <r>
      <rPr>
        <sz val="11"/>
        <color theme="1"/>
        <rFont val="Calibri"/>
        <family val="2"/>
        <scheme val="minor"/>
      </rPr>
      <t>)</t>
    </r>
  </si>
  <si>
    <r>
      <t>Desied soft-start time at minimum input voltage (T</t>
    </r>
    <r>
      <rPr>
        <vertAlign val="subscript"/>
        <sz val="11"/>
        <color theme="1"/>
        <rFont val="Calibri"/>
        <family val="2"/>
        <scheme val="minor"/>
      </rPr>
      <t>SS</t>
    </r>
    <r>
      <rPr>
        <sz val="11"/>
        <color theme="1"/>
        <rFont val="Calibri"/>
        <family val="2"/>
        <scheme val="minor"/>
      </rPr>
      <t>)</t>
    </r>
  </si>
  <si>
    <r>
      <t>Desired voltage OFF (V</t>
    </r>
    <r>
      <rPr>
        <vertAlign val="subscript"/>
        <sz val="11"/>
        <color theme="1"/>
        <rFont val="Calibri"/>
        <family val="2"/>
        <scheme val="minor"/>
      </rPr>
      <t>UVLO_OFF</t>
    </r>
    <r>
      <rPr>
        <sz val="11"/>
        <color theme="1"/>
        <rFont val="Calibri"/>
        <family val="2"/>
        <scheme val="minor"/>
      </rPr>
      <t>)</t>
    </r>
  </si>
  <si>
    <r>
      <t>Desired voltage On (V</t>
    </r>
    <r>
      <rPr>
        <vertAlign val="subscript"/>
        <sz val="11"/>
        <color theme="1"/>
        <rFont val="Calibri"/>
        <family val="2"/>
        <scheme val="minor"/>
      </rPr>
      <t>UVLO_ON</t>
    </r>
    <r>
      <rPr>
        <sz val="11"/>
        <color theme="1"/>
        <rFont val="Calibri"/>
        <family val="2"/>
        <scheme val="minor"/>
      </rPr>
      <t>)</t>
    </r>
  </si>
  <si>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</si>
  <si>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</si>
  <si>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</si>
  <si>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</si>
  <si>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</si>
  <si>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</si>
  <si>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</si>
  <si>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</si>
  <si>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</si>
  <si>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</si>
  <si>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</si>
  <si>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</si>
  <si>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</si>
  <si>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</si>
  <si>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</si>
  <si>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</si>
  <si>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</si>
  <si>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</si>
  <si>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</si>
  <si>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</si>
  <si>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</si>
  <si>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</si>
  <si>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</si>
  <si>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</si>
  <si>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</si>
  <si>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</si>
  <si>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r>
      <t>ID</t>
    </r>
    <r>
      <rPr>
        <vertAlign val="subscript"/>
        <sz val="11"/>
        <color theme="1"/>
        <rFont val="Calibri"/>
        <family val="2"/>
        <scheme val="minor"/>
      </rPr>
      <t>RMS</t>
    </r>
  </si>
  <si>
    <t>Step 7: Component Selection</t>
  </si>
  <si>
    <t>Vd_rect</t>
  </si>
  <si>
    <t>Rect Diode forward voltage drop</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</si>
  <si>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</si>
  <si>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</si>
  <si>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</si>
  <si>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</si>
  <si>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</si>
  <si>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</si>
  <si>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</si>
  <si>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</si>
  <si>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</si>
  <si>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</si>
  <si>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</si>
  <si>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</si>
  <si>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</si>
  <si>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</si>
  <si>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</si>
  <si>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</si>
  <si>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</si>
  <si>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</si>
  <si>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r>
      <t>Forward Voltage Drop (V</t>
    </r>
    <r>
      <rPr>
        <vertAlign val="subscript"/>
        <sz val="11"/>
        <color theme="1"/>
        <rFont val="Calibri"/>
        <family val="2"/>
        <scheme val="minor"/>
      </rPr>
      <t>D</t>
    </r>
    <r>
      <rPr>
        <sz val="11"/>
        <color theme="1"/>
        <rFont val="Calibri"/>
        <family val="2"/>
        <scheme val="minor"/>
      </rPr>
      <t>)</t>
    </r>
  </si>
  <si>
    <t>MOSFET Parameters</t>
  </si>
  <si>
    <t>Qg_tot</t>
  </si>
  <si>
    <t>Qgs</t>
  </si>
  <si>
    <t>Qgd</t>
  </si>
  <si>
    <t>Rgate</t>
  </si>
  <si>
    <t>gfs</t>
  </si>
  <si>
    <t>Vth</t>
  </si>
  <si>
    <t>Reverse recovery charge of Schottky  Diode (QRR)</t>
  </si>
  <si>
    <t>C</t>
  </si>
  <si>
    <t>Shottky Reverse recovery charge</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</si>
  <si>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</si>
  <si>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</si>
  <si>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</si>
  <si>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</si>
  <si>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</si>
  <si>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</si>
  <si>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</si>
  <si>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</si>
  <si>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</si>
  <si>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</si>
  <si>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</si>
  <si>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</si>
  <si>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</si>
  <si>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</si>
  <si>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</si>
  <si>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</si>
  <si>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</si>
  <si>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</si>
  <si>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</si>
  <si>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</si>
  <si>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 xml:space="preserve">D_tot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</si>
  <si>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</si>
  <si>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</si>
  <si>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</si>
  <si>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</si>
  <si>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</si>
  <si>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</si>
  <si>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</si>
  <si>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</si>
  <si>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</si>
  <si>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</si>
  <si>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</si>
  <si>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</si>
  <si>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MOSFET</t>
  </si>
  <si>
    <t>Diode</t>
  </si>
  <si>
    <r>
      <t>C</t>
    </r>
    <r>
      <rPr>
        <vertAlign val="subscript"/>
        <sz val="11"/>
        <color theme="1"/>
        <rFont val="Calibri"/>
        <family val="2"/>
        <scheme val="minor"/>
      </rPr>
      <t>COMP</t>
    </r>
  </si>
  <si>
    <r>
      <t>C</t>
    </r>
    <r>
      <rPr>
        <vertAlign val="subscript"/>
        <sz val="11"/>
        <color theme="1"/>
        <rFont val="Calibri"/>
        <family val="2"/>
        <scheme val="minor"/>
      </rPr>
      <t>HF</t>
    </r>
  </si>
  <si>
    <t>IOUT_VAR</t>
  </si>
  <si>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</si>
  <si>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</si>
  <si>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</si>
  <si>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</si>
  <si>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</si>
  <si>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</si>
  <si>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</si>
  <si>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Recommended Inductance (L</t>
    </r>
    <r>
      <rPr>
        <vertAlign val="subscript"/>
        <sz val="10"/>
        <color theme="1"/>
        <rFont val="Calibri"/>
        <family val="2"/>
        <scheme val="minor"/>
      </rPr>
      <t>M_CALC</t>
    </r>
    <r>
      <rPr>
        <sz val="10"/>
        <color theme="1"/>
        <rFont val="Calibri"/>
        <family val="2"/>
        <scheme val="minor"/>
      </rPr>
      <t>)</t>
    </r>
  </si>
  <si>
    <r>
      <t>User Selection. Inductance, (L</t>
    </r>
    <r>
      <rPr>
        <vertAlign val="subscript"/>
        <sz val="10"/>
        <color theme="1"/>
        <rFont val="Calibri"/>
        <family val="2"/>
        <scheme val="minor"/>
      </rPr>
      <t>M</t>
    </r>
    <r>
      <rPr>
        <sz val="10"/>
        <color theme="1"/>
        <rFont val="Calibri"/>
        <family val="2"/>
        <scheme val="minor"/>
      </rPr>
      <t>)</t>
    </r>
  </si>
  <si>
    <t>Id_AVG</t>
  </si>
  <si>
    <t xml:space="preserve">Suggested average current rating of diode. </t>
  </si>
  <si>
    <r>
      <t>Selected band width (F</t>
    </r>
    <r>
      <rPr>
        <vertAlign val="subscript"/>
        <sz val="11"/>
        <color theme="1"/>
        <rFont val="Calibri"/>
        <family val="2"/>
        <scheme val="minor"/>
      </rPr>
      <t>CO</t>
    </r>
    <r>
      <rPr>
        <sz val="11"/>
        <color theme="1"/>
        <rFont val="Calibri"/>
        <family val="2"/>
        <scheme val="minor"/>
      </rPr>
      <t>)</t>
    </r>
  </si>
  <si>
    <r>
      <t>Calculated top UVLO resistor value (R</t>
    </r>
    <r>
      <rPr>
        <vertAlign val="subscript"/>
        <sz val="11"/>
        <color theme="1"/>
        <rFont val="Calibri"/>
        <family val="2"/>
        <scheme val="minor"/>
      </rPr>
      <t>UVT_CALC</t>
    </r>
    <r>
      <rPr>
        <sz val="11"/>
        <color theme="1"/>
        <rFont val="Calibri"/>
        <family val="2"/>
        <scheme val="minor"/>
      </rPr>
      <t>)</t>
    </r>
  </si>
  <si>
    <r>
      <t>Selected top UVLO resistor value (R</t>
    </r>
    <r>
      <rPr>
        <vertAlign val="subscript"/>
        <sz val="11"/>
        <color theme="1"/>
        <rFont val="Calibri"/>
        <family val="2"/>
        <scheme val="minor"/>
      </rPr>
      <t>UVT</t>
    </r>
    <r>
      <rPr>
        <sz val="11"/>
        <color theme="1"/>
        <rFont val="Calibri"/>
        <family val="2"/>
        <scheme val="minor"/>
      </rPr>
      <t>)</t>
    </r>
  </si>
  <si>
    <r>
      <t>Bottom UVLO Resistor (R</t>
    </r>
    <r>
      <rPr>
        <vertAlign val="subscript"/>
        <sz val="11"/>
        <color theme="1"/>
        <rFont val="Calibri"/>
        <family val="2"/>
        <scheme val="minor"/>
      </rPr>
      <t>UVB</t>
    </r>
    <r>
      <rPr>
        <sz val="11"/>
        <color theme="1"/>
        <rFont val="Calibri"/>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</si>
  <si>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</si>
  <si>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</si>
  <si>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</si>
  <si>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</si>
  <si>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</si>
  <si>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</si>
  <si>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</si>
  <si>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</si>
  <si>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</si>
  <si>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</si>
  <si>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</si>
  <si>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</si>
  <si>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</si>
  <si>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</si>
  <si>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</si>
  <si>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</si>
  <si>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</si>
  <si>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</si>
  <si>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</si>
  <si>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</si>
  <si>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Ideal Duty Cycle at V</t>
    </r>
    <r>
      <rPr>
        <vertAlign val="subscript"/>
        <sz val="10"/>
        <color theme="1"/>
        <rFont val="Calibri"/>
        <family val="2"/>
        <scheme val="minor"/>
      </rPr>
      <t xml:space="preserve">SUPPLY(MIN) </t>
    </r>
  </si>
  <si>
    <r>
      <t>Desired Maximum Inductor Current Ripple Ratio (I</t>
    </r>
    <r>
      <rPr>
        <vertAlign val="subscript"/>
        <sz val="10"/>
        <color theme="1"/>
        <rFont val="Calibri"/>
        <family val="2"/>
        <scheme val="minor"/>
      </rPr>
      <t>RR_MAX</t>
    </r>
    <r>
      <rPr>
        <sz val="10"/>
        <color theme="1"/>
        <rFont val="Calibri"/>
        <family val="2"/>
        <scheme val="minor"/>
      </rPr>
      <t>)</t>
    </r>
  </si>
  <si>
    <t>Peak Current Limit Margin</t>
  </si>
  <si>
    <r>
      <t>Voltage selected (V</t>
    </r>
    <r>
      <rPr>
        <vertAlign val="subscript"/>
        <sz val="11"/>
        <rFont val="Calibri"/>
        <family val="2"/>
        <scheme val="minor"/>
      </rPr>
      <t>IN_VAR</t>
    </r>
    <r>
      <rPr>
        <sz val="11"/>
        <rFont val="Calibri"/>
        <family val="2"/>
        <scheme val="minor"/>
      </rPr>
      <t>)</t>
    </r>
  </si>
  <si>
    <t>This should be set at or near the lowest RHP zero Frequency</t>
  </si>
  <si>
    <t>Set between 1/2 fsw and the RHPz in the application note. This is aggressive</t>
  </si>
  <si>
    <r>
      <t>Recommended minimum average current rating (I</t>
    </r>
    <r>
      <rPr>
        <vertAlign val="subscript"/>
        <sz val="11"/>
        <color theme="1"/>
        <rFont val="Calibri"/>
        <family val="2"/>
        <scheme val="minor"/>
      </rPr>
      <t>D_AVG</t>
    </r>
    <r>
      <rPr>
        <sz val="11"/>
        <color theme="1"/>
        <rFont val="Calibri"/>
        <family val="2"/>
        <scheme val="minor"/>
      </rPr>
      <t>)</t>
    </r>
  </si>
  <si>
    <r>
      <t>Recommended current sense Resistor (R</t>
    </r>
    <r>
      <rPr>
        <vertAlign val="subscript"/>
        <sz val="11"/>
        <color theme="1"/>
        <rFont val="Calibri"/>
        <family val="2"/>
        <scheme val="minor"/>
      </rPr>
      <t>S</t>
    </r>
    <r>
      <rPr>
        <sz val="11"/>
        <color theme="1"/>
        <rFont val="Calibri"/>
        <family val="2"/>
        <scheme val="minor"/>
      </rPr>
      <t>)</t>
    </r>
  </si>
  <si>
    <r>
      <t>Selected current sense Resistor (R</t>
    </r>
    <r>
      <rPr>
        <vertAlign val="subscript"/>
        <sz val="11"/>
        <color theme="1"/>
        <rFont val="Calibri"/>
        <family val="2"/>
        <scheme val="minor"/>
      </rPr>
      <t>S</t>
    </r>
    <r>
      <rPr>
        <sz val="11"/>
        <color theme="1"/>
        <rFont val="Calibri"/>
        <family val="2"/>
        <scheme val="minor"/>
      </rPr>
      <t>)</t>
    </r>
  </si>
  <si>
    <t xml:space="preserve">Estimated efficiency. Assuming 95% to give some margin </t>
  </si>
  <si>
    <t>Maximum duty cycle at the minimum input voltage. Includes estimated efficiency for margin</t>
  </si>
  <si>
    <t>Duty cycle at the nominal input voltage (CCM) (First order/ ideal equation)</t>
  </si>
  <si>
    <t>Duty cycle at the maximum input voltage (CCM) (First order/ ideal equation)</t>
  </si>
  <si>
    <t>Is discontinuous conduction mode required to achieve step up ratio?</t>
  </si>
  <si>
    <t>DCM_Flag</t>
  </si>
  <si>
    <t>CCM Operation calculations</t>
  </si>
  <si>
    <t>DCM Strategy</t>
  </si>
  <si>
    <t>Select DCM duty cycle to be 70%. This will keep the ripple current fairly low and allow for efficiency drops.</t>
  </si>
  <si>
    <t>L_DCM_DC</t>
  </si>
  <si>
    <t>DC_DCM_max</t>
  </si>
  <si>
    <t>Maximum duty cycle for DCM operation. 70% is a good starting point. Could be related to the switching frequency</t>
  </si>
  <si>
    <t>M_L_DCM</t>
  </si>
  <si>
    <t>Margin to allow for inductor ripple current to be greater than the average input current</t>
  </si>
  <si>
    <t>L_DCM_M</t>
  </si>
  <si>
    <t xml:space="preserve">Inductor value that ensures the ripple current is larger than the average input current </t>
  </si>
  <si>
    <t>L_DCM</t>
  </si>
  <si>
    <t>Select the lowest of the two inductor value calculations</t>
  </si>
  <si>
    <t>If DCM is required (high step-up ratio) output L_DCM. Otherwise output the CCM inductor value</t>
  </si>
  <si>
    <r>
      <t xml:space="preserve">Forced off time limit? [2 True, 1 False]. </t>
    </r>
    <r>
      <rPr>
        <b/>
        <sz val="11"/>
        <color theme="1"/>
        <rFont val="Calibri"/>
        <family val="2"/>
        <scheme val="minor"/>
      </rPr>
      <t>Note this is calcualting for the minimum duty cycle limit of the datasheet.</t>
    </r>
  </si>
  <si>
    <t>Lm_calc</t>
  </si>
  <si>
    <t>Duty Cycle Calculations</t>
  </si>
  <si>
    <t>Minium input voltage</t>
  </si>
  <si>
    <t>DCc_mode_VIN_min</t>
  </si>
  <si>
    <t>Flags if the regulator is operating in CCM or DCM (1 = CCM, 0 = DCM)</t>
  </si>
  <si>
    <t>DCc_mode_VIN_nom</t>
  </si>
  <si>
    <t>DCc_mode_VIN_max</t>
  </si>
  <si>
    <t>Current Sense Resistor calculated, id DCM this is going to be the value calculated without slope compensation</t>
  </si>
  <si>
    <t>External slope compensation resistor, if DCM operation the external slope compensation is not needed. Should b 0 Ohm</t>
  </si>
  <si>
    <t>External Compensation? (0-no, 1-yes), Only accurate for CCM as DCM doesn't need slope compensation</t>
  </si>
  <si>
    <t>External Slope compensation ratio. Constant to provide a dead beat response</t>
  </si>
  <si>
    <t>*Note this changed for the Version 1 forward. The output capcitance is based on the load transient specification. Similar to the fylback converter</t>
  </si>
  <si>
    <t>fcross_estimate</t>
  </si>
  <si>
    <t>Itrans</t>
  </si>
  <si>
    <r>
      <t>Desired load step ripple voltage (</t>
    </r>
    <r>
      <rPr>
        <sz val="11"/>
        <color theme="1"/>
        <rFont val="Calibri"/>
        <family val="2"/>
      </rPr>
      <t>Δv</t>
    </r>
    <r>
      <rPr>
        <vertAlign val="subscript"/>
        <sz val="11"/>
        <color theme="1"/>
        <rFont val="Calibri"/>
        <family val="2"/>
      </rPr>
      <t>OUT</t>
    </r>
    <r>
      <rPr>
        <sz val="11"/>
        <color theme="1"/>
        <rFont val="Calibri"/>
        <family val="2"/>
      </rPr>
      <t>)</t>
    </r>
  </si>
  <si>
    <t>CCM Calculations</t>
  </si>
  <si>
    <t>DCM Selections</t>
  </si>
  <si>
    <t>CCM Plant Transfer Function</t>
  </si>
  <si>
    <t>DCM Plant Transfer Function</t>
  </si>
  <si>
    <t xml:space="preserve"> CCMPlant Parameters</t>
  </si>
  <si>
    <t xml:space="preserve"> DCMPlant Parameters</t>
  </si>
  <si>
    <t>ADC_VIN_min_DCM</t>
  </si>
  <si>
    <t>Fm_DCM</t>
  </si>
  <si>
    <t>wp_dcm</t>
  </si>
  <si>
    <t>wz1_dcm</t>
  </si>
  <si>
    <t>wz2_dcm</t>
  </si>
  <si>
    <t>fcross_DCM</t>
  </si>
  <si>
    <t>Gain of the plant at the crossover frequency</t>
  </si>
  <si>
    <r>
      <t>Crossover frequnecy of the</t>
    </r>
    <r>
      <rPr>
        <b/>
        <sz val="11"/>
        <color theme="1"/>
        <rFont val="Calibri"/>
        <family val="2"/>
        <scheme val="minor"/>
      </rPr>
      <t xml:space="preserve"> DCM control loop</t>
    </r>
    <r>
      <rPr>
        <sz val="11"/>
        <color theme="1"/>
        <rFont val="Calibri"/>
        <family val="2"/>
        <scheme val="minor"/>
      </rPr>
      <t>. (1/5th the RHPzero frequency), suggested</t>
    </r>
  </si>
  <si>
    <t>General Loop Selections</t>
  </si>
  <si>
    <t>This is the output to the user based on the mode of operation when VIN is the minimum</t>
  </si>
  <si>
    <t>Rcomp_Calc_DCM</t>
  </si>
  <si>
    <t>Selected cross over frequency by the user.</t>
  </si>
  <si>
    <t>Calcualted based on the desired Zero frequency. Set at the geometric mean between the crossover frequency and the load pole</t>
  </si>
  <si>
    <t>Calcualted based on the RHP zero frequency</t>
  </si>
  <si>
    <t>fcross_CCM</t>
  </si>
  <si>
    <t>Ohm</t>
  </si>
  <si>
    <t>CCOMP_Calc_DCM</t>
  </si>
  <si>
    <t>CHF_Calc_DCM</t>
  </si>
  <si>
    <t>Rcomp_Calc_CCM</t>
  </si>
  <si>
    <t>CCOMP_calc_CCM</t>
  </si>
  <si>
    <t>CHF_Calc_CCM</t>
  </si>
  <si>
    <t>CHF_calc</t>
  </si>
  <si>
    <t>CCM Plan Parameters</t>
  </si>
  <si>
    <t>Variable output current (Can add this a different revision, not needed right now)</t>
  </si>
  <si>
    <t>RHP zero location</t>
  </si>
  <si>
    <t>Modulator gain of the PWM comparator</t>
  </si>
  <si>
    <t>"Note this include the COMP to PWM gain term (.145V/V)</t>
  </si>
  <si>
    <t>DC_VIN_var_DCM</t>
  </si>
  <si>
    <t>Duty cycle of the converter in DCM</t>
  </si>
  <si>
    <t>Operating mode</t>
  </si>
  <si>
    <t>wp_lf_DCM</t>
  </si>
  <si>
    <t>CCM Open Loop Response</t>
  </si>
  <si>
    <t>DCM Open Loop Response</t>
  </si>
  <si>
    <t>Displayed Loop Calclation</t>
  </si>
  <si>
    <t>Gain(dB)</t>
  </si>
  <si>
    <t>Phase (deg)</t>
  </si>
  <si>
    <t>RAD</t>
  </si>
  <si>
    <t>June-2020</t>
  </si>
  <si>
    <t>This sets the error amp zero at the geometric mean between the load pole and the crossover frequency</t>
  </si>
  <si>
    <t>LM5155/56 DC/DC Coupled Inductor SEPIC Controller Design Tool</t>
  </si>
  <si>
    <t>"Currently this is set of a boost Converter. Will need to change when Supporting DCM Calculation</t>
  </si>
  <si>
    <t>Calculate the inductor at nominal voltage. This should allow for the best efficiency</t>
  </si>
  <si>
    <t>This value used to make the selection for CCM calculations. This is done at the Nominal input voltage</t>
  </si>
  <si>
    <t>*Note right now DCM is not active for SEPIC calculations</t>
  </si>
  <si>
    <t>Required Mode of Operation:</t>
  </si>
  <si>
    <t>Input coil currents</t>
  </si>
  <si>
    <t>Lm_A</t>
  </si>
  <si>
    <t>Input coil inductance</t>
  </si>
  <si>
    <t>Output coil inductance</t>
  </si>
  <si>
    <t>IL_coupled</t>
  </si>
  <si>
    <r>
      <t xml:space="preserve">are the inductors coupled? (1 = Yes, 0 = No). </t>
    </r>
    <r>
      <rPr>
        <b/>
        <sz val="11"/>
        <color theme="1"/>
        <rFont val="Calibri"/>
        <family val="2"/>
        <scheme val="minor"/>
      </rPr>
      <t>This will be an option in future revisions</t>
    </r>
  </si>
  <si>
    <t>Lm_B</t>
  </si>
  <si>
    <t>Input from user for uncoupled design</t>
  </si>
  <si>
    <t>ILA_avg_VIN_min</t>
  </si>
  <si>
    <t>ILArip_VINmin</t>
  </si>
  <si>
    <t>ILAp_VINmin</t>
  </si>
  <si>
    <t>ILA_avg_VIN_nom</t>
  </si>
  <si>
    <t>ILArip_VINnom</t>
  </si>
  <si>
    <t>ILAp_VINnom</t>
  </si>
  <si>
    <t>ILA_avg_VIN_max</t>
  </si>
  <si>
    <t>ILArip_VINmax</t>
  </si>
  <si>
    <t>ILAp_VINmax</t>
  </si>
  <si>
    <t>Output coil currents</t>
  </si>
  <si>
    <t>ILB_avg_VIN_min</t>
  </si>
  <si>
    <t>ILBrip_VINmin</t>
  </si>
  <si>
    <t>ILBp_VINmin</t>
  </si>
  <si>
    <t>Duty cycle at the mimum input voltage (CCM). DCM is modeled for coupled inductor equations. Needs to me modeld of uncoupled inductors</t>
  </si>
  <si>
    <t>Switch currents</t>
  </si>
  <si>
    <t>ISW_peak_VIN_min</t>
  </si>
  <si>
    <t>ILB_avg_VIN_nom</t>
  </si>
  <si>
    <t>ILBrip_VIN_nom</t>
  </si>
  <si>
    <t>ILBp_VIN_nom</t>
  </si>
  <si>
    <t>ISW_peak_VIN_nom</t>
  </si>
  <si>
    <t>ILB_avg_VIN_max</t>
  </si>
  <si>
    <t>ILBrip_VIN_max</t>
  </si>
  <si>
    <t>ILBp_VIN_max</t>
  </si>
  <si>
    <t>ISW_peak_VIN_max</t>
  </si>
  <si>
    <t>Outout coil inductor calculations</t>
  </si>
  <si>
    <t>Actual switch peak current limit</t>
  </si>
  <si>
    <r>
      <t>Step 4: C</t>
    </r>
    <r>
      <rPr>
        <b/>
        <vertAlign val="subscript"/>
        <sz val="11"/>
        <color rgb="FF0070C0"/>
        <rFont val="Calibri"/>
        <family val="2"/>
        <scheme val="minor"/>
      </rPr>
      <t>AC</t>
    </r>
    <r>
      <rPr>
        <b/>
        <sz val="11"/>
        <color rgb="FF0070C0"/>
        <rFont val="Calibri"/>
        <family val="2"/>
        <scheme val="minor"/>
      </rPr>
      <t xml:space="preserve"> Capacitor Selection</t>
    </r>
  </si>
  <si>
    <r>
      <t>Minimum couplpling capacitor value (C</t>
    </r>
    <r>
      <rPr>
        <vertAlign val="subscript"/>
        <sz val="11"/>
        <color theme="1"/>
        <rFont val="Calibri"/>
        <family val="2"/>
        <scheme val="minor"/>
      </rPr>
      <t>AC_min</t>
    </r>
    <r>
      <rPr>
        <sz val="11"/>
        <color theme="1"/>
        <rFont val="Calibri"/>
        <family val="2"/>
        <scheme val="minor"/>
      </rPr>
      <t>)</t>
    </r>
  </si>
  <si>
    <r>
      <t>Selected Coupling Capacitor (C</t>
    </r>
    <r>
      <rPr>
        <vertAlign val="subscript"/>
        <sz val="11"/>
        <color theme="1"/>
        <rFont val="Calibri"/>
        <family val="2"/>
        <scheme val="minor"/>
      </rPr>
      <t>AC</t>
    </r>
    <r>
      <rPr>
        <sz val="11"/>
        <color theme="1"/>
        <rFont val="Calibri"/>
        <family val="2"/>
        <scheme val="minor"/>
      </rPr>
      <t>)</t>
    </r>
  </si>
  <si>
    <r>
      <t>Minimuum require C</t>
    </r>
    <r>
      <rPr>
        <vertAlign val="subscript"/>
        <sz val="11"/>
        <color theme="1"/>
        <rFont val="Calibri"/>
        <family val="2"/>
        <scheme val="minor"/>
      </rPr>
      <t>AC</t>
    </r>
    <r>
      <rPr>
        <sz val="11"/>
        <color theme="1"/>
        <rFont val="Calibri"/>
        <family val="2"/>
        <scheme val="minor"/>
      </rPr>
      <t xml:space="preserve"> RMS current Rating</t>
    </r>
  </si>
  <si>
    <t>Step 5: Output Capacitor Selection</t>
  </si>
  <si>
    <t>Step 6: Soft-Start Capacitor Selection</t>
  </si>
  <si>
    <t>Step 7: UVLO Resistor Divider Selection</t>
  </si>
  <si>
    <t>Step  8: Loop Compensation</t>
  </si>
  <si>
    <t>Step 4: AC capacitor selection</t>
  </si>
  <si>
    <t>Cac_min</t>
  </si>
  <si>
    <t>Cac</t>
  </si>
  <si>
    <t>Calculated for CCM operation assuming coupled inductors</t>
  </si>
  <si>
    <t>VCrr</t>
  </si>
  <si>
    <t>Selected  AC capacitor value for the user</t>
  </si>
  <si>
    <t>IRMS_Cac</t>
  </si>
  <si>
    <t>V_Cac</t>
  </si>
  <si>
    <t>Max ripple voltage of the capacitor (at VIN min)</t>
  </si>
  <si>
    <t>RMS ripple current of the AC capacitor. Calculated at the minimum input votlage</t>
  </si>
  <si>
    <r>
      <t>Estimate to be 1.5 the RHP zero frequency *</t>
    </r>
    <r>
      <rPr>
        <b/>
        <sz val="11"/>
        <color theme="1"/>
        <rFont val="Calibri"/>
        <family val="2"/>
        <scheme val="minor"/>
      </rPr>
      <t>Will need to updated for DCM operation</t>
    </r>
  </si>
  <si>
    <r>
      <t xml:space="preserve">RMS current of the output capacitor at VIN min IOUT max. RMS current rating should be larger than this. </t>
    </r>
    <r>
      <rPr>
        <b/>
        <sz val="11"/>
        <color theme="1"/>
        <rFont val="Calibri"/>
        <family val="2"/>
        <scheme val="minor"/>
      </rPr>
      <t>Need to update for DCM and uncoupled inductors</t>
    </r>
  </si>
  <si>
    <r>
      <t xml:space="preserve">Selected output capacitance ESR. </t>
    </r>
    <r>
      <rPr>
        <b/>
        <sz val="11"/>
        <color theme="1"/>
        <rFont val="Calibri"/>
        <family val="2"/>
        <scheme val="minor"/>
      </rPr>
      <t>*Need to add a requirement here for the maximum value</t>
    </r>
  </si>
  <si>
    <t>Step 6: Soft-start Capacitor selection</t>
  </si>
  <si>
    <t>Step 7: UVLO Resistor Selection</t>
  </si>
  <si>
    <t>Step 8: Loop Compensation</t>
  </si>
  <si>
    <r>
      <t xml:space="preserve">Select the lower crossover frequency </t>
    </r>
    <r>
      <rPr>
        <b/>
        <sz val="11"/>
        <color theme="1"/>
        <rFont val="Calibri"/>
        <family val="2"/>
        <scheme val="minor"/>
      </rPr>
      <t>(typically going to set to 1/5th the RHP zero)</t>
    </r>
  </si>
  <si>
    <r>
      <t xml:space="preserve">Flags if the regulator is operating in CCM or DCM (1 = CCM, 0 = DCM). </t>
    </r>
    <r>
      <rPr>
        <b/>
        <sz val="11"/>
        <color theme="1"/>
        <rFont val="Calibri"/>
        <family val="2"/>
        <scheme val="minor"/>
      </rPr>
      <t>*Currently set to CCM all the time to enusure the calculations are correct for CCM</t>
    </r>
  </si>
  <si>
    <t>*DCM operation is not modeled is disabled on the loop compensation. Needs to be modeled for a SEPIC</t>
  </si>
  <si>
    <t>Check this value</t>
  </si>
  <si>
    <t>DC_VIN_Var</t>
  </si>
  <si>
    <r>
      <t xml:space="preserve">0 - DCM operation, 1- CCM opertaion. </t>
    </r>
    <r>
      <rPr>
        <b/>
        <sz val="11"/>
        <color theme="1"/>
        <rFont val="Calibri"/>
        <family val="2"/>
        <scheme val="minor"/>
      </rPr>
      <t>Always set to CCM right now</t>
    </r>
  </si>
  <si>
    <t>Needs to be updated for DCM operation</t>
  </si>
  <si>
    <r>
      <t xml:space="preserve">Conservative. Set Fcross to be 1/6th the RHP zero frequency or 1/10th SW: whichever is lower. </t>
    </r>
    <r>
      <rPr>
        <b/>
        <sz val="11"/>
        <color theme="1"/>
        <rFont val="Calibri"/>
        <family val="2"/>
        <scheme val="minor"/>
      </rPr>
      <t>Note this is just for CCM operation</t>
    </r>
  </si>
  <si>
    <t>Coils are not included in the efficiency calculations</t>
  </si>
  <si>
    <t>Inductor (Written of the switch on SEPIC)</t>
  </si>
  <si>
    <r>
      <t>SEPIC Regulator Duty Cycle Limit by LM5155/56 at V</t>
    </r>
    <r>
      <rPr>
        <vertAlign val="subscript"/>
        <sz val="10"/>
        <color theme="1"/>
        <rFont val="Calibri"/>
        <family val="2"/>
        <scheme val="minor"/>
      </rPr>
      <t>SUPPLY(MIN)</t>
    </r>
  </si>
  <si>
    <r>
      <t>Selected Peak Current limit (IL</t>
    </r>
    <r>
      <rPr>
        <vertAlign val="subscript"/>
        <sz val="11"/>
        <color theme="1"/>
        <rFont val="Calibri"/>
        <family val="2"/>
        <scheme val="minor"/>
      </rPr>
      <t>SW_select</t>
    </r>
    <r>
      <rPr>
        <sz val="11"/>
        <color theme="1"/>
        <rFont val="Calibri"/>
        <family val="2"/>
        <scheme val="minor"/>
      </rPr>
      <t>)</t>
    </r>
  </si>
  <si>
    <t>Rev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</si>
</sst>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E+00"/>
    <numFmt numFmtId="166" formatCode="0.0000"/>
    <numFmt numFmtId="167" formatCode="0.0000E+00"/>
    <numFmt numFmtId="168" formatCode="0.0"/>
    <numFmt numFmtId="169" formatCode="0.00000"/>
    <numFmt numFmtId="170" formatCode="0.000000E+00"/>
  </numFmts>
  <fonts count="42"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2"/>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vertAlign val="subscript"/>
      <sz val="11"/>
      <color theme="1"/>
      <name val="Calibri"/>
      <family val="2"/>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sz val="18"/>
      <color theme="0"/>
      <name val="Calibri"/>
      <family val="2"/>
      <scheme val="minor"/>
    </font>
    <font>
      <vertAlign val="subscript"/>
      <sz val="10"/>
      <name val="Arial"/>
      <family val="2"/>
    </font>
    <font>
      <vertAlign val="subscript"/>
      <sz val="11"/>
      <name val="Calibri"/>
      <family val="2"/>
      <scheme val="minor"/>
    </font>
    <font>
      <b/>
      <sz val="11"/>
      <color theme="4"/>
      <name val="Calibri"/>
      <family val="2"/>
      <scheme val="minor"/>
    </font>
    <font>
      <b/>
      <sz val="9"/>
      <color indexed="10"/>
      <name val="Tahoma"/>
      <family val="2"/>
    </font>
    <font>
      <vertAlign val="subscript"/>
      <sz val="9"/>
      <color indexed="81"/>
      <name val="Tahoma"/>
      <family val="2"/>
    </font>
    <font>
      <sz val="11"/>
      <color indexed="10"/>
      <name val="Calibri"/>
      <family val="2"/>
      <scheme val="minor"/>
    </font>
    <font>
      <sz val="11"/>
      <color rgb="FFFF0000"/>
      <name val="Calibri"/>
      <family val="2"/>
      <scheme val="minor"/>
    </font>
    <font>
      <sz val="11"/>
      <color rgb="FF0070C0"/>
      <name val="Calibri"/>
      <family val="2"/>
      <scheme val="minor"/>
    </font>
    <font>
      <b/>
      <u/>
      <sz val="11"/>
      <color theme="1"/>
      <name val="Calibri"/>
      <family val="2"/>
      <scheme val="minor"/>
    </font>
    <font>
      <sz val="9"/>
      <color indexed="10"/>
      <name val="Tahoma"/>
      <family val="2"/>
    </font>
    <font>
      <b/>
      <sz val="11"/>
      <color indexed="81"/>
      <name val="Tahoma"/>
      <family val="2"/>
    </font>
    <font>
      <i/>
      <sz val="11"/>
      <color theme="1"/>
      <name val="Calibri"/>
      <family val="2"/>
      <scheme val="minor"/>
    </font>
    <font>
      <b/>
      <vertAlign val="subscript"/>
      <sz val="11"/>
      <color rgb="FF0070C0"/>
      <name val="Calibri"/>
      <family val="2"/>
      <scheme val="minor"/>
    </font>
  </fonts>
  <fills count="1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s>
  <borders count="27">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cellStyleXfs>
  <cellXfs count="212">
    <xf numFmtId="0" fontId="0" fillId="0" borderId="0" xfId="0"/>
    <xf numFmtId="0" fontId="0" fillId="9" borderId="0" xfId="0" applyFill="1"/>
    <xf numFmtId="0" fontId="17"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xf numFmtId="0" fontId="9" fillId="0" borderId="0" xfId="3" applyFont="1"/>
    <xf numFmtId="2" fontId="0" fillId="10" borderId="0" xfId="0" applyNumberFormat="1" applyFill="1"/>
    <xf numFmtId="0" fontId="0" fillId="11" borderId="0" xfId="0" applyFill="1"/>
    <xf numFmtId="165" fontId="0" fillId="9" borderId="0" xfId="0" applyNumberFormat="1" applyFill="1"/>
    <xf numFmtId="0" fontId="5" fillId="0" borderId="0" xfId="3" applyFont="1" applyAlignment="1">
      <alignment horizontal="right"/>
    </xf>
    <xf numFmtId="0" fontId="4" fillId="0" borderId="0" xfId="3" applyAlignment="1">
      <alignment horizontal="center"/>
    </xf>
    <xf numFmtId="164" fontId="0" fillId="9" borderId="0" xfId="0" applyNumberFormat="1" applyFill="1"/>
    <xf numFmtId="2" fontId="0" fillId="9" borderId="0" xfId="0" applyNumberFormat="1" applyFill="1"/>
    <xf numFmtId="1" fontId="0" fillId="9" borderId="0" xfId="0" applyNumberFormat="1" applyFill="1"/>
    <xf numFmtId="0" fontId="16" fillId="0" borderId="0" xfId="0" applyFont="1"/>
    <xf numFmtId="164" fontId="0" fillId="0" borderId="0" xfId="0" applyNumberFormat="1"/>
    <xf numFmtId="11" fontId="15" fillId="10" borderId="0" xfId="0" applyNumberFormat="1" applyFont="1" applyFill="1"/>
    <xf numFmtId="0" fontId="18" fillId="0" borderId="0" xfId="0" applyFont="1"/>
    <xf numFmtId="167" fontId="0" fillId="9" borderId="0" xfId="0" applyNumberFormat="1" applyFill="1"/>
    <xf numFmtId="11" fontId="0" fillId="9" borderId="0" xfId="0" applyNumberFormat="1" applyFill="1"/>
    <xf numFmtId="0" fontId="5" fillId="0" borderId="0" xfId="3" applyFont="1" applyAlignment="1">
      <alignment horizontal="left"/>
    </xf>
    <xf numFmtId="166" fontId="0" fillId="9" borderId="0" xfId="0" applyNumberFormat="1" applyFill="1"/>
    <xf numFmtId="0" fontId="15" fillId="10" borderId="0" xfId="0" applyFont="1" applyFill="1"/>
    <xf numFmtId="0" fontId="20" fillId="0" borderId="0" xfId="0" applyFont="1"/>
    <xf numFmtId="0" fontId="22" fillId="0" borderId="0" xfId="0" applyFont="1"/>
    <xf numFmtId="0" fontId="0" fillId="12" borderId="0" xfId="0" applyFill="1"/>
    <xf numFmtId="1" fontId="0" fillId="0" borderId="0" xfId="0" applyNumberFormat="1"/>
    <xf numFmtId="0" fontId="23" fillId="0" borderId="0" xfId="0" applyFont="1"/>
    <xf numFmtId="0" fontId="24" fillId="0" borderId="0" xfId="0" applyFont="1"/>
    <xf numFmtId="164" fontId="4" fillId="0" borderId="0" xfId="3" applyNumberFormat="1"/>
    <xf numFmtId="2" fontId="0" fillId="0" borderId="0" xfId="0" applyNumberFormat="1"/>
    <xf numFmtId="0" fontId="25" fillId="0" borderId="0" xfId="0" applyFont="1"/>
    <xf numFmtId="2" fontId="0" fillId="0" borderId="5" xfId="0" applyNumberFormat="1" applyBorder="1"/>
    <xf numFmtId="2" fontId="0" fillId="0" borderId="7" xfId="0" applyNumberFormat="1" applyBorder="1"/>
    <xf numFmtId="0" fontId="4" fillId="0" borderId="8" xfId="3" applyBorder="1"/>
    <xf numFmtId="0" fontId="0" fillId="0" borderId="8" xfId="0" applyBorder="1"/>
    <xf numFmtId="0" fontId="4" fillId="0" borderId="9" xfId="3" applyBorder="1"/>
    <xf numFmtId="0" fontId="0" fillId="0" borderId="5" xfId="0" applyBorder="1"/>
    <xf numFmtId="0" fontId="4" fillId="0" borderId="7" xfId="3" applyBorder="1"/>
    <xf numFmtId="0" fontId="0" fillId="0" borderId="6" xfId="0" applyBorder="1"/>
    <xf numFmtId="0" fontId="0" fillId="0" borderId="7" xfId="0" applyBorder="1"/>
    <xf numFmtId="0" fontId="0" fillId="0" borderId="9" xfId="0" applyBorder="1"/>
    <xf numFmtId="164" fontId="0" fillId="0" borderId="8" xfId="0" applyNumberFormat="1" applyBorder="1"/>
    <xf numFmtId="0" fontId="4" fillId="0" borderId="5" xfId="3" applyBorder="1"/>
    <xf numFmtId="2" fontId="0" fillId="0" borderId="10" xfId="0" applyNumberFormat="1" applyBorder="1"/>
    <xf numFmtId="0" fontId="26" fillId="0" borderId="0" xfId="0" applyFont="1"/>
    <xf numFmtId="0" fontId="27" fillId="0" borderId="0" xfId="3" applyFont="1"/>
    <xf numFmtId="168" fontId="0" fillId="0" borderId="0" xfId="0" applyNumberFormat="1"/>
    <xf numFmtId="0" fontId="0" fillId="0" borderId="2" xfId="0" applyBorder="1"/>
    <xf numFmtId="164" fontId="4" fillId="0" borderId="3" xfId="3" applyNumberFormat="1" applyBorder="1"/>
    <xf numFmtId="0" fontId="4" fillId="0" borderId="3" xfId="3" applyBorder="1"/>
    <xf numFmtId="0" fontId="0" fillId="0" borderId="3" xfId="0" applyBorder="1"/>
    <xf numFmtId="0" fontId="4" fillId="0" borderId="2" xfId="3" applyBorder="1"/>
    <xf numFmtId="164" fontId="0" fillId="0" borderId="3" xfId="0" applyNumberFormat="1" applyBorder="1"/>
    <xf numFmtId="0" fontId="0" fillId="0" borderId="4" xfId="0" applyBorder="1"/>
    <xf numFmtId="164" fontId="4" fillId="0" borderId="8" xfId="3" applyNumberFormat="1" applyBorder="1"/>
    <xf numFmtId="0" fontId="4" fillId="0" borderId="6" xfId="3" applyBorder="1"/>
    <xf numFmtId="0" fontId="0" fillId="0" borderId="10" xfId="0" applyBorder="1"/>
    <xf numFmtId="0" fontId="0" fillId="0" borderId="11" xfId="0" applyBorder="1"/>
    <xf numFmtId="164" fontId="4" fillId="0" borderId="11" xfId="3" applyNumberFormat="1" applyBorder="1"/>
    <xf numFmtId="0" fontId="4" fillId="0" borderId="11" xfId="3" applyBorder="1"/>
    <xf numFmtId="0" fontId="4" fillId="0" borderId="10" xfId="3" applyBorder="1"/>
    <xf numFmtId="164" fontId="0" fillId="0" borderId="11" xfId="0" applyNumberFormat="1" applyBorder="1"/>
    <xf numFmtId="0" fontId="0" fillId="0" borderId="12" xfId="0" applyBorder="1"/>
    <xf numFmtId="1" fontId="0" fillId="0" borderId="4" xfId="0" applyNumberFormat="1" applyBorder="1"/>
    <xf numFmtId="1" fontId="0" fillId="0" borderId="6" xfId="0" applyNumberFormat="1" applyBorder="1"/>
    <xf numFmtId="1" fontId="0" fillId="0" borderId="9" xfId="0" applyNumberFormat="1"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Alignment="1">
      <alignment horizontal="left"/>
    </xf>
    <xf numFmtId="0" fontId="4" fillId="0" borderId="8" xfId="3" applyBorder="1" applyAlignment="1">
      <alignment horizontal="left"/>
    </xf>
    <xf numFmtId="0" fontId="0" fillId="14" borderId="13" xfId="0" applyFill="1" applyBorder="1"/>
    <xf numFmtId="0" fontId="0" fillId="0" borderId="19" xfId="0" applyBorder="1"/>
    <xf numFmtId="0" fontId="0" fillId="14"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5"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5"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2" fillId="8" borderId="0" xfId="0" applyFont="1" applyFill="1" applyAlignment="1" applyProtection="1">
      <alignment horizontal="right"/>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5"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16" fillId="16" borderId="0" xfId="0" applyFon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3"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3" fillId="16" borderId="0" xfId="3" applyFont="1" applyFill="1" applyAlignment="1" applyProtection="1">
      <alignment horizontal="right"/>
      <protection hidden="1"/>
    </xf>
    <xf numFmtId="0" fontId="0" fillId="16" borderId="6" xfId="0" applyFill="1" applyBorder="1" applyProtection="1">
      <protection hidden="1"/>
    </xf>
    <xf numFmtId="0" fontId="13" fillId="16" borderId="5" xfId="0" applyFont="1" applyFill="1" applyBorder="1" applyProtection="1">
      <protection hidden="1"/>
    </xf>
    <xf numFmtId="0" fontId="13" fillId="16" borderId="0" xfId="0" applyFont="1" applyFill="1" applyProtection="1">
      <protection hidden="1"/>
    </xf>
    <xf numFmtId="0" fontId="13" fillId="16" borderId="0" xfId="0" applyFont="1" applyFill="1" applyAlignment="1" applyProtection="1">
      <alignment horizontal="right"/>
      <protection hidden="1"/>
    </xf>
    <xf numFmtId="0" fontId="13" fillId="16" borderId="7" xfId="0" applyFont="1" applyFill="1" applyBorder="1" applyProtection="1">
      <protection hidden="1"/>
    </xf>
    <xf numFmtId="0" fontId="13" fillId="16" borderId="8" xfId="0" applyFont="1" applyFill="1" applyBorder="1" applyProtection="1">
      <protection hidden="1"/>
    </xf>
    <xf numFmtId="0" fontId="0" fillId="16" borderId="8" xfId="0" applyFill="1" applyBorder="1" applyProtection="1">
      <protection hidden="1"/>
    </xf>
    <xf numFmtId="0" fontId="13" fillId="16" borderId="8" xfId="0" applyFont="1" applyFill="1" applyBorder="1" applyAlignment="1" applyProtection="1">
      <alignment horizontal="right"/>
      <protection hidden="1"/>
    </xf>
    <xf numFmtId="0" fontId="0" fillId="16" borderId="9" xfId="0" applyFill="1" applyBorder="1" applyProtection="1">
      <protection hidden="1"/>
    </xf>
    <xf numFmtId="0" fontId="13" fillId="16" borderId="3" xfId="0" applyFont="1" applyFill="1" applyBorder="1" applyProtection="1">
      <protection hidden="1"/>
    </xf>
    <xf numFmtId="0" fontId="0" fillId="16" borderId="7" xfId="0" applyFill="1" applyBorder="1" applyProtection="1">
      <protection hidden="1"/>
    </xf>
    <xf numFmtId="0" fontId="13" fillId="16" borderId="8" xfId="3" applyFont="1" applyFill="1" applyBorder="1" applyAlignment="1" applyProtection="1">
      <alignment horizontal="right"/>
      <protection hidden="1"/>
    </xf>
    <xf numFmtId="0" fontId="17" fillId="16" borderId="6" xfId="0" applyFont="1" applyFill="1" applyBorder="1" applyProtection="1">
      <protection hidden="1"/>
    </xf>
    <xf numFmtId="0" fontId="0" fillId="16" borderId="8" xfId="0" applyFill="1" applyBorder="1" applyAlignment="1" applyProtection="1">
      <alignment horizontal="right"/>
      <protection hidden="1"/>
    </xf>
    <xf numFmtId="0" fontId="17" fillId="16" borderId="9" xfId="0" applyFont="1" applyFill="1" applyBorder="1" applyProtection="1">
      <protection hidden="1"/>
    </xf>
    <xf numFmtId="0" fontId="0" fillId="16" borderId="3" xfId="0" applyFill="1" applyBorder="1" applyAlignment="1" applyProtection="1">
      <alignment horizontal="right"/>
      <protection hidden="1"/>
    </xf>
    <xf numFmtId="0" fontId="16" fillId="16" borderId="2" xfId="0" applyFont="1" applyFill="1" applyBorder="1" applyProtection="1">
      <protection hidden="1"/>
    </xf>
    <xf numFmtId="0" fontId="15" fillId="16" borderId="3" xfId="0" applyFont="1" applyFill="1" applyBorder="1" applyAlignment="1" applyProtection="1">
      <alignment horizontal="right"/>
      <protection hidden="1"/>
    </xf>
    <xf numFmtId="0" fontId="16" fillId="16" borderId="5" xfId="0" applyFont="1" applyFill="1" applyBorder="1" applyProtection="1">
      <protection hidden="1"/>
    </xf>
    <xf numFmtId="0" fontId="23" fillId="16" borderId="0" xfId="0" applyFont="1" applyFill="1" applyAlignment="1" applyProtection="1">
      <alignment horizontal="right"/>
      <protection hidden="1"/>
    </xf>
    <xf numFmtId="0" fontId="0" fillId="0" borderId="0" xfId="0" applyProtection="1">
      <protection hidden="1"/>
    </xf>
    <xf numFmtId="0" fontId="0" fillId="16" borderId="0" xfId="0" applyFill="1" applyAlignment="1" applyProtection="1">
      <alignment horizontal="center"/>
      <protection hidden="1"/>
    </xf>
    <xf numFmtId="0" fontId="0" fillId="16" borderId="6" xfId="0" applyFill="1" applyBorder="1" applyAlignment="1" applyProtection="1">
      <alignment horizontal="center"/>
      <protection hidden="1"/>
    </xf>
    <xf numFmtId="1" fontId="0" fillId="16" borderId="0" xfId="0" applyNumberFormat="1" applyFill="1" applyProtection="1">
      <protection hidden="1"/>
    </xf>
    <xf numFmtId="0" fontId="28"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31" fillId="16" borderId="0" xfId="0" applyFont="1" applyFill="1" applyAlignment="1" applyProtection="1">
      <alignment horizontal="left"/>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5" fillId="15" borderId="0" xfId="0" applyFont="1" applyFill="1" applyProtection="1">
      <protection hidden="1"/>
    </xf>
    <xf numFmtId="0" fontId="35" fillId="16"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6" borderId="25" xfId="0" applyNumberFormat="1" applyFill="1" applyBorder="1" applyProtection="1">
      <protection hidden="1"/>
    </xf>
    <xf numFmtId="0" fontId="0" fillId="16" borderId="25" xfId="0" applyFill="1" applyBorder="1" applyProtection="1">
      <protection hidden="1"/>
    </xf>
    <xf numFmtId="2" fontId="0" fillId="0" borderId="26" xfId="0" applyNumberFormat="1" applyBorder="1" applyProtection="1">
      <protection hidden="1"/>
    </xf>
    <xf numFmtId="1" fontId="0" fillId="16" borderId="25" xfId="0" applyNumberFormat="1" applyFill="1" applyBorder="1" applyProtection="1">
      <protection hidden="1"/>
    </xf>
    <xf numFmtId="2" fontId="0" fillId="16" borderId="26" xfId="0" applyNumberFormat="1" applyFill="1" applyBorder="1" applyProtection="1">
      <protection hidden="1"/>
    </xf>
    <xf numFmtId="0" fontId="0" fillId="7" borderId="26" xfId="0" applyFill="1" applyBorder="1" applyProtection="1">
      <protection locked="0" hidden="1"/>
    </xf>
    <xf numFmtId="2" fontId="0" fillId="0" borderId="25" xfId="0" applyNumberFormat="1" applyBorder="1" applyProtection="1">
      <protection hidden="1"/>
    </xf>
    <xf numFmtId="164" fontId="0" fillId="0" borderId="26" xfId="0" applyNumberFormat="1" applyBorder="1" applyProtection="1">
      <protection hidden="1"/>
    </xf>
    <xf numFmtId="2" fontId="0" fillId="0" borderId="24" xfId="0" applyNumberFormat="1" applyBorder="1" applyProtection="1">
      <protection hidden="1"/>
    </xf>
    <xf numFmtId="1" fontId="0" fillId="0" borderId="26" xfId="0" applyNumberFormat="1" applyBorder="1" applyProtection="1">
      <protection hidden="1"/>
    </xf>
    <xf numFmtId="0" fontId="0" fillId="7" borderId="24" xfId="0" applyFill="1" applyBorder="1" applyAlignment="1" applyProtection="1">
      <alignment vertical="top"/>
      <protection hidden="1"/>
    </xf>
    <xf numFmtId="0" fontId="0" fillId="0" borderId="25" xfId="0" applyBorder="1" applyAlignment="1" applyProtection="1">
      <alignment vertical="top"/>
      <protection hidden="1"/>
    </xf>
    <xf numFmtId="164" fontId="0" fillId="16" borderId="25" xfId="0" applyNumberFormat="1" applyFill="1" applyBorder="1" applyProtection="1">
      <protection hidden="1"/>
    </xf>
    <xf numFmtId="0" fontId="0" fillId="16" borderId="25" xfId="0" applyFill="1" applyBorder="1" applyAlignment="1" applyProtection="1">
      <alignment horizontal="center"/>
      <protection hidden="1"/>
    </xf>
    <xf numFmtId="1" fontId="0" fillId="16" borderId="7" xfId="0" applyNumberFormat="1" applyFill="1" applyBorder="1" applyProtection="1">
      <protection hidden="1"/>
    </xf>
    <xf numFmtId="164" fontId="0" fillId="16" borderId="10" xfId="0" applyNumberFormat="1" applyFill="1" applyBorder="1" applyProtection="1">
      <protection hidden="1"/>
    </xf>
    <xf numFmtId="0" fontId="0" fillId="7" borderId="23" xfId="0" applyFill="1" applyBorder="1" applyProtection="1">
      <protection locked="0" hidden="1"/>
    </xf>
    <xf numFmtId="2" fontId="0" fillId="16" borderId="10" xfId="0" applyNumberFormat="1" applyFill="1" applyBorder="1" applyProtection="1">
      <protection hidden="1"/>
    </xf>
    <xf numFmtId="0" fontId="0" fillId="0" borderId="24" xfId="0" applyBorder="1" applyProtection="1">
      <protection hidden="1"/>
    </xf>
    <xf numFmtId="0" fontId="17" fillId="16" borderId="23" xfId="0" applyFont="1" applyFill="1" applyBorder="1" applyAlignment="1" applyProtection="1">
      <alignment horizontal="left"/>
      <protection hidden="1"/>
    </xf>
    <xf numFmtId="0" fontId="0" fillId="16" borderId="26" xfId="0" applyFill="1" applyBorder="1" applyAlignment="1" applyProtection="1">
      <alignment horizontal="left"/>
      <protection hidden="1"/>
    </xf>
    <xf numFmtId="0" fontId="0" fillId="7" borderId="0" xfId="0" applyFill="1"/>
    <xf numFmtId="0" fontId="36" fillId="0" borderId="0" xfId="0" applyFont="1"/>
    <xf numFmtId="0" fontId="37" fillId="0" borderId="0" xfId="0" applyFont="1"/>
    <xf numFmtId="0" fontId="0" fillId="0" borderId="0" xfId="0" applyAlignment="1">
      <alignment horizontal="center"/>
    </xf>
    <xf numFmtId="0" fontId="23" fillId="0" borderId="11" xfId="0" applyFont="1" applyBorder="1" applyAlignment="1">
      <alignment horizontal="center"/>
    </xf>
    <xf numFmtId="11" fontId="0" fillId="0" borderId="0" xfId="0" applyNumberFormat="1"/>
    <xf numFmtId="168" fontId="0" fillId="16" borderId="25" xfId="0" applyNumberFormat="1" applyFill="1" applyBorder="1" applyProtection="1">
      <protection hidden="1"/>
    </xf>
    <xf numFmtId="168" fontId="0" fillId="16" borderId="26" xfId="0" applyNumberFormat="1" applyFill="1" applyBorder="1" applyProtection="1">
      <protection hidden="1"/>
    </xf>
    <xf numFmtId="0" fontId="3" fillId="0" borderId="8" xfId="3" applyFont="1" applyBorder="1"/>
    <xf numFmtId="0" fontId="3" fillId="0" borderId="0" xfId="3" applyFont="1"/>
    <xf numFmtId="0" fontId="23" fillId="16" borderId="24" xfId="0" applyFont="1" applyFill="1" applyBorder="1" applyAlignment="1" applyProtection="1">
      <alignment horizontal="center"/>
      <protection hidden="1"/>
    </xf>
    <xf numFmtId="0" fontId="13" fillId="16" borderId="3" xfId="0" applyFont="1" applyFill="1" applyBorder="1" applyAlignment="1" applyProtection="1">
      <alignment horizontal="right"/>
      <protection hidden="1"/>
    </xf>
    <xf numFmtId="169" fontId="0" fillId="9" borderId="0" xfId="0" applyNumberFormat="1" applyFill="1"/>
    <xf numFmtId="165" fontId="0" fillId="0" borderId="0" xfId="0" applyNumberFormat="1"/>
    <xf numFmtId="11" fontId="15" fillId="0" borderId="0" xfId="0" applyNumberFormat="1" applyFont="1"/>
    <xf numFmtId="0" fontId="40" fillId="0" borderId="0" xfId="0" applyFont="1"/>
    <xf numFmtId="2" fontId="0" fillId="16" borderId="24" xfId="0" applyNumberFormat="1" applyFill="1" applyBorder="1" applyProtection="1">
      <protection hidden="1"/>
    </xf>
    <xf numFmtId="170" fontId="0" fillId="9" borderId="0" xfId="0" applyNumberFormat="1" applyFill="1"/>
    <xf numFmtId="0" fontId="6" fillId="2" borderId="0" xfId="3" applyFont="1" applyFill="1" applyAlignment="1">
      <alignment horizontal="center"/>
    </xf>
    <xf numFmtId="0" fontId="5" fillId="0" borderId="0" xfId="3" applyFont="1" applyAlignment="1">
      <alignment horizontal="center"/>
    </xf>
    <xf numFmtId="0" fontId="0" fillId="0" borderId="20"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0" xfId="0"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3" fillId="0" borderId="12" xfId="0" applyFont="1" applyBorder="1" applyAlignment="1">
      <alignment horizontal="center"/>
    </xf>
    <xf numFmtId="0" fontId="4" fillId="0" borderId="0" xfId="3"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23" fillId="0" borderId="5" xfId="0" applyFont="1" applyBorder="1" applyAlignment="1">
      <alignment horizontal="center"/>
    </xf>
    <xf numFmtId="0" fontId="23" fillId="0" borderId="0" xfId="0" applyFont="1" applyAlignment="1">
      <alignment horizontal="center"/>
    </xf>
    <xf numFmtId="0" fontId="23" fillId="9" borderId="0" xfId="0" applyFont="1" applyFill="1" applyAlignment="1">
      <alignment horizontal="center"/>
    </xf>
  </cellXfs>
  <cellStyles count="8">
    <cellStyle name="Comma 2" xfId="5" xr:uid="{00000000-0005-0000-0000-000000000000}"/>
    <cellStyle name="Comma 3" xfId="2" xr:uid="{00000000-0005-0000-0000-000001000000}"/>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8">
    <dxf>
      <fill>
        <patternFill>
          <bgColor rgb="FFFF0000"/>
        </patternFill>
      </fill>
    </dxf>
    <dxf>
      <fill>
        <patternFill>
          <bgColor rgb="FFFF0000"/>
        </patternFill>
      </fill>
    </dxf>
    <dxf>
      <font>
        <color rgb="FFFF0000"/>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Loop_Modeling!$BL$19:$BL$560</c:f>
              <c:numCache>
                <c:formatCode>General</c:formatCode>
                <c:ptCount val="542"/>
                <c:pt idx="0">
                  <c:v>70.533328439616326</c:v>
                </c:pt>
                <c:pt idx="1">
                  <c:v>70.333311985890163</c:v>
                </c:pt>
                <c:pt idx="2">
                  <c:v>70.133294756805682</c:v>
                </c:pt>
                <c:pt idx="3">
                  <c:v>69.933276715829194</c:v>
                </c:pt>
                <c:pt idx="4">
                  <c:v>69.733257824706001</c:v>
                </c:pt>
                <c:pt idx="5">
                  <c:v>69.533238043379598</c:v>
                </c:pt>
                <c:pt idx="6">
                  <c:v>69.33321732990629</c:v>
                </c:pt>
                <c:pt idx="7">
                  <c:v>69.133195640366765</c:v>
                </c:pt>
                <c:pt idx="8">
                  <c:v>68.933172928773004</c:v>
                </c:pt>
                <c:pt idx="9">
                  <c:v>68.73314914697076</c:v>
                </c:pt>
                <c:pt idx="10">
                  <c:v>68.533124244537646</c:v>
                </c:pt>
                <c:pt idx="11">
                  <c:v>68.333098168676543</c:v>
                </c:pt>
                <c:pt idx="12">
                  <c:v>68.133070864103644</c:v>
                </c:pt>
                <c:pt idx="13">
                  <c:v>67.933042272931175</c:v>
                </c:pt>
                <c:pt idx="14">
                  <c:v>67.733012334545478</c:v>
                </c:pt>
                <c:pt idx="15">
                  <c:v>67.532980985478133</c:v>
                </c:pt>
                <c:pt idx="16">
                  <c:v>67.332948159271893</c:v>
                </c:pt>
                <c:pt idx="17">
                  <c:v>67.132913786340026</c:v>
                </c:pt>
                <c:pt idx="18">
                  <c:v>66.932877793819031</c:v>
                </c:pt>
                <c:pt idx="19">
                  <c:v>66.732840105414539</c:v>
                </c:pt>
                <c:pt idx="20">
                  <c:v>66.532800641239604</c:v>
                </c:pt>
                <c:pt idx="21">
                  <c:v>66.332759317646435</c:v>
                </c:pt>
                <c:pt idx="22">
                  <c:v>66.132716047048518</c:v>
                </c:pt>
                <c:pt idx="23">
                  <c:v>65.932670737736345</c:v>
                </c:pt>
                <c:pt idx="24">
                  <c:v>65.732623293682778</c:v>
                </c:pt>
                <c:pt idx="25">
                  <c:v>65.532573614340535</c:v>
                </c:pt>
                <c:pt idx="26">
                  <c:v>65.332521594429224</c:v>
                </c:pt>
                <c:pt idx="27">
                  <c:v>65.132467123713127</c:v>
                </c:pt>
                <c:pt idx="28">
                  <c:v>64.932410086768499</c:v>
                </c:pt>
                <c:pt idx="29">
                  <c:v>64.732350362739083</c:v>
                </c:pt>
                <c:pt idx="30">
                  <c:v>64.532287825081511</c:v>
                </c:pt>
                <c:pt idx="31">
                  <c:v>64.332222341297353</c:v>
                </c:pt>
                <c:pt idx="32">
                  <c:v>64.132153772654149</c:v>
                </c:pt>
                <c:pt idx="33">
                  <c:v>63.932081973891997</c:v>
                </c:pt>
                <c:pt idx="34">
                  <c:v>63.73200679291719</c:v>
                </c:pt>
                <c:pt idx="35">
                  <c:v>63.531928070481094</c:v>
                </c:pt>
                <c:pt idx="36">
                  <c:v>63.331845639844751</c:v>
                </c:pt>
                <c:pt idx="37">
                  <c:v>63.131759326426902</c:v>
                </c:pt>
                <c:pt idx="38">
                  <c:v>62.931668947435526</c:v>
                </c:pt>
                <c:pt idx="39">
                  <c:v>62.731574311483492</c:v>
                </c:pt>
                <c:pt idx="40">
                  <c:v>62.531475218184383</c:v>
                </c:pt>
                <c:pt idx="41">
                  <c:v>62.331371457731109</c:v>
                </c:pt>
                <c:pt idx="42">
                  <c:v>62.13126281045372</c:v>
                </c:pt>
                <c:pt idx="43">
                  <c:v>61.931149046357348</c:v>
                </c:pt>
                <c:pt idx="44">
                  <c:v>61.731029924637681</c:v>
                </c:pt>
                <c:pt idx="45">
                  <c:v>61.530905193175016</c:v>
                </c:pt>
                <c:pt idx="46">
                  <c:v>61.330774588003997</c:v>
                </c:pt>
                <c:pt idx="47">
                  <c:v>61.130637832758772</c:v>
                </c:pt>
                <c:pt idx="48">
                  <c:v>60.930494638092661</c:v>
                </c:pt>
                <c:pt idx="49">
                  <c:v>60.730344701070095</c:v>
                </c:pt>
                <c:pt idx="50">
                  <c:v>60.530187704531343</c:v>
                </c:pt>
                <c:pt idx="51">
                  <c:v>60.330023316426733</c:v>
                </c:pt>
                <c:pt idx="52">
                  <c:v>60.129851189121084</c:v>
                </c:pt>
                <c:pt idx="53">
                  <c:v>59.929670958664659</c:v>
                </c:pt>
                <c:pt idx="54">
                  <c:v>59.729482244030947</c:v>
                </c:pt>
                <c:pt idx="55">
                  <c:v>59.529284646319887</c:v>
                </c:pt>
                <c:pt idx="56">
                  <c:v>59.329077747922511</c:v>
                </c:pt>
                <c:pt idx="57">
                  <c:v>59.128861111648909</c:v>
                </c:pt>
                <c:pt idx="58">
                  <c:v>58.928634279814247</c:v>
                </c:pt>
                <c:pt idx="59">
                  <c:v>58.72839677328394</c:v>
                </c:pt>
                <c:pt idx="60">
                  <c:v>58.528148090474133</c:v>
                </c:pt>
                <c:pt idx="61">
                  <c:v>58.327887706306512</c:v>
                </c:pt>
                <c:pt idx="62">
                  <c:v>58.127615071114448</c:v>
                </c:pt>
                <c:pt idx="63">
                  <c:v>57.927329609499942</c:v>
                </c:pt>
                <c:pt idx="64">
                  <c:v>57.727030719137424</c:v>
                </c:pt>
                <c:pt idx="65">
                  <c:v>57.526717769522762</c:v>
                </c:pt>
                <c:pt idx="66">
                  <c:v>57.326390100665691</c:v>
                </c:pt>
                <c:pt idx="67">
                  <c:v>57.126047021721618</c:v>
                </c:pt>
                <c:pt idx="68">
                  <c:v>56.925687809561893</c:v>
                </c:pt>
                <c:pt idx="69">
                  <c:v>56.725311707278479</c:v>
                </c:pt>
                <c:pt idx="70">
                  <c:v>56.524917922621128</c:v>
                </c:pt>
                <c:pt idx="71">
                  <c:v>56.324505626362992</c:v>
                </c:pt>
                <c:pt idx="72">
                  <c:v>56.124073950592972</c:v>
                </c:pt>
                <c:pt idx="73">
                  <c:v>55.923621986930229</c:v>
                </c:pt>
                <c:pt idx="74">
                  <c:v>55.723148784658918</c:v>
                </c:pt>
                <c:pt idx="75">
                  <c:v>55.522653348778462</c:v>
                </c:pt>
                <c:pt idx="76">
                  <c:v>55.322134637966059</c:v>
                </c:pt>
                <c:pt idx="77">
                  <c:v>55.12159156244892</c:v>
                </c:pt>
                <c:pt idx="78">
                  <c:v>54.921022981780453</c:v>
                </c:pt>
                <c:pt idx="79">
                  <c:v>54.720427702517888</c:v>
                </c:pt>
                <c:pt idx="80">
                  <c:v>54.519804475796477</c:v>
                </c:pt>
                <c:pt idx="81">
                  <c:v>54.319151994796606</c:v>
                </c:pt>
                <c:pt idx="82">
                  <c:v>54.118468892098434</c:v>
                </c:pt>
                <c:pt idx="83">
                  <c:v>53.917753736920695</c:v>
                </c:pt>
                <c:pt idx="84">
                  <c:v>53.717005032238028</c:v>
                </c:pt>
                <c:pt idx="85">
                  <c:v>53.516221211772397</c:v>
                </c:pt>
                <c:pt idx="86">
                  <c:v>53.315400636853376</c:v>
                </c:pt>
                <c:pt idx="87">
                  <c:v>53.114541593142512</c:v>
                </c:pt>
                <c:pt idx="88">
                  <c:v>52.913642287215993</c:v>
                </c:pt>
                <c:pt idx="89">
                  <c:v>52.712700843000505</c:v>
                </c:pt>
                <c:pt idx="90">
                  <c:v>52.511715298056465</c:v>
                </c:pt>
                <c:pt idx="91">
                  <c:v>52.310683599703225</c:v>
                </c:pt>
                <c:pt idx="92">
                  <c:v>52.10960360097971</c:v>
                </c:pt>
                <c:pt idx="93">
                  <c:v>51.908473056435412</c:v>
                </c:pt>
                <c:pt idx="94">
                  <c:v>51.707289617744685</c:v>
                </c:pt>
                <c:pt idx="95">
                  <c:v>51.506050829139021</c:v>
                </c:pt>
                <c:pt idx="96">
                  <c:v>51.304754122649577</c:v>
                </c:pt>
                <c:pt idx="97">
                  <c:v>51.103396813155726</c:v>
                </c:pt>
                <c:pt idx="98">
                  <c:v>50.901976093230445</c:v>
                </c:pt>
                <c:pt idx="99">
                  <c:v>50.700489027778097</c:v>
                </c:pt>
                <c:pt idx="100">
                  <c:v>50.498932548456892</c:v>
                </c:pt>
                <c:pt idx="101">
                  <c:v>50.297303447879784</c:v>
                </c:pt>
                <c:pt idx="102">
                  <c:v>50.095598373586903</c:v>
                </c:pt>
                <c:pt idx="103">
                  <c:v>49.893813821782793</c:v>
                </c:pt>
                <c:pt idx="104">
                  <c:v>49.691946130832548</c:v>
                </c:pt>
                <c:pt idx="105">
                  <c:v>49.489991474509779</c:v>
                </c:pt>
                <c:pt idx="106">
                  <c:v>49.287945854989601</c:v>
                </c:pt>
                <c:pt idx="107">
                  <c:v>49.085805095582003</c:v>
                </c:pt>
                <c:pt idx="108">
                  <c:v>48.883564833197973</c:v>
                </c:pt>
                <c:pt idx="109">
                  <c:v>48.681220510543483</c:v>
                </c:pt>
                <c:pt idx="110">
                  <c:v>48.478767368036337</c:v>
                </c:pt>
                <c:pt idx="111">
                  <c:v>48.27620043543979</c:v>
                </c:pt>
                <c:pt idx="112">
                  <c:v>48.073514523209873</c:v>
                </c:pt>
                <c:pt idx="113">
                  <c:v>47.87070421355088</c:v>
                </c:pt>
                <c:pt idx="114">
                  <c:v>47.667763851177128</c:v>
                </c:pt>
                <c:pt idx="115">
                  <c:v>47.464687533777607</c:v>
                </c:pt>
                <c:pt idx="116">
                  <c:v>47.261469102181806</c:v>
                </c:pt>
                <c:pt idx="117">
                  <c:v>47.058102130225919</c:v>
                </c:pt>
                <c:pt idx="118">
                  <c:v>46.854579914319899</c:v>
                </c:pt>
                <c:pt idx="119">
                  <c:v>46.650895462716107</c:v>
                </c:pt>
                <c:pt idx="120">
                  <c:v>46.447041484482902</c:v>
                </c:pt>
                <c:pt idx="121">
                  <c:v>46.243010378187194</c:v>
                </c:pt>
                <c:pt idx="122">
                  <c:v>46.038794220291514</c:v>
                </c:pt>
                <c:pt idx="123">
                  <c:v>45.834384753273042</c:v>
                </c:pt>
                <c:pt idx="124">
                  <c:v>45.629773373475615</c:v>
                </c:pt>
                <c:pt idx="125">
                  <c:v>45.424951118704023</c:v>
                </c:pt>
                <c:pt idx="126">
                  <c:v>45.219908655577974</c:v>
                </c:pt>
                <c:pt idx="127">
                  <c:v>45.014636266659593</c:v>
                </c:pt>
                <c:pt idx="128">
                  <c:v>44.809123837376525</c:v>
                </c:pt>
                <c:pt idx="129">
                  <c:v>44.603360842762115</c:v>
                </c:pt>
                <c:pt idx="130">
                  <c:v>44.397336334040105</c:v>
                </c:pt>
                <c:pt idx="131">
                  <c:v>44.191038925082921</c:v>
                </c:pt>
                <c:pt idx="132">
                  <c:v>43.984456778777755</c:v>
                </c:pt>
                <c:pt idx="133">
                  <c:v>43.777577593340183</c:v>
                </c:pt>
                <c:pt idx="134">
                  <c:v>43.570388588614634</c:v>
                </c:pt>
                <c:pt idx="135">
                  <c:v>43.36287649241487</c:v>
                </c:pt>
                <c:pt idx="136">
                  <c:v>43.155027526951969</c:v>
                </c:pt>
                <c:pt idx="137">
                  <c:v>42.946827395412434</c:v>
                </c:pt>
                <c:pt idx="138">
                  <c:v>42.738261268749859</c:v>
                </c:pt>
                <c:pt idx="139">
                  <c:v>42.529313772759977</c:v>
                </c:pt>
                <c:pt idx="140">
                  <c:v>42.319968975518506</c:v>
                </c:pt>
                <c:pt idx="141">
                  <c:v>42.110210375265034</c:v>
                </c:pt>
                <c:pt idx="142">
                  <c:v>41.90002088882477</c:v>
                </c:pt>
                <c:pt idx="143">
                  <c:v>41.689382840668031</c:v>
                </c:pt>
                <c:pt idx="144">
                  <c:v>41.478277952714038</c:v>
                </c:pt>
                <c:pt idx="145">
                  <c:v>41.266687334993989</c:v>
                </c:pt>
                <c:pt idx="146">
                  <c:v>41.054591477298771</c:v>
                </c:pt>
                <c:pt idx="147">
                  <c:v>40.841970241939684</c:v>
                </c:pt>
                <c:pt idx="148">
                  <c:v>40.628802857766104</c:v>
                </c:pt>
                <c:pt idx="149">
                  <c:v>40.415067915587748</c:v>
                </c:pt>
                <c:pt idx="150">
                  <c:v>40.200743365157919</c:v>
                </c:pt>
                <c:pt idx="151">
                  <c:v>39.985806513885997</c:v>
                </c:pt>
                <c:pt idx="152">
                  <c:v>39.770234027450769</c:v>
                </c:pt>
                <c:pt idx="153">
                  <c:v>39.554001932498267</c:v>
                </c:pt>
                <c:pt idx="154">
                  <c:v>39.337085621612729</c:v>
                </c:pt>
                <c:pt idx="155">
                  <c:v>39.119459860755804</c:v>
                </c:pt>
                <c:pt idx="156">
                  <c:v>38.901098799377031</c:v>
                </c:pt>
                <c:pt idx="157">
                  <c:v>38.681975983401216</c:v>
                </c:pt>
                <c:pt idx="158">
                  <c:v>38.462064371304407</c:v>
                </c:pt>
                <c:pt idx="159">
                  <c:v>38.241336353490695</c:v>
                </c:pt>
                <c:pt idx="160">
                  <c:v>38.019763775184792</c:v>
                </c:pt>
                <c:pt idx="161">
                  <c:v>37.797317963053715</c:v>
                </c:pt>
                <c:pt idx="162">
                  <c:v>37.573969755768502</c:v>
                </c:pt>
                <c:pt idx="163">
                  <c:v>37.34968953871207</c:v>
                </c:pt>
                <c:pt idx="164">
                  <c:v>37.12444728303295</c:v>
                </c:pt>
                <c:pt idx="165">
                  <c:v>36.89821258923314</c:v>
                </c:pt>
                <c:pt idx="166">
                  <c:v>36.670954735467532</c:v>
                </c:pt>
                <c:pt idx="167">
                  <c:v>36.442642730716123</c:v>
                </c:pt>
                <c:pt idx="168">
                  <c:v>36.213245372971087</c:v>
                </c:pt>
                <c:pt idx="169">
                  <c:v>35.982731312559217</c:v>
                </c:pt>
                <c:pt idx="170">
                  <c:v>35.751069120694716</c:v>
                </c:pt>
                <c:pt idx="171">
                  <c:v>35.518227363327789</c:v>
                </c:pt>
                <c:pt idx="172">
                  <c:v>35.284174680322138</c:v>
                </c:pt>
                <c:pt idx="173">
                  <c:v>35.048879869957943</c:v>
                </c:pt>
                <c:pt idx="174">
                  <c:v>34.812311978717901</c:v>
                </c:pt>
                <c:pt idx="175">
                  <c:v>34.574440396268812</c:v>
                </c:pt>
                <c:pt idx="176">
                  <c:v>34.335234955507374</c:v>
                </c:pt>
                <c:pt idx="177">
                  <c:v>34.094666037487627</c:v>
                </c:pt>
                <c:pt idx="178">
                  <c:v>33.852704680996162</c:v>
                </c:pt>
                <c:pt idx="179">
                  <c:v>33.609322696488341</c:v>
                </c:pt>
                <c:pt idx="180">
                  <c:v>33.364492784040543</c:v>
                </c:pt>
                <c:pt idx="181">
                  <c:v>33.118188654920758</c:v>
                </c:pt>
                <c:pt idx="182">
                  <c:v>32.870385156319621</c:v>
                </c:pt>
                <c:pt idx="183">
                  <c:v>32.621058398728707</c:v>
                </c:pt>
                <c:pt idx="184">
                  <c:v>32.370185885397525</c:v>
                </c:pt>
                <c:pt idx="185">
                  <c:v>32.117746643249191</c:v>
                </c:pt>
                <c:pt idx="186">
                  <c:v>31.863721354580463</c:v>
                </c:pt>
                <c:pt idx="187">
                  <c:v>31.608092488829197</c:v>
                </c:pt>
                <c:pt idx="188">
                  <c:v>31.35084443364935</c:v>
                </c:pt>
                <c:pt idx="189">
                  <c:v>31.091963624496074</c:v>
                </c:pt>
                <c:pt idx="190">
                  <c:v>30.831438671896521</c:v>
                </c:pt>
                <c:pt idx="191">
                  <c:v>30.569260485557415</c:v>
                </c:pt>
                <c:pt idx="192">
                  <c:v>30.305422394447024</c:v>
                </c:pt>
                <c:pt idx="193">
                  <c:v>30.039920261982651</c:v>
                </c:pt>
                <c:pt idx="194">
                  <c:v>29.772752595458137</c:v>
                </c:pt>
                <c:pt idx="195">
                  <c:v>29.503920648858681</c:v>
                </c:pt>
                <c:pt idx="196">
                  <c:v>29.233428518229942</c:v>
                </c:pt>
                <c:pt idx="197">
                  <c:v>28.96128322880136</c:v>
                </c:pt>
                <c:pt idx="198">
                  <c:v>28.687494813103747</c:v>
                </c:pt>
                <c:pt idx="199">
                  <c:v>28.412076379368326</c:v>
                </c:pt>
                <c:pt idx="200">
                  <c:v>28.135044169553534</c:v>
                </c:pt>
                <c:pt idx="201">
                  <c:v>27.856417606410201</c:v>
                </c:pt>
                <c:pt idx="202">
                  <c:v>27.576219329066284</c:v>
                </c:pt>
                <c:pt idx="203">
                  <c:v>27.294475216689857</c:v>
                </c:pt>
                <c:pt idx="204">
                  <c:v>27.011214399871619</c:v>
                </c:pt>
                <c:pt idx="205">
                  <c:v>26.726469259450187</c:v>
                </c:pt>
                <c:pt idx="206">
                  <c:v>26.440275412594822</c:v>
                </c:pt>
                <c:pt idx="207">
                  <c:v>26.152671686042375</c:v>
                </c:pt>
                <c:pt idx="208">
                  <c:v>25.863700076478796</c:v>
                </c:pt>
                <c:pt idx="209">
                  <c:v>25.573405698136519</c:v>
                </c:pt>
                <c:pt idx="210">
                  <c:v>25.281836717763355</c:v>
                </c:pt>
                <c:pt idx="211">
                  <c:v>24.989044277199891</c:v>
                </c:pt>
                <c:pt idx="212">
                  <c:v>24.69508240387399</c:v>
                </c:pt>
                <c:pt idx="213">
                  <c:v>24.400007909592134</c:v>
                </c:pt>
                <c:pt idx="214">
                  <c:v>24.103880278069994</c:v>
                </c:pt>
                <c:pt idx="215">
                  <c:v>23.806761541702301</c:v>
                </c:pt>
                <c:pt idx="216">
                  <c:v>23.508716148120715</c:v>
                </c:pt>
                <c:pt idx="217">
                  <c:v>23.209810817135068</c:v>
                </c:pt>
                <c:pt idx="218">
                  <c:v>22.91011438868793</c:v>
                </c:pt>
                <c:pt idx="219">
                  <c:v>22.609697662484471</c:v>
                </c:pt>
                <c:pt idx="220">
                  <c:v>22.308633229986793</c:v>
                </c:pt>
                <c:pt idx="221">
                  <c:v>22.006995299477694</c:v>
                </c:pt>
                <c:pt idx="222">
                  <c:v>21.704859514919011</c:v>
                </c:pt>
                <c:pt idx="223">
                  <c:v>21.402302769336409</c:v>
                </c:pt>
                <c:pt idx="224">
                  <c:v>21.099403013474358</c:v>
                </c:pt>
                <c:pt idx="225">
                  <c:v>20.796239060466508</c:v>
                </c:pt>
                <c:pt idx="226">
                  <c:v>20.492890387273</c:v>
                </c:pt>
                <c:pt idx="227">
                  <c:v>20.189436933635179</c:v>
                </c:pt>
                <c:pt idx="228">
                  <c:v>19.88595889930264</c:v>
                </c:pt>
                <c:pt idx="229">
                  <c:v>19.58253654028049</c:v>
                </c:pt>
                <c:pt idx="230">
                  <c:v>19.279249964856898</c:v>
                </c:pt>
                <c:pt idx="231">
                  <c:v>18.976178930155946</c:v>
                </c:pt>
                <c:pt idx="232">
                  <c:v>18.673402639974789</c:v>
                </c:pt>
                <c:pt idx="233">
                  <c:v>18.370999544654484</c:v>
                </c:pt>
                <c:pt idx="234">
                  <c:v>18.069047143736586</c:v>
                </c:pt>
                <c:pt idx="235">
                  <c:v>17.767621792159286</c:v>
                </c:pt>
                <c:pt idx="236">
                  <c:v>17.466798510738833</c:v>
                </c:pt>
                <c:pt idx="237">
                  <c:v>17.166650801683584</c:v>
                </c:pt>
                <c:pt idx="238">
                  <c:v>16.867250469877419</c:v>
                </c:pt>
                <c:pt idx="239">
                  <c:v>16.568667450664378</c:v>
                </c:pt>
                <c:pt idx="240">
                  <c:v>16.270969644848286</c:v>
                </c:pt>
                <c:pt idx="241">
                  <c:v>15.974222761609955</c:v>
                </c:pt>
                <c:pt idx="242">
                  <c:v>15.678490170015822</c:v>
                </c:pt>
                <c:pt idx="243">
                  <c:v>15.383832759771284</c:v>
                </c:pt>
                <c:pt idx="244">
                  <c:v>15.090308811830717</c:v>
                </c:pt>
                <c:pt idx="245">
                  <c:v>14.797973879443449</c:v>
                </c:pt>
                <c:pt idx="246">
                  <c:v>14.506880680162542</c:v>
                </c:pt>
                <c:pt idx="247">
                  <c:v>14.217078999293328</c:v>
                </c:pt>
                <c:pt idx="248">
                  <c:v>13.928615605198154</c:v>
                </c:pt>
                <c:pt idx="249">
                  <c:v>13.641534176806454</c:v>
                </c:pt>
                <c:pt idx="250">
                  <c:v>13.355875243611091</c:v>
                </c:pt>
                <c:pt idx="251">
                  <c:v>13.071676138350384</c:v>
                </c:pt>
                <c:pt idx="252">
                  <c:v>12.788970962499189</c:v>
                </c:pt>
                <c:pt idx="253">
                  <c:v>12.507790564603782</c:v>
                </c:pt>
                <c:pt idx="254">
                  <c:v>12.228162531412721</c:v>
                </c:pt>
                <c:pt idx="255">
                  <c:v>11.950111191663193</c:v>
                </c:pt>
                <c:pt idx="256">
                  <c:v>11.673657632301119</c:v>
                </c:pt>
                <c:pt idx="257">
                  <c:v>11.398819726820463</c:v>
                </c:pt>
                <c:pt idx="258">
                  <c:v>11.125612175328058</c:v>
                </c:pt>
                <c:pt idx="259">
                  <c:v>10.854046555858838</c:v>
                </c:pt>
                <c:pt idx="260">
                  <c:v>10.584131386391514</c:v>
                </c:pt>
                <c:pt idx="261">
                  <c:v>10.315872196946625</c:v>
                </c:pt>
                <c:pt idx="262">
                  <c:v>10.049271611086068</c:v>
                </c:pt>
                <c:pt idx="263">
                  <c:v>9.7843294360808777</c:v>
                </c:pt>
                <c:pt idx="264">
                  <c:v>9.5210427609680277</c:v>
                </c:pt>
                <c:pt idx="265">
                  <c:v>9.2594060616791136</c:v>
                </c:pt>
                <c:pt idx="266">
                  <c:v>8.999411312400337</c:v>
                </c:pt>
                <c:pt idx="267">
                  <c:v>8.7410481023013347</c:v>
                </c:pt>
                <c:pt idx="268">
                  <c:v>8.4843037567651596</c:v>
                </c:pt>
                <c:pt idx="269">
                  <c:v>8.2291634622505772</c:v>
                </c:pt>
                <c:pt idx="270">
                  <c:v>7.9756103939292657</c:v>
                </c:pt>
                <c:pt idx="271">
                  <c:v>7.7236258452562137</c:v>
                </c:pt>
                <c:pt idx="272">
                  <c:v>7.4731893586592788</c:v>
                </c:pt>
                <c:pt idx="273">
                  <c:v>7.2242788565647054</c:v>
                </c:pt>
                <c:pt idx="274">
                  <c:v>6.9768707720147303</c:v>
                </c:pt>
                <c:pt idx="275">
                  <c:v>6.7309401781770459</c:v>
                </c:pt>
                <c:pt idx="276">
                  <c:v>6.4864609160940301</c:v>
                </c:pt>
                <c:pt idx="277">
                  <c:v>6.2434057200714541</c:v>
                </c:pt>
                <c:pt idx="278">
                  <c:v>6.0017463401602713</c:v>
                </c:pt>
                <c:pt idx="279">
                  <c:v>5.7614536612408003</c:v>
                </c:pt>
                <c:pt idx="280">
                  <c:v>5.5224978182772597</c:v>
                </c:pt>
                <c:pt idx="281">
                  <c:v>5.2848483073640082</c:v>
                </c:pt>
                <c:pt idx="282">
                  <c:v>5.0484740922445583</c:v>
                </c:pt>
                <c:pt idx="283">
                  <c:v>4.8133437060374371</c:v>
                </c:pt>
                <c:pt idx="284">
                  <c:v>4.5794253479567821</c:v>
                </c:pt>
                <c:pt idx="285">
                  <c:v>4.3466869748661843</c:v>
                </c:pt>
                <c:pt idx="286">
                  <c:v>4.1150963875531081</c:v>
                </c:pt>
                <c:pt idx="287">
                  <c:v>3.8846213116552191</c:v>
                </c:pt>
                <c:pt idx="288">
                  <c:v>3.6552294732133368</c:v>
                </c:pt>
                <c:pt idx="289">
                  <c:v>3.4268886688630258</c:v>
                </c:pt>
                <c:pt idx="290">
                  <c:v>3.1995668307116993</c:v>
                </c:pt>
                <c:pt idx="291">
                  <c:v>2.9732320859815404</c:v>
                </c:pt>
                <c:pt idx="292">
                  <c:v>2.7478528115219421</c:v>
                </c:pt>
                <c:pt idx="293">
                  <c:v>2.5233976833259524</c:v>
                </c:pt>
                <c:pt idx="294">
                  <c:v>2.2998357211990998</c:v>
                </c:pt>
                <c:pt idx="295">
                  <c:v>2.0771363287515343</c:v>
                </c:pt>
                <c:pt idx="296">
                  <c:v>1.855269328898044</c:v>
                </c:pt>
                <c:pt idx="297">
                  <c:v>1.6342049950600537</c:v>
                </c:pt>
                <c:pt idx="298">
                  <c:v>1.4139140782752397</c:v>
                </c:pt>
                <c:pt idx="299">
                  <c:v>1.1943678304255472</c:v>
                </c:pt>
                <c:pt idx="300">
                  <c:v>0.9755380237997181</c:v>
                </c:pt>
                <c:pt idx="301">
                  <c:v>0.75739696720700034</c:v>
                </c:pt>
                <c:pt idx="302">
                  <c:v>0.53991751886051831</c:v>
                </c:pt>
                <c:pt idx="303">
                  <c:v>0.32307309624808811</c:v>
                </c:pt>
                <c:pt idx="304">
                  <c:v>0.1068376832033861</c:v>
                </c:pt>
                <c:pt idx="305">
                  <c:v>-0.10881416561025954</c:v>
                </c:pt>
                <c:pt idx="306">
                  <c:v>-0.32390732259874655</c:v>
                </c:pt>
                <c:pt idx="307">
                  <c:v>-0.53846608731657764</c:v>
                </c:pt>
                <c:pt idx="308">
                  <c:v>-0.75251418853507235</c:v>
                </c:pt>
                <c:pt idx="309">
                  <c:v>-0.96607478810831604</c:v>
                </c:pt>
                <c:pt idx="310">
                  <c:v>-1.1791704864586985</c:v>
                </c:pt>
                <c:pt idx="311">
                  <c:v>-1.3918233295087661</c:v>
                </c:pt>
                <c:pt idx="312">
                  <c:v>-1.6040548168916695</c:v>
                </c:pt>
                <c:pt idx="313">
                  <c:v>-1.8158859112828027</c:v>
                </c:pt>
                <c:pt idx="314">
                  <c:v>-2.0273370487026461</c:v>
                </c:pt>
                <c:pt idx="315">
                  <c:v>-2.2384281496455491</c:v>
                </c:pt>
                <c:pt idx="316">
                  <c:v>-2.4491786308982331</c:v>
                </c:pt>
                <c:pt idx="317">
                  <c:v>-2.6596074179199931</c:v>
                </c:pt>
                <c:pt idx="318">
                  <c:v>-2.8697329576590631</c:v>
                </c:pt>
                <c:pt idx="319">
                  <c:v>-3.0795732316918119</c:v>
                </c:pt>
                <c:pt idx="320">
                  <c:v>-3.2891457695721362</c:v>
                </c:pt>
                <c:pt idx="321">
                  <c:v>-3.4984676622872843</c:v>
                </c:pt>
                <c:pt idx="322">
                  <c:v>-3.7075555757221279</c:v>
                </c:pt>
                <c:pt idx="323">
                  <c:v>-3.9164257640357736</c:v>
                </c:pt>
                <c:pt idx="324">
                  <c:v>-4.1250940828652896</c:v>
                </c:pt>
                <c:pt idx="325">
                  <c:v>-4.3335760022686829</c:v>
                </c:pt>
                <c:pt idx="326">
                  <c:v>-4.5418866193293699</c:v>
                </c:pt>
                <c:pt idx="327">
                  <c:v>-4.7500406703473343</c:v>
                </c:pt>
                <c:pt idx="328">
                  <c:v>-4.958052542542478</c:v>
                </c:pt>
                <c:pt idx="329">
                  <c:v>-5.1659362852062349</c:v>
                </c:pt>
                <c:pt idx="330">
                  <c:v>-5.3737056202342863</c:v>
                </c:pt>
                <c:pt idx="331">
                  <c:v>-5.581373951983033</c:v>
                </c:pt>
                <c:pt idx="332">
                  <c:v>-5.788954376390838</c:v>
                </c:pt>
                <c:pt idx="333">
                  <c:v>-5.9964596893142295</c:v>
                </c:pt>
                <c:pt idx="334">
                  <c:v>-6.2039023940281695</c:v>
                </c:pt>
                <c:pt idx="335">
                  <c:v>-6.4112947078480769</c:v>
                </c:pt>
                <c:pt idx="336">
                  <c:v>-6.6186485678319409</c:v>
                </c:pt>
                <c:pt idx="337">
                  <c:v>-6.8259756355289491</c:v>
                </c:pt>
                <c:pt idx="338">
                  <c:v>-7.0332873007437549</c:v>
                </c:pt>
                <c:pt idx="339">
                  <c:v>-7.2405946842924438</c:v>
                </c:pt>
                <c:pt idx="340">
                  <c:v>-7.4479086397317227</c:v>
                </c:pt>
                <c:pt idx="341">
                  <c:v>-7.6552397540506432</c:v>
                </c:pt>
                <c:pt idx="342">
                  <c:v>-7.862598347319862</c:v>
                </c:pt>
                <c:pt idx="343">
                  <c:v>-8.0699944713027421</c:v>
                </c:pt>
                <c:pt idx="344">
                  <c:v>-8.277437907041687</c:v>
                </c:pt>
                <c:pt idx="345">
                  <c:v>-8.4849381614405832</c:v>
                </c:pt>
                <c:pt idx="346">
                  <c:v>-8.6925044628770642</c:v>
                </c:pt>
                <c:pt idx="347">
                  <c:v>-8.9001457558867809</c:v>
                </c:pt>
                <c:pt idx="348">
                  <c:v>-9.1078706949757091</c:v>
                </c:pt>
                <c:pt idx="349">
                  <c:v>-9.3156876376274447</c:v>
                </c:pt>
                <c:pt idx="350">
                  <c:v>-9.5236046365855191</c:v>
                </c:pt>
                <c:pt idx="351">
                  <c:v>-9.7316294315050413</c:v>
                </c:pt>
                <c:pt idx="352">
                  <c:v>-9.9397694400812657</c:v>
                </c:pt>
                <c:pt idx="353">
                  <c:v>-10.148031748776079</c:v>
                </c:pt>
                <c:pt idx="354">
                  <c:v>-10.356423103278964</c:v>
                </c:pt>
                <c:pt idx="355">
                  <c:v>-10.56494989885257</c:v>
                </c:pt>
                <c:pt idx="356">
                  <c:v>-10.773618170725722</c:v>
                </c:pt>
                <c:pt idx="357">
                  <c:v>-10.982433584710643</c:v>
                </c:pt>
                <c:pt idx="358">
                  <c:v>-11.191401428234162</c:v>
                </c:pt>
                <c:pt idx="359">
                  <c:v>-11.400526601980939</c:v>
                </c:pt>
                <c:pt idx="360">
                  <c:v>-11.609813612360199</c:v>
                </c:pt>
                <c:pt idx="361">
                  <c:v>-11.819266565010293</c:v>
                </c:pt>
                <c:pt idx="362">
                  <c:v>-12.028889159566036</c:v>
                </c:pt>
                <c:pt idx="363">
                  <c:v>-12.238684685912339</c:v>
                </c:pt>
                <c:pt idx="364">
                  <c:v>-12.448656022151185</c:v>
                </c:pt>
                <c:pt idx="365">
                  <c:v>-12.658805634503903</c:v>
                </c:pt>
                <c:pt idx="366">
                  <c:v>-12.869135579366628</c:v>
                </c:pt>
                <c:pt idx="367">
                  <c:v>-13.079647507725484</c:v>
                </c:pt>
                <c:pt idx="368">
                  <c:v>-13.290342672126716</c:v>
                </c:pt>
                <c:pt idx="369">
                  <c:v>-13.501221936378512</c:v>
                </c:pt>
                <c:pt idx="370">
                  <c:v>-13.71228578814214</c:v>
                </c:pt>
                <c:pt idx="371">
                  <c:v>-13.923534354545223</c:v>
                </c:pt>
                <c:pt idx="372">
                  <c:v>-14.134967420922502</c:v>
                </c:pt>
                <c:pt idx="373">
                  <c:v>-14.346584452759444</c:v>
                </c:pt>
                <c:pt idx="374">
                  <c:v>-14.558384620879872</c:v>
                </c:pt>
                <c:pt idx="375">
                  <c:v>-14.770366829883038</c:v>
                </c:pt>
                <c:pt idx="376">
                  <c:v>-14.982529749798772</c:v>
                </c:pt>
                <c:pt idx="377">
                  <c:v>-15.194871850889681</c:v>
                </c:pt>
                <c:pt idx="378">
                  <c:v>-15.407391441489207</c:v>
                </c:pt>
                <c:pt idx="379">
                  <c:v>-15.620086708727746</c:v>
                </c:pt>
                <c:pt idx="380">
                  <c:v>-15.832955761955992</c:v>
                </c:pt>
                <c:pt idx="381">
                  <c:v>-16.045996678643423</c:v>
                </c:pt>
                <c:pt idx="382">
                  <c:v>-16.259207552489233</c:v>
                </c:pt>
                <c:pt idx="383">
                  <c:v>-16.472586543457254</c:v>
                </c:pt>
                <c:pt idx="384">
                  <c:v>-16.686131929412916</c:v>
                </c:pt>
                <c:pt idx="385">
                  <c:v>-16.89984215902221</c:v>
                </c:pt>
                <c:pt idx="386">
                  <c:v>-17.113715905548116</c:v>
                </c:pt>
                <c:pt idx="387">
                  <c:v>-17.327752121172168</c:v>
                </c:pt>
                <c:pt idx="388">
                  <c:v>-17.541950091453636</c:v>
                </c:pt>
                <c:pt idx="389">
                  <c:v>-17.756309489542616</c:v>
                </c:pt>
                <c:pt idx="390">
                  <c:v>-17.970830429760213</c:v>
                </c:pt>
                <c:pt idx="391">
                  <c:v>-18.185513520171071</c:v>
                </c:pt>
                <c:pt idx="392">
                  <c:v>-18.400359913783678</c:v>
                </c:pt>
                <c:pt idx="393">
                  <c:v>-18.615371358032352</c:v>
                </c:pt>
                <c:pt idx="394">
                  <c:v>-18.830550242218589</c:v>
                </c:pt>
                <c:pt idx="395">
                  <c:v>-19.045899642610511</c:v>
                </c:pt>
                <c:pt idx="396">
                  <c:v>-19.261423364933325</c:v>
                </c:pt>
                <c:pt idx="397">
                  <c:v>-19.477125984008353</c:v>
                </c:pt>
                <c:pt idx="398">
                  <c:v>-19.693012880336202</c:v>
                </c:pt>
                <c:pt idx="399">
                  <c:v>-19.909090273447774</c:v>
                </c:pt>
                <c:pt idx="400">
                  <c:v>-20.125365251881803</c:v>
                </c:pt>
                <c:pt idx="401">
                  <c:v>-20.341845799681082</c:v>
                </c:pt>
                <c:pt idx="402">
                  <c:v>-20.558540819326851</c:v>
                </c:pt>
                <c:pt idx="403">
                  <c:v>-20.77546015106374</c:v>
                </c:pt>
                <c:pt idx="404">
                  <c:v>-20.992614588589621</c:v>
                </c:pt>
                <c:pt idx="405">
                  <c:v>-21.210015891113073</c:v>
                </c:pt>
                <c:pt idx="406">
                  <c:v>-21.42767679179584</c:v>
                </c:pt>
                <c:pt idx="407">
                  <c:v>-21.645611002618345</c:v>
                </c:pt>
                <c:pt idx="408">
                  <c:v>-21.863833215718135</c:v>
                </c:pt>
                <c:pt idx="409">
                  <c:v>-22.082359101258511</c:v>
                </c:pt>
                <c:pt idx="410">
                  <c:v>-22.301205301892001</c:v>
                </c:pt>
                <c:pt idx="411">
                  <c:v>-22.520389423885291</c:v>
                </c:pt>
                <c:pt idx="412">
                  <c:v>-22.739930024969709</c:v>
                </c:pt>
                <c:pt idx="413">
                  <c:v>-22.959846598975709</c:v>
                </c:pt>
                <c:pt idx="414">
                  <c:v>-23.180159557308016</c:v>
                </c:pt>
                <c:pt idx="415">
                  <c:v>-23.400890207299906</c:v>
                </c:pt>
                <c:pt idx="416">
                  <c:v>-23.622060727482275</c:v>
                </c:pt>
                <c:pt idx="417">
                  <c:v>-23.843694139784102</c:v>
                </c:pt>
                <c:pt idx="418">
                  <c:v>-24.065814278669055</c:v>
                </c:pt>
                <c:pt idx="419">
                  <c:v>-24.288445757200215</c:v>
                </c:pt>
                <c:pt idx="420">
                  <c:v>-24.511613930007279</c:v>
                </c:pt>
                <c:pt idx="421">
                  <c:v>-24.735344853118377</c:v>
                </c:pt>
                <c:pt idx="422">
                  <c:v>-24.959665240607055</c:v>
                </c:pt>
                <c:pt idx="423">
                  <c:v>-25.184602417989392</c:v>
                </c:pt>
                <c:pt idx="424">
                  <c:v>-25.410184272302789</c:v>
                </c:pt>
                <c:pt idx="425">
                  <c:v>-25.636439198783414</c:v>
                </c:pt>
                <c:pt idx="426">
                  <c:v>-25.863396044061979</c:v>
                </c:pt>
                <c:pt idx="427">
                  <c:v>-26.09108404579143</c:v>
                </c:pt>
                <c:pt idx="428">
                  <c:v>-26.319532768623539</c:v>
                </c:pt>
                <c:pt idx="429">
                  <c:v>-26.548772036459773</c:v>
                </c:pt>
                <c:pt idx="430">
                  <c:v>-26.778831860907108</c:v>
                </c:pt>
                <c:pt idx="431">
                  <c:v>-27.009742365889366</c:v>
                </c:pt>
                <c:pt idx="432">
                  <c:v>-27.241533708378604</c:v>
                </c:pt>
                <c:pt idx="433">
                  <c:v>-27.474235995237308</c:v>
                </c:pt>
                <c:pt idx="434">
                  <c:v>-27.707879196190536</c:v>
                </c:pt>
                <c:pt idx="435">
                  <c:v>-27.942493052975422</c:v>
                </c:pt>
                <c:pt idx="436">
                  <c:v>-28.178106984759911</c:v>
                </c:pt>
                <c:pt idx="437">
                  <c:v>-28.414749989955013</c:v>
                </c:pt>
                <c:pt idx="438">
                  <c:v>-28.652450544600772</c:v>
                </c:pt>
                <c:pt idx="439">
                  <c:v>-28.891236497544028</c:v>
                </c:pt>
                <c:pt idx="440">
                  <c:v>-29.131134962689931</c:v>
                </c:pt>
                <c:pt idx="441">
                  <c:v>-29.372172208656799</c:v>
                </c:pt>
                <c:pt idx="442">
                  <c:v>-29.614373546225078</c:v>
                </c:pt>
                <c:pt idx="443">
                  <c:v>-29.857763214031753</c:v>
                </c:pt>
                <c:pt idx="444">
                  <c:v>-30.102364263018924</c:v>
                </c:pt>
                <c:pt idx="445">
                  <c:v>-30.348198440208666</c:v>
                </c:pt>
                <c:pt idx="446">
                  <c:v>-30.59528607243427</c:v>
                </c:pt>
                <c:pt idx="447">
                  <c:v>-30.843645950715654</c:v>
                </c:pt>
                <c:pt idx="448">
                  <c:v>-31.093295216023016</c:v>
                </c:pt>
                <c:pt idx="449">
                  <c:v>-31.344249247220823</c:v>
                </c:pt>
                <c:pt idx="450">
                  <c:v>-31.59652155203333</c:v>
                </c:pt>
                <c:pt idx="451">
                  <c:v>-31.850123661910501</c:v>
                </c:pt>
                <c:pt idx="452">
                  <c:v>-32.105065031705628</c:v>
                </c:pt>
                <c:pt idx="453">
                  <c:v>-32.361352945102539</c:v>
                </c:pt>
                <c:pt idx="454">
                  <c:v>-32.618992426743304</c:v>
                </c:pt>
                <c:pt idx="455">
                  <c:v>-32.87798616201453</c:v>
                </c:pt>
                <c:pt idx="456">
                  <c:v>-33.138334425444882</c:v>
                </c:pt>
                <c:pt idx="457">
                  <c:v>-33.400035018650293</c:v>
                </c:pt>
                <c:pt idx="458">
                  <c:v>-33.663083218737043</c:v>
                </c:pt>
                <c:pt idx="459">
                  <c:v>-33.927471738030789</c:v>
                </c:pt>
                <c:pt idx="460">
                  <c:v>-34.19319069595231</c:v>
                </c:pt>
                <c:pt idx="461">
                  <c:v>-34.460227603793484</c:v>
                </c:pt>
                <c:pt idx="462">
                  <c:v>-34.728567363077993</c:v>
                </c:pt>
                <c:pt idx="463">
                  <c:v>-34.998192278101278</c:v>
                </c:pt>
                <c:pt idx="464">
                  <c:v>-35.269082083153279</c:v>
                </c:pt>
                <c:pt idx="465">
                  <c:v>-35.541213984820892</c:v>
                </c:pt>
                <c:pt idx="466">
                  <c:v>-35.814562719655456</c:v>
                </c:pt>
                <c:pt idx="467">
                  <c:v>-36.089100627371678</c:v>
                </c:pt>
                <c:pt idx="468">
                  <c:v>-36.364797739619384</c:v>
                </c:pt>
                <c:pt idx="469">
                  <c:v>-36.641621884240074</c:v>
                </c:pt>
                <c:pt idx="470">
                  <c:v>-36.919538804787784</c:v>
                </c:pt>
                <c:pt idx="471">
                  <c:v>-37.198512294963088</c:v>
                </c:pt>
                <c:pt idx="472">
                  <c:v>-37.478504347473162</c:v>
                </c:pt>
                <c:pt idx="473">
                  <c:v>-37.759475316701902</c:v>
                </c:pt>
                <c:pt idx="474">
                  <c:v>-38.041384094446997</c:v>
                </c:pt>
                <c:pt idx="475">
                  <c:v>-38.324188297854597</c:v>
                </c:pt>
                <c:pt idx="476">
                  <c:v>-38.607844468570242</c:v>
                </c:pt>
                <c:pt idx="477">
                  <c:v>-38.892308282011911</c:v>
                </c:pt>
                <c:pt idx="478">
                  <c:v>-39.177534765569987</c:v>
                </c:pt>
                <c:pt idx="479">
                  <c:v>-39.463478524450764</c:v>
                </c:pt>
                <c:pt idx="480">
                  <c:v>-39.75009397379538</c:v>
                </c:pt>
                <c:pt idx="481">
                  <c:v>-40.037335575639247</c:v>
                </c:pt>
                <c:pt idx="482">
                  <c:v>-40.325158079218525</c:v>
                </c:pt>
                <c:pt idx="483">
                  <c:v>-40.613516763085222</c:v>
                </c:pt>
                <c:pt idx="484">
                  <c:v>-40.902367677459289</c:v>
                </c:pt>
                <c:pt idx="485">
                  <c:v>-41.191667885230324</c:v>
                </c:pt>
                <c:pt idx="486">
                  <c:v>-41.481375700012563</c:v>
                </c:pt>
                <c:pt idx="487">
                  <c:v>-41.771450919666925</c:v>
                </c:pt>
                <c:pt idx="488">
                  <c:v>-42.061855053724244</c:v>
                </c:pt>
                <c:pt idx="489">
                  <c:v>-42.35255154318083</c:v>
                </c:pt>
                <c:pt idx="490">
                  <c:v>-42.643505971180147</c:v>
                </c:pt>
                <c:pt idx="491">
                  <c:v>-42.934686263161019</c:v>
                </c:pt>
                <c:pt idx="492">
                  <c:v>-43.226062875117925</c:v>
                </c:pt>
                <c:pt idx="493">
                  <c:v>-43.517608968707151</c:v>
                </c:pt>
                <c:pt idx="494">
                  <c:v>-43.809300572022352</c:v>
                </c:pt>
                <c:pt idx="495">
                  <c:v>-44.101116724968669</c:v>
                </c:pt>
                <c:pt idx="496">
                  <c:v>-44.393039608273817</c:v>
                </c:pt>
                <c:pt idx="497">
                  <c:v>-44.685054655294429</c:v>
                </c:pt>
                <c:pt idx="498">
                  <c:v>-44.977150645901517</c:v>
                </c:pt>
                <c:pt idx="499">
                  <c:v>-45.269319781854989</c:v>
                </c:pt>
                <c:pt idx="500">
                  <c:v>-45.561557743217108</c:v>
                </c:pt>
                <c:pt idx="501">
                  <c:v>-45.853863725484452</c:v>
                </c:pt>
                <c:pt idx="502">
                  <c:v>-46.146240457257434</c:v>
                </c:pt>
                <c:pt idx="503">
                  <c:v>-46.438694198403788</c:v>
                </c:pt>
                <c:pt idx="504">
                  <c:v>-46.731234718805503</c:v>
                </c:pt>
                <c:pt idx="505">
                  <c:v>-47.023875257911158</c:v>
                </c:pt>
                <c:pt idx="506">
                  <c:v>-47.316632465444954</c:v>
                </c:pt>
                <c:pt idx="507">
                  <c:v>-47.609526323745619</c:v>
                </c:pt>
                <c:pt idx="508">
                  <c:v>-47.902580052326122</c:v>
                </c:pt>
                <c:pt idx="509">
                  <c:v>-48.195819995355613</c:v>
                </c:pt>
                <c:pt idx="510">
                  <c:v>-48.489275492868416</c:v>
                </c:pt>
                <c:pt idx="511">
                  <c:v>-48.78297873660037</c:v>
                </c:pt>
                <c:pt idx="512">
                  <c:v>-49.076964611437987</c:v>
                </c:pt>
                <c:pt idx="513">
                  <c:v>-49.371270523546784</c:v>
                </c:pt>
                <c:pt idx="514">
                  <c:v>-49.665936216312936</c:v>
                </c:pt>
                <c:pt idx="515">
                  <c:v>-49.961003575292736</c:v>
                </c:pt>
                <c:pt idx="516">
                  <c:v>-50.256516423416635</c:v>
                </c:pt>
                <c:pt idx="517">
                  <c:v>-50.552520307737758</c:v>
                </c:pt>
                <c:pt idx="518">
                  <c:v>-50.849062279047345</c:v>
                </c:pt>
                <c:pt idx="519">
                  <c:v>-51.146190665707167</c:v>
                </c:pt>
                <c:pt idx="520">
                  <c:v>-51.443954843063608</c:v>
                </c:pt>
                <c:pt idx="521">
                  <c:v>-51.742404999819314</c:v>
                </c:pt>
                <c:pt idx="522">
                  <c:v>-52.041591902738055</c:v>
                </c:pt>
                <c:pt idx="523">
                  <c:v>-52.341566661049853</c:v>
                </c:pt>
                <c:pt idx="524">
                  <c:v>-52.642380491913073</c:v>
                </c:pt>
                <c:pt idx="525">
                  <c:v>-52.944084488260437</c:v>
                </c:pt>
                <c:pt idx="526">
                  <c:v>-53.246729390332362</c:v>
                </c:pt>
                <c:pt idx="527">
                  <c:v>-53.550365362160107</c:v>
                </c:pt>
                <c:pt idx="528">
                  <c:v>-53.855041774213241</c:v>
                </c:pt>
                <c:pt idx="529">
                  <c:v>-54.160806993379573</c:v>
                </c:pt>
                <c:pt idx="530">
                  <c:v>-54.4677081813781</c:v>
                </c:pt>
                <c:pt idx="531">
                  <c:v>-54.775791102643751</c:v>
                </c:pt>
                <c:pt idx="532">
                  <c:v>-55.085099942644604</c:v>
                </c:pt>
                <c:pt idx="533">
                  <c:v>-55.395677137513189</c:v>
                </c:pt>
                <c:pt idx="534">
                  <c:v>-55.707563215785825</c:v>
                </c:pt>
                <c:pt idx="535">
                  <c:v>-56.020796652948668</c:v>
                </c:pt>
                <c:pt idx="536">
                  <c:v>-56.335413739394326</c:v>
                </c:pt>
                <c:pt idx="537">
                  <c:v>-56.651448462286005</c:v>
                </c:pt>
                <c:pt idx="538">
                  <c:v>-56.968932401724231</c:v>
                </c:pt>
                <c:pt idx="539">
                  <c:v>-57.287894641496138</c:v>
                </c:pt>
                <c:pt idx="540">
                  <c:v>-57.608361694581099</c:v>
                </c:pt>
                <c:pt idx="541">
                  <c:v>-57.93035744347516</c:v>
                </c:pt>
              </c:numCache>
            </c:numRef>
          </c:yVal>
          <c:smooth val="1"/>
          <c:extLst>
            <c:ext xmlns:c16="http://schemas.microsoft.com/office/drawing/2014/chart" uri="{C3380CC4-5D6E-409C-BE32-E72D297353CC}">
              <c16:uniqueId val="{00000000-4775-43FB-AFE2-19B0C785AD1D}"/>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4775-43FB-AFE2-19B0C785AD1D}"/>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775-43FB-AFE2-19B0C785AD1D}"/>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1081.9743938264814</c:v>
                </c:pt>
              </c:numCache>
            </c:numRef>
          </c:xVal>
          <c:yVal>
            <c:numRef>
              <c:f>Loop_Modeling!$BL$11</c:f>
              <c:numCache>
                <c:formatCode>General</c:formatCode>
                <c:ptCount val="1"/>
                <c:pt idx="0">
                  <c:v>27.457595202525361</c:v>
                </c:pt>
              </c:numCache>
            </c:numRef>
          </c:yVal>
          <c:smooth val="0"/>
          <c:extLst>
            <c:ext xmlns:c16="http://schemas.microsoft.com/office/drawing/2014/chart" uri="{C3380CC4-5D6E-409C-BE32-E72D297353CC}">
              <c16:uniqueId val="{00000002-4775-43FB-AFE2-19B0C785AD1D}"/>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775-43FB-AFE2-19B0C785AD1D}"/>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76009.670677415939</c:v>
                </c:pt>
              </c:numCache>
            </c:numRef>
          </c:xVal>
          <c:yVal>
            <c:numRef>
              <c:f>Loop_Modeling!$BL$9</c:f>
              <c:numCache>
                <c:formatCode>General</c:formatCode>
                <c:ptCount val="1"/>
                <c:pt idx="0">
                  <c:v>-17.346356322009079</c:v>
                </c:pt>
              </c:numCache>
            </c:numRef>
          </c:yVal>
          <c:smooth val="1"/>
          <c:extLst>
            <c:ext xmlns:c16="http://schemas.microsoft.com/office/drawing/2014/chart" uri="{C3380CC4-5D6E-409C-BE32-E72D297353CC}">
              <c16:uniqueId val="{00000004-4775-43FB-AFE2-19B0C785AD1D}"/>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4775-43FB-AFE2-19B0C785AD1D}"/>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775-43FB-AFE2-19B0C785AD1D}"/>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994718.39432434598</c:v>
                </c:pt>
              </c:numCache>
            </c:numRef>
          </c:xVal>
          <c:yVal>
            <c:numRef>
              <c:f>Loop_Modeling!$BL$10</c:f>
              <c:numCache>
                <c:formatCode>General</c:formatCode>
                <c:ptCount val="1"/>
                <c:pt idx="0">
                  <c:v>-45.20211903872557</c:v>
                </c:pt>
              </c:numCache>
            </c:numRef>
          </c:yVal>
          <c:smooth val="1"/>
          <c:extLst>
            <c:ext xmlns:c16="http://schemas.microsoft.com/office/drawing/2014/chart" uri="{C3380CC4-5D6E-409C-BE32-E72D297353CC}">
              <c16:uniqueId val="{00000006-4775-43FB-AFE2-19B0C785AD1D}"/>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775-43FB-AFE2-19B0C785AD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3400.7466472627202</c:v>
                </c:pt>
              </c:numCache>
            </c:numRef>
          </c:xVal>
          <c:yVal>
            <c:numRef>
              <c:f>Loop_Modeling!$BL$12</c:f>
              <c:numCache>
                <c:formatCode>General</c:formatCode>
                <c:ptCount val="1"/>
                <c:pt idx="0">
                  <c:v>12.744603464179573</c:v>
                </c:pt>
              </c:numCache>
            </c:numRef>
          </c:yVal>
          <c:smooth val="1"/>
          <c:extLst>
            <c:ext xmlns:c16="http://schemas.microsoft.com/office/drawing/2014/chart" uri="{C3380CC4-5D6E-409C-BE32-E72D297353CC}">
              <c16:uniqueId val="{00000008-4775-43FB-AFE2-19B0C785AD1D}"/>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775-43FB-AFE2-19B0C785AD1D}"/>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69221.64949750893</c:v>
                </c:pt>
              </c:numCache>
            </c:numRef>
          </c:xVal>
          <c:yVal>
            <c:numRef>
              <c:f>Loop_Modeling!$BL$13</c:f>
              <c:numCache>
                <c:formatCode>General</c:formatCode>
                <c:ptCount val="1"/>
                <c:pt idx="0">
                  <c:v>-16.477751187888273</c:v>
                </c:pt>
              </c:numCache>
            </c:numRef>
          </c:yVal>
          <c:smooth val="1"/>
          <c:extLst>
            <c:ext xmlns:c16="http://schemas.microsoft.com/office/drawing/2014/chart" uri="{C3380CC4-5D6E-409C-BE32-E72D297353CC}">
              <c16:uniqueId val="{0000000A-4775-43FB-AFE2-19B0C785AD1D}"/>
            </c:ext>
          </c:extLst>
        </c:ser>
        <c:dLbls>
          <c:showLegendKey val="0"/>
          <c:showVal val="0"/>
          <c:showCatName val="0"/>
          <c:showSerName val="0"/>
          <c:showPercent val="0"/>
          <c:showBubbleSize val="0"/>
        </c:dLbls>
        <c:axId val="174189952"/>
        <c:axId val="175126016"/>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Loop_Modeling!$BM$19:$BM$560</c:f>
              <c:numCache>
                <c:formatCode>General</c:formatCode>
                <c:ptCount val="542"/>
                <c:pt idx="0">
                  <c:v>89.613423716835911</c:v>
                </c:pt>
                <c:pt idx="1">
                  <c:v>89.604419952456638</c:v>
                </c:pt>
                <c:pt idx="2">
                  <c:v>89.595206517384483</c:v>
                </c:pt>
                <c:pt idx="3">
                  <c:v>89.585778531617464</c:v>
                </c:pt>
                <c:pt idx="4">
                  <c:v>89.576131001759506</c:v>
                </c:pt>
                <c:pt idx="5">
                  <c:v>89.566258818398808</c:v>
                </c:pt>
                <c:pt idx="6">
                  <c:v>89.556156753426592</c:v>
                </c:pt>
                <c:pt idx="7">
                  <c:v>89.545819457294996</c:v>
                </c:pt>
                <c:pt idx="8">
                  <c:v>89.535241456212546</c:v>
                </c:pt>
                <c:pt idx="9">
                  <c:v>89.524417149276161</c:v>
                </c:pt>
                <c:pt idx="10">
                  <c:v>89.513340805538277</c:v>
                </c:pt>
                <c:pt idx="11">
                  <c:v>89.502006561007363</c:v>
                </c:pt>
                <c:pt idx="12">
                  <c:v>89.49040841558103</c:v>
                </c:pt>
                <c:pt idx="13">
                  <c:v>89.478540229909783</c:v>
                </c:pt>
                <c:pt idx="14">
                  <c:v>89.466395722190214</c:v>
                </c:pt>
                <c:pt idx="15">
                  <c:v>89.453968464886188</c:v>
                </c:pt>
                <c:pt idx="16">
                  <c:v>89.441251881376331</c:v>
                </c:pt>
                <c:pt idx="17">
                  <c:v>89.428239242526558</c:v>
                </c:pt>
                <c:pt idx="18">
                  <c:v>89.414923663185917</c:v>
                </c:pt>
                <c:pt idx="19">
                  <c:v>89.401298098604329</c:v>
                </c:pt>
                <c:pt idx="20">
                  <c:v>89.387355340770469</c:v>
                </c:pt>
                <c:pt idx="21">
                  <c:v>89.373088014668468</c:v>
                </c:pt>
                <c:pt idx="22">
                  <c:v>89.358488574451542</c:v>
                </c:pt>
                <c:pt idx="23">
                  <c:v>89.343549299531105</c:v>
                </c:pt>
                <c:pt idx="24">
                  <c:v>89.328262290579616</c:v>
                </c:pt>
                <c:pt idx="25">
                  <c:v>89.312619465445579</c:v>
                </c:pt>
                <c:pt idx="26">
                  <c:v>89.296612554979049</c:v>
                </c:pt>
                <c:pt idx="27">
                  <c:v>89.280233098765692</c:v>
                </c:pt>
                <c:pt idx="28">
                  <c:v>89.263472440768069</c:v>
                </c:pt>
                <c:pt idx="29">
                  <c:v>89.246321724872374</c:v>
                </c:pt>
                <c:pt idx="30">
                  <c:v>89.228771890338422</c:v>
                </c:pt>
                <c:pt idx="31">
                  <c:v>89.210813667151996</c:v>
                </c:pt>
                <c:pt idx="32">
                  <c:v>89.192437571277068</c:v>
                </c:pt>
                <c:pt idx="33">
                  <c:v>89.173633899806688</c:v>
                </c:pt>
                <c:pt idx="34">
                  <c:v>89.154392726010528</c:v>
                </c:pt>
                <c:pt idx="35">
                  <c:v>89.134703894277393</c:v>
                </c:pt>
                <c:pt idx="36">
                  <c:v>89.11455701495133</c:v>
                </c:pt>
                <c:pt idx="37">
                  <c:v>89.093941459059067</c:v>
                </c:pt>
                <c:pt idx="38">
                  <c:v>89.072846352927613</c:v>
                </c:pt>
                <c:pt idx="39">
                  <c:v>89.051260572690111</c:v>
                </c:pt>
                <c:pt idx="40">
                  <c:v>89.029172738678326</c:v>
                </c:pt>
                <c:pt idx="41">
                  <c:v>89.006571209700411</c:v>
                </c:pt>
                <c:pt idx="42">
                  <c:v>88.983444077201895</c:v>
                </c:pt>
                <c:pt idx="43">
                  <c:v>88.959779159309008</c:v>
                </c:pt>
                <c:pt idx="44">
                  <c:v>88.935563994752243</c:v>
                </c:pt>
                <c:pt idx="45">
                  <c:v>88.910785836669334</c:v>
                </c:pt>
                <c:pt idx="46">
                  <c:v>88.885431646285809</c:v>
                </c:pt>
                <c:pt idx="47">
                  <c:v>88.859488086472098</c:v>
                </c:pt>
                <c:pt idx="48">
                  <c:v>88.832941515176103</c:v>
                </c:pt>
                <c:pt idx="49">
                  <c:v>88.805777978729694</c:v>
                </c:pt>
                <c:pt idx="50">
                  <c:v>88.777983205028676</c:v>
                </c:pt>
                <c:pt idx="51">
                  <c:v>88.749542596584959</c:v>
                </c:pt>
                <c:pt idx="52">
                  <c:v>88.720441223450294</c:v>
                </c:pt>
                <c:pt idx="53">
                  <c:v>88.690663816010911</c:v>
                </c:pt>
                <c:pt idx="54">
                  <c:v>88.660194757652718</c:v>
                </c:pt>
                <c:pt idx="55">
                  <c:v>88.629018077296422</c:v>
                </c:pt>
                <c:pt idx="56">
                  <c:v>88.597117441802965</c:v>
                </c:pt>
                <c:pt idx="57">
                  <c:v>88.564476148248872</c:v>
                </c:pt>
                <c:pt idx="58">
                  <c:v>88.531077116071941</c:v>
                </c:pt>
                <c:pt idx="59">
                  <c:v>88.496902879087955</c:v>
                </c:pt>
                <c:pt idx="60">
                  <c:v>88.461935577379194</c:v>
                </c:pt>
                <c:pt idx="61">
                  <c:v>88.426156949055539</c:v>
                </c:pt>
                <c:pt idx="62">
                  <c:v>88.389548321889805</c:v>
                </c:pt>
                <c:pt idx="63">
                  <c:v>88.3520906048293</c:v>
                </c:pt>
                <c:pt idx="64">
                  <c:v>88.313764279384799</c:v>
                </c:pt>
                <c:pt idx="65">
                  <c:v>88.274549390900518</c:v>
                </c:pt>
                <c:pt idx="66">
                  <c:v>88.234425539707274</c:v>
                </c:pt>
                <c:pt idx="67">
                  <c:v>88.193371872162373</c:v>
                </c:pt>
                <c:pt idx="68">
                  <c:v>88.151367071580168</c:v>
                </c:pt>
                <c:pt idx="69">
                  <c:v>88.108389349057703</c:v>
                </c:pt>
                <c:pt idx="70">
                  <c:v>88.064416434200453</c:v>
                </c:pt>
                <c:pt idx="71">
                  <c:v>88.019425565753565</c:v>
                </c:pt>
                <c:pt idx="72">
                  <c:v>87.973393482145241</c:v>
                </c:pt>
                <c:pt idx="73">
                  <c:v>87.926296411949096</c:v>
                </c:pt>
                <c:pt idx="74">
                  <c:v>87.878110064273315</c:v>
                </c:pt>
                <c:pt idx="75">
                  <c:v>87.828809619085348</c:v>
                </c:pt>
                <c:pt idx="76">
                  <c:v>87.778369717481709</c:v>
                </c:pt>
                <c:pt idx="77">
                  <c:v>87.726764451913368</c:v>
                </c:pt>
                <c:pt idx="78">
                  <c:v>87.673967356378313</c:v>
                </c:pt>
                <c:pt idx="79">
                  <c:v>87.619951396594303</c:v>
                </c:pt>
                <c:pt idx="80">
                  <c:v>87.564688960165313</c:v>
                </c:pt>
                <c:pt idx="81">
                  <c:v>87.508151846757116</c:v>
                </c:pt>
                <c:pt idx="82">
                  <c:v>87.450311258298797</c:v>
                </c:pt>
                <c:pt idx="83">
                  <c:v>87.391137789228011</c:v>
                </c:pt>
                <c:pt idx="84">
                  <c:v>87.330601416799539</c:v>
                </c:pt>
                <c:pt idx="85">
                  <c:v>87.268671491479395</c:v>
                </c:pt>
                <c:pt idx="86">
                  <c:v>87.205316727446274</c:v>
                </c:pt>
                <c:pt idx="87">
                  <c:v>87.140505193227057</c:v>
                </c:pt>
                <c:pt idx="88">
                  <c:v>87.074204302492191</c:v>
                </c:pt>
                <c:pt idx="89">
                  <c:v>87.006380805041431</c:v>
                </c:pt>
                <c:pt idx="90">
                  <c:v>86.937000778010926</c:v>
                </c:pt>
                <c:pt idx="91">
                  <c:v>86.866029617336849</c:v>
                </c:pt>
                <c:pt idx="92">
                  <c:v>86.793432029511138</c:v>
                </c:pt>
                <c:pt idx="93">
                  <c:v>86.719172023671092</c:v>
                </c:pt>
                <c:pt idx="94">
                  <c:v>86.643212904063773</c:v>
                </c:pt>
                <c:pt idx="95">
                  <c:v>86.565517262932431</c:v>
                </c:pt>
                <c:pt idx="96">
                  <c:v>86.48604697387411</c:v>
                </c:pt>
                <c:pt idx="97">
                  <c:v>86.404763185721762</c:v>
                </c:pt>
                <c:pt idx="98">
                  <c:v>86.321626317007116</c:v>
                </c:pt>
                <c:pt idx="99">
                  <c:v>86.236596051066272</c:v>
                </c:pt>
                <c:pt idx="100">
                  <c:v>86.149631331852987</c:v>
                </c:pt>
                <c:pt idx="101">
                  <c:v>86.060690360529193</c:v>
                </c:pt>
                <c:pt idx="102">
                  <c:v>85.969730592908164</c:v>
                </c:pt>
                <c:pt idx="103">
                  <c:v>85.876708737829915</c:v>
                </c:pt>
                <c:pt idx="104">
                  <c:v>85.781580756553538</c:v>
                </c:pt>
                <c:pt idx="105">
                  <c:v>85.684301863258582</c:v>
                </c:pt>
                <c:pt idx="106">
                  <c:v>85.584826526750874</c:v>
                </c:pt>
                <c:pt idx="107">
                  <c:v>85.483108473477401</c:v>
                </c:pt>
                <c:pt idx="108">
                  <c:v>85.379100691957873</c:v>
                </c:pt>
                <c:pt idx="109">
                  <c:v>85.27275543875254</c:v>
                </c:pt>
                <c:pt idx="110">
                  <c:v>85.164024246087138</c:v>
                </c:pt>
                <c:pt idx="111">
                  <c:v>85.052857931267511</c:v>
                </c:pt>
                <c:pt idx="112">
                  <c:v>84.939206608024392</c:v>
                </c:pt>
                <c:pt idx="113">
                  <c:v>84.8230196999328</c:v>
                </c:pt>
                <c:pt idx="114">
                  <c:v>84.704245956065265</c:v>
                </c:pt>
                <c:pt idx="115">
                  <c:v>84.582833469040992</c:v>
                </c:pt>
                <c:pt idx="116">
                  <c:v>84.458729695646653</c:v>
                </c:pt>
                <c:pt idx="117">
                  <c:v>84.331881480211251</c:v>
                </c:pt>
                <c:pt idx="118">
                  <c:v>84.202235080928006</c:v>
                </c:pt>
                <c:pt idx="119">
                  <c:v>84.069736199327082</c:v>
                </c:pt>
                <c:pt idx="120">
                  <c:v>83.934330013111975</c:v>
                </c:pt>
                <c:pt idx="121">
                  <c:v>83.795961212581659</c:v>
                </c:pt>
                <c:pt idx="122">
                  <c:v>83.654574040876554</c:v>
                </c:pt>
                <c:pt idx="123">
                  <c:v>83.51011233828757</c:v>
                </c:pt>
                <c:pt idx="124">
                  <c:v>83.36251959088851</c:v>
                </c:pt>
                <c:pt idx="125">
                  <c:v>83.211738983755083</c:v>
                </c:pt>
                <c:pt idx="126">
                  <c:v>83.057713459047903</c:v>
                </c:pt>
                <c:pt idx="127">
                  <c:v>82.900385779246704</c:v>
                </c:pt>
                <c:pt idx="128">
                  <c:v>82.739698595832621</c:v>
                </c:pt>
                <c:pt idx="129">
                  <c:v>82.575594523723751</c:v>
                </c:pt>
                <c:pt idx="130">
                  <c:v>82.408016221783555</c:v>
                </c:pt>
                <c:pt idx="131">
                  <c:v>82.236906479721725</c:v>
                </c:pt>
                <c:pt idx="132">
                  <c:v>82.062208311722515</c:v>
                </c:pt>
                <c:pt idx="133">
                  <c:v>81.883865057138664</c:v>
                </c:pt>
                <c:pt idx="134">
                  <c:v>81.70182048859229</c:v>
                </c:pt>
                <c:pt idx="135">
                  <c:v>81.516018927835759</c:v>
                </c:pt>
                <c:pt idx="136">
                  <c:v>81.326405369715843</c:v>
                </c:pt>
                <c:pt idx="137">
                  <c:v>81.132925614597568</c:v>
                </c:pt>
                <c:pt idx="138">
                  <c:v>80.935526409594416</c:v>
                </c:pt>
                <c:pt idx="139">
                  <c:v>80.734155598946913</c:v>
                </c:pt>
                <c:pt idx="140">
                  <c:v>80.528762283891581</c:v>
                </c:pt>
                <c:pt idx="141">
                  <c:v>80.319296992342373</c:v>
                </c:pt>
                <c:pt idx="142">
                  <c:v>80.105711858701696</c:v>
                </c:pt>
                <c:pt idx="143">
                  <c:v>79.88796081409312</c:v>
                </c:pt>
                <c:pt idx="144">
                  <c:v>79.665999787291142</c:v>
                </c:pt>
                <c:pt idx="145">
                  <c:v>79.43978691659359</c:v>
                </c:pt>
                <c:pt idx="146">
                  <c:v>79.20928277285104</c:v>
                </c:pt>
                <c:pt idx="147">
                  <c:v>78.97445059382882</c:v>
                </c:pt>
                <c:pt idx="148">
                  <c:v>78.735256530037901</c:v>
                </c:pt>
                <c:pt idx="149">
                  <c:v>78.491669902113543</c:v>
                </c:pt>
                <c:pt idx="150">
                  <c:v>78.243663469769714</c:v>
                </c:pt>
                <c:pt idx="151">
                  <c:v>77.991213712289891</c:v>
                </c:pt>
                <c:pt idx="152">
                  <c:v>77.734301120442595</c:v>
                </c:pt>
                <c:pt idx="153">
                  <c:v>77.472910499630785</c:v>
                </c:pt>
                <c:pt idx="154">
                  <c:v>77.207031283994681</c:v>
                </c:pt>
                <c:pt idx="155">
                  <c:v>76.936657861088577</c:v>
                </c:pt>
                <c:pt idx="156">
                  <c:v>76.66178990665054</c:v>
                </c:pt>
                <c:pt idx="157">
                  <c:v>76.3824327288619</c:v>
                </c:pt>
                <c:pt idx="158">
                  <c:v>76.098597621375063</c:v>
                </c:pt>
                <c:pt idx="159">
                  <c:v>75.810302224251913</c:v>
                </c:pt>
                <c:pt idx="160">
                  <c:v>75.517570891813349</c:v>
                </c:pt>
                <c:pt idx="161">
                  <c:v>75.22043506625478</c:v>
                </c:pt>
                <c:pt idx="162">
                  <c:v>74.918933655718078</c:v>
                </c:pt>
                <c:pt idx="163">
                  <c:v>74.613113415352998</c:v>
                </c:pt>
                <c:pt idx="164">
                  <c:v>74.303029329731331</c:v>
                </c:pt>
                <c:pt idx="165">
                  <c:v>73.98874499479605</c:v>
                </c:pt>
                <c:pt idx="166">
                  <c:v>73.670332997361697</c:v>
                </c:pt>
                <c:pt idx="167">
                  <c:v>73.347875289993084</c:v>
                </c:pt>
                <c:pt idx="168">
                  <c:v>73.021463558920999</c:v>
                </c:pt>
                <c:pt idx="169">
                  <c:v>72.691199582473331</c:v>
                </c:pt>
                <c:pt idx="170">
                  <c:v>72.357195577333414</c:v>
                </c:pt>
                <c:pt idx="171">
                  <c:v>72.019574529776207</c:v>
                </c:pt>
                <c:pt idx="172">
                  <c:v>71.678470508880665</c:v>
                </c:pt>
                <c:pt idx="173">
                  <c:v>71.334028958585407</c:v>
                </c:pt>
                <c:pt idx="174">
                  <c:v>70.986406965331341</c:v>
                </c:pt>
                <c:pt idx="175">
                  <c:v>70.635773497939311</c:v>
                </c:pt>
                <c:pt idx="176">
                  <c:v>70.282309616296914</c:v>
                </c:pt>
                <c:pt idx="177">
                  <c:v>69.926208645381891</c:v>
                </c:pt>
                <c:pt idx="178">
                  <c:v>69.567676311133781</c:v>
                </c:pt>
                <c:pt idx="179">
                  <c:v>69.206930834706498</c:v>
                </c:pt>
                <c:pt idx="180">
                  <c:v>68.844202981682869</c:v>
                </c:pt>
                <c:pt idx="181">
                  <c:v>68.479736062938201</c:v>
                </c:pt>
                <c:pt idx="182">
                  <c:v>68.113785883964397</c:v>
                </c:pt>
                <c:pt idx="183">
                  <c:v>67.746620639655802</c:v>
                </c:pt>
                <c:pt idx="184">
                  <c:v>67.378520751774985</c:v>
                </c:pt>
                <c:pt idx="185">
                  <c:v>67.009778646591414</c:v>
                </c:pt>
                <c:pt idx="186">
                  <c:v>66.640698470494996</c:v>
                </c:pt>
                <c:pt idx="187">
                  <c:v>66.271595741746026</c:v>
                </c:pt>
                <c:pt idx="188">
                  <c:v>65.902796936917369</c:v>
                </c:pt>
                <c:pt idx="189">
                  <c:v>65.534639011026798</c:v>
                </c:pt>
                <c:pt idx="190">
                  <c:v>65.167468850817926</c:v>
                </c:pt>
                <c:pt idx="191">
                  <c:v>64.80164266116121</c:v>
                </c:pt>
                <c:pt idx="192">
                  <c:v>64.437525285055131</c:v>
                </c:pt>
                <c:pt idx="193">
                  <c:v>64.075489458266915</c:v>
                </c:pt>
                <c:pt idx="194">
                  <c:v>63.715915000186492</c:v>
                </c:pt>
                <c:pt idx="195">
                  <c:v>63.359187943044574</c:v>
                </c:pt>
                <c:pt idx="196">
                  <c:v>63.005699602178808</c:v>
                </c:pt>
                <c:pt idx="197">
                  <c:v>62.65584559058788</c:v>
                </c:pt>
                <c:pt idx="198">
                  <c:v>62.310024781524255</c:v>
                </c:pt>
                <c:pt idx="199">
                  <c:v>61.968638223373993</c:v>
                </c:pt>
                <c:pt idx="200">
                  <c:v>61.632088011528666</c:v>
                </c:pt>
                <c:pt idx="201">
                  <c:v>61.30077612236574</c:v>
                </c:pt>
                <c:pt idx="202">
                  <c:v>60.97510321482801</c:v>
                </c:pt>
                <c:pt idx="203">
                  <c:v>60.655467405400415</c:v>
                </c:pt>
                <c:pt idx="204">
                  <c:v>60.342263022536372</c:v>
                </c:pt>
                <c:pt idx="205">
                  <c:v>60.035879346792797</c:v>
                </c:pt>
                <c:pt idx="206">
                  <c:v>59.736699343046496</c:v>
                </c:pt>
                <c:pt idx="207">
                  <c:v>59.445098391255222</c:v>
                </c:pt>
                <c:pt idx="208">
                  <c:v>59.161443022214179</c:v>
                </c:pt>
                <c:pt idx="209">
                  <c:v>58.886089664722931</c:v>
                </c:pt>
                <c:pt idx="210">
                  <c:v>58.619383410452699</c:v>
                </c:pt>
                <c:pt idx="211">
                  <c:v>58.361656802651517</c:v>
                </c:pt>
                <c:pt idx="212">
                  <c:v>58.113228654609067</c:v>
                </c:pt>
                <c:pt idx="213">
                  <c:v>57.874402903546745</c:v>
                </c:pt>
                <c:pt idx="214">
                  <c:v>57.645467505315906</c:v>
                </c:pt>
                <c:pt idx="215">
                  <c:v>57.426693374963456</c:v>
                </c:pt>
                <c:pt idx="216">
                  <c:v>57.218333377883695</c:v>
                </c:pt>
                <c:pt idx="217">
                  <c:v>57.0206213759203</c:v>
                </c:pt>
                <c:pt idx="218">
                  <c:v>56.833771332414237</c:v>
                </c:pt>
                <c:pt idx="219">
                  <c:v>56.657976479823994</c:v>
                </c:pt>
                <c:pt idx="220">
                  <c:v>56.493408553177467</c:v>
                </c:pt>
                <c:pt idx="221">
                  <c:v>56.340217092247286</c:v>
                </c:pt>
                <c:pt idx="222">
                  <c:v>56.198528815000707</c:v>
                </c:pt>
                <c:pt idx="223">
                  <c:v>56.068447064517507</c:v>
                </c:pt>
                <c:pt idx="224">
                  <c:v>55.950051331263836</c:v>
                </c:pt>
                <c:pt idx="225">
                  <c:v>55.84339685227809</c:v>
                </c:pt>
                <c:pt idx="226">
                  <c:v>55.748514288546346</c:v>
                </c:pt>
                <c:pt idx="227">
                  <c:v>55.665409481547321</c:v>
                </c:pt>
                <c:pt idx="228">
                  <c:v>55.59406328968717</c:v>
                </c:pt>
                <c:pt idx="229">
                  <c:v>55.534431505069342</c:v>
                </c:pt>
                <c:pt idx="230">
                  <c:v>55.486444850797369</c:v>
                </c:pt>
                <c:pt idx="231">
                  <c:v>55.450009058754482</c:v>
                </c:pt>
                <c:pt idx="232">
                  <c:v>55.425005027538504</c:v>
                </c:pt>
                <c:pt idx="233">
                  <c:v>55.411289059989087</c:v>
                </c:pt>
                <c:pt idx="234">
                  <c:v>55.408693179460201</c:v>
                </c:pt>
                <c:pt idx="235">
                  <c:v>55.417025523727716</c:v>
                </c:pt>
                <c:pt idx="236">
                  <c:v>55.436070815127948</c:v>
                </c:pt>
                <c:pt idx="237">
                  <c:v>55.465590905220097</c:v>
                </c:pt>
                <c:pt idx="238">
                  <c:v>55.505325391949611</c:v>
                </c:pt>
                <c:pt idx="239">
                  <c:v>55.554992306958816</c:v>
                </c:pt>
                <c:pt idx="240">
                  <c:v>55.61428887034176</c:v>
                </c:pt>
                <c:pt idx="241">
                  <c:v>55.682892309790397</c:v>
                </c:pt>
                <c:pt idx="242">
                  <c:v>55.760460740705959</c:v>
                </c:pt>
                <c:pt idx="243">
                  <c:v>55.846634103490615</c:v>
                </c:pt>
                <c:pt idx="244">
                  <c:v>55.941035153852738</c:v>
                </c:pt>
                <c:pt idx="245">
                  <c:v>56.043270501613186</c:v>
                </c:pt>
                <c:pt idx="246">
                  <c:v>56.15293169313091</c:v>
                </c:pt>
                <c:pt idx="247">
                  <c:v>56.269596332152467</c:v>
                </c:pt>
                <c:pt idx="248">
                  <c:v>56.392829233568904</c:v>
                </c:pt>
                <c:pt idx="249">
                  <c:v>56.522183604299656</c:v>
                </c:pt>
                <c:pt idx="250">
                  <c:v>56.657202245282392</c:v>
                </c:pt>
                <c:pt idx="251">
                  <c:v>56.797418768358675</c:v>
                </c:pt>
                <c:pt idx="252">
                  <c:v>56.942358821702733</c:v>
                </c:pt>
                <c:pt idx="253">
                  <c:v>57.091541317360758</c:v>
                </c:pt>
                <c:pt idx="254">
                  <c:v>57.2444796544331</c:v>
                </c:pt>
                <c:pt idx="255">
                  <c:v>57.400682931473561</c:v>
                </c:pt>
                <c:pt idx="256">
                  <c:v>57.559657141775403</c:v>
                </c:pt>
                <c:pt idx="257">
                  <c:v>57.720906345371894</c:v>
                </c:pt>
                <c:pt idx="258">
                  <c:v>57.883933811803907</c:v>
                </c:pt>
                <c:pt idx="259">
                  <c:v>58.04824312799132</c:v>
                </c:pt>
                <c:pt idx="260">
                  <c:v>58.21333926587846</c:v>
                </c:pt>
                <c:pt idx="261">
                  <c:v>58.378729604921254</c:v>
                </c:pt>
                <c:pt idx="262">
                  <c:v>58.543924904910327</c:v>
                </c:pt>
                <c:pt idx="263">
                  <c:v>58.708440225109513</c:v>
                </c:pt>
                <c:pt idx="264">
                  <c:v>58.871795786192251</c:v>
                </c:pt>
                <c:pt idx="265">
                  <c:v>59.033517771989686</c:v>
                </c:pt>
                <c:pt idx="266">
                  <c:v>59.193139068618521</c:v>
                </c:pt>
                <c:pt idx="267">
                  <c:v>59.350199939115491</c:v>
                </c:pt>
                <c:pt idx="268">
                  <c:v>59.504248632254821</c:v>
                </c:pt>
                <c:pt idx="269">
                  <c:v>59.654841924794972</c:v>
                </c:pt>
                <c:pt idx="270">
                  <c:v>59.801545596928868</c:v>
                </c:pt>
                <c:pt idx="271">
                  <c:v>59.943934841228199</c:v>
                </c:pt>
                <c:pt idx="272">
                  <c:v>60.081594605879431</c:v>
                </c:pt>
                <c:pt idx="273">
                  <c:v>60.214119873455374</c:v>
                </c:pt>
                <c:pt idx="274">
                  <c:v>60.341115876898371</c:v>
                </c:pt>
                <c:pt idx="275">
                  <c:v>60.462198254779231</c:v>
                </c:pt>
                <c:pt idx="276">
                  <c:v>60.576993148237158</c:v>
                </c:pt>
                <c:pt idx="277">
                  <c:v>60.685137242308066</c:v>
                </c:pt>
                <c:pt idx="278">
                  <c:v>60.786277754605706</c:v>
                </c:pt>
                <c:pt idx="279">
                  <c:v>60.880072374531977</c:v>
                </c:pt>
                <c:pt idx="280">
                  <c:v>60.966189156365715</c:v>
                </c:pt>
                <c:pt idx="281">
                  <c:v>61.044306369699314</c:v>
                </c:pt>
                <c:pt idx="282">
                  <c:v>61.11411231078467</c:v>
                </c:pt>
                <c:pt idx="283">
                  <c:v>61.175305078396612</c:v>
                </c:pt>
                <c:pt idx="284">
                  <c:v>61.22759231783548</c:v>
                </c:pt>
                <c:pt idx="285">
                  <c:v>61.270690936670121</c:v>
                </c:pt>
                <c:pt idx="286">
                  <c:v>61.304326795779382</c:v>
                </c:pt>
                <c:pt idx="287">
                  <c:v>61.328234379170553</c:v>
                </c:pt>
                <c:pt idx="288">
                  <c:v>61.342156445968385</c:v>
                </c:pt>
                <c:pt idx="289">
                  <c:v>61.345843667838494</c:v>
                </c:pt>
                <c:pt idx="290">
                  <c:v>61.339054254998288</c:v>
                </c:pt>
                <c:pt idx="291">
                  <c:v>61.321553573816502</c:v>
                </c:pt>
                <c:pt idx="292">
                  <c:v>61.293113758848797</c:v>
                </c:pt>
                <c:pt idx="293">
                  <c:v>61.253513322014435</c:v>
                </c:pt>
                <c:pt idx="294">
                  <c:v>61.202536761445238</c:v>
                </c:pt>
                <c:pt idx="295">
                  <c:v>61.139974172382743</c:v>
                </c:pt>
                <c:pt idx="296">
                  <c:v>61.065620862340666</c:v>
                </c:pt>
                <c:pt idx="297">
                  <c:v>60.979276972585374</c:v>
                </c:pt>
                <c:pt idx="298">
                  <c:v>60.880747107842645</c:v>
                </c:pt>
                <c:pt idx="299">
                  <c:v>60.7698399759811</c:v>
                </c:pt>
                <c:pt idx="300">
                  <c:v>60.646368039291829</c:v>
                </c:pt>
                <c:pt idx="301">
                  <c:v>60.510147178840768</c:v>
                </c:pt>
                <c:pt idx="302">
                  <c:v>60.360996373250465</c:v>
                </c:pt>
                <c:pt idx="303">
                  <c:v>60.198737393153863</c:v>
                </c:pt>
                <c:pt idx="304">
                  <c:v>60.023194512446139</c:v>
                </c:pt>
                <c:pt idx="305">
                  <c:v>59.834194237374042</c:v>
                </c:pt>
                <c:pt idx="306">
                  <c:v>59.631565054403971</c:v>
                </c:pt>
                <c:pt idx="307">
                  <c:v>59.415137197736229</c:v>
                </c:pt>
                <c:pt idx="308">
                  <c:v>59.184742437257469</c:v>
                </c:pt>
                <c:pt idx="309">
                  <c:v>58.940213887665202</c:v>
                </c:pt>
                <c:pt idx="310">
                  <c:v>58.681385839438292</c:v>
                </c:pt>
                <c:pt idx="311">
                  <c:v>58.408093612285946</c:v>
                </c:pt>
                <c:pt idx="312">
                  <c:v>58.120173431661009</c:v>
                </c:pt>
                <c:pt idx="313">
                  <c:v>57.817462328896241</c:v>
                </c:pt>
                <c:pt idx="314">
                  <c:v>57.499798065483922</c:v>
                </c:pt>
                <c:pt idx="315">
                  <c:v>57.167019082007322</c:v>
                </c:pt>
                <c:pt idx="316">
                  <c:v>56.81896447219853</c:v>
                </c:pt>
                <c:pt idx="317">
                  <c:v>56.455473982591521</c:v>
                </c:pt>
                <c:pt idx="318">
                  <c:v>56.076388038215875</c:v>
                </c:pt>
                <c:pt idx="319">
                  <c:v>55.681547794768235</c:v>
                </c:pt>
                <c:pt idx="320">
                  <c:v>55.270795217680401</c:v>
                </c:pt>
                <c:pt idx="321">
                  <c:v>54.843973188492754</c:v>
                </c:pt>
                <c:pt idx="322">
                  <c:v>54.400925638921336</c:v>
                </c:pt>
                <c:pt idx="323">
                  <c:v>53.941497712994597</c:v>
                </c:pt>
                <c:pt idx="324">
                  <c:v>53.465535957603528</c:v>
                </c:pt>
                <c:pt idx="325">
                  <c:v>52.972888541795029</c:v>
                </c:pt>
                <c:pt idx="326">
                  <c:v>52.463405505094507</c:v>
                </c:pt>
                <c:pt idx="327">
                  <c:v>51.936939035109418</c:v>
                </c:pt>
                <c:pt idx="328">
                  <c:v>51.393343774619261</c:v>
                </c:pt>
                <c:pt idx="329">
                  <c:v>50.832477158294672</c:v>
                </c:pt>
                <c:pt idx="330">
                  <c:v>50.254199779136059</c:v>
                </c:pt>
                <c:pt idx="331">
                  <c:v>49.65837578462299</c:v>
                </c:pt>
                <c:pt idx="332">
                  <c:v>49.044873302503937</c:v>
                </c:pt>
                <c:pt idx="333">
                  <c:v>48.413564896025122</c:v>
                </c:pt>
                <c:pt idx="334">
                  <c:v>47.764328048307704</c:v>
                </c:pt>
                <c:pt idx="335">
                  <c:v>47.097045675430785</c:v>
                </c:pt>
                <c:pt idx="336">
                  <c:v>46.411606667646836</c:v>
                </c:pt>
                <c:pt idx="337">
                  <c:v>45.707906457983519</c:v>
                </c:pt>
                <c:pt idx="338">
                  <c:v>44.985847617313944</c:v>
                </c:pt>
                <c:pt idx="339">
                  <c:v>44.245340474782033</c:v>
                </c:pt>
                <c:pt idx="340">
                  <c:v>43.486303762252497</c:v>
                </c:pt>
                <c:pt idx="341">
                  <c:v>42.708665281230253</c:v>
                </c:pt>
                <c:pt idx="342">
                  <c:v>41.912362590452766</c:v>
                </c:pt>
                <c:pt idx="343">
                  <c:v>41.097343712089426</c:v>
                </c:pt>
                <c:pt idx="344">
                  <c:v>40.263567854214095</c:v>
                </c:pt>
                <c:pt idx="345">
                  <c:v>39.411006146927065</c:v>
                </c:pt>
                <c:pt idx="346">
                  <c:v>38.539642389204325</c:v>
                </c:pt>
                <c:pt idx="347">
                  <c:v>37.649473803241506</c:v>
                </c:pt>
                <c:pt idx="348">
                  <c:v>36.740511792746773</c:v>
                </c:pt>
                <c:pt idx="349">
                  <c:v>35.812782701318376</c:v>
                </c:pt>
                <c:pt idx="350">
                  <c:v>34.86632856672729</c:v>
                </c:pt>
                <c:pt idx="351">
                  <c:v>33.901207866606946</c:v>
                </c:pt>
                <c:pt idx="352">
                  <c:v>32.917496250754731</c:v>
                </c:pt>
                <c:pt idx="353">
                  <c:v>31.915287254952247</c:v>
                </c:pt>
                <c:pt idx="354">
                  <c:v>30.894692990946588</c:v>
                </c:pt>
                <c:pt idx="355">
                  <c:v>29.85584480698558</c:v>
                </c:pt>
                <c:pt idx="356">
                  <c:v>28.798893913084733</c:v>
                </c:pt>
                <c:pt idx="357">
                  <c:v>27.724011965029153</c:v>
                </c:pt>
                <c:pt idx="358">
                  <c:v>26.631391600976542</c:v>
                </c:pt>
                <c:pt idx="359">
                  <c:v>25.521246924448121</c:v>
                </c:pt>
                <c:pt idx="360">
                  <c:v>24.393813927462411</c:v>
                </c:pt>
                <c:pt idx="361">
                  <c:v>23.249350847606607</c:v>
                </c:pt>
                <c:pt idx="362">
                  <c:v>22.088138452945039</c:v>
                </c:pt>
                <c:pt idx="363">
                  <c:v>20.910480248835157</c:v>
                </c:pt>
                <c:pt idx="364">
                  <c:v>19.716702600979705</c:v>
                </c:pt>
                <c:pt idx="365">
                  <c:v>18.507154769386293</c:v>
                </c:pt>
                <c:pt idx="366">
                  <c:v>17.282208848302286</c:v>
                </c:pt>
                <c:pt idx="367">
                  <c:v>16.042259607722698</c:v>
                </c:pt>
                <c:pt idx="368">
                  <c:v>14.787724232630413</c:v>
                </c:pt>
                <c:pt idx="369">
                  <c:v>13.519041956804129</c:v>
                </c:pt>
                <c:pt idx="370">
                  <c:v>12.236673588777835</c:v>
                </c:pt>
                <c:pt idx="371">
                  <c:v>10.941100928343216</c:v>
                </c:pt>
                <c:pt idx="372">
                  <c:v>9.6328260728644999</c:v>
                </c:pt>
                <c:pt idx="373">
                  <c:v>8.3123706136367801</c:v>
                </c:pt>
                <c:pt idx="374">
                  <c:v>6.9802747234633236</c:v>
                </c:pt>
                <c:pt idx="375">
                  <c:v>5.6370961376833462</c:v>
                </c:pt>
                <c:pt idx="376">
                  <c:v>4.2834090318949212</c:v>
                </c:pt>
                <c:pt idx="377">
                  <c:v>2.9198028006706584</c:v>
                </c:pt>
                <c:pt idx="378">
                  <c:v>1.5468807425984576</c:v>
                </c:pt>
                <c:pt idx="379">
                  <c:v>0.16525865798995307</c:v>
                </c:pt>
                <c:pt idx="380">
                  <c:v>-1.2244366334299337</c:v>
                </c:pt>
                <c:pt idx="381">
                  <c:v>-2.6215688466332647</c:v>
                </c:pt>
                <c:pt idx="382">
                  <c:v>-4.0254938481330482</c:v>
                </c:pt>
                <c:pt idx="383">
                  <c:v>-5.4355613257412854</c:v>
                </c:pt>
                <c:pt idx="384">
                  <c:v>-6.8511165007790469</c:v>
                </c:pt>
                <c:pt idx="385">
                  <c:v>-8.271501871720206</c:v>
                </c:pt>
                <c:pt idx="386">
                  <c:v>-9.6960589778450768</c:v>
                </c:pt>
                <c:pt idx="387">
                  <c:v>-11.124130171186074</c:v>
                </c:pt>
                <c:pt idx="388">
                  <c:v>-12.555060384887653</c:v>
                </c:pt>
                <c:pt idx="389">
                  <c:v>-13.988198886093549</c:v>
                </c:pt>
                <c:pt idx="390">
                  <c:v>-15.422901001589873</c:v>
                </c:pt>
                <c:pt idx="391">
                  <c:v>-16.858529804694697</c:v>
                </c:pt>
                <c:pt idx="392">
                  <c:v>-18.294457752261039</c:v>
                </c:pt>
                <c:pt idx="393">
                  <c:v>-19.730068261180886</c:v>
                </c:pt>
                <c:pt idx="394">
                  <c:v>-21.164757214401074</c:v>
                </c:pt>
                <c:pt idx="395">
                  <c:v>-22.597934387181461</c:v>
                </c:pt>
                <c:pt idx="396">
                  <c:v>-24.029024785147264</c:v>
                </c:pt>
                <c:pt idx="397">
                  <c:v>-25.457469886585748</c:v>
                </c:pt>
                <c:pt idx="398">
                  <c:v>-26.882728782380827</c:v>
                </c:pt>
                <c:pt idx="399">
                  <c:v>-28.30427920798083</c:v>
                </c:pt>
                <c:pt idx="400">
                  <c:v>-29.721618462826559</c:v>
                </c:pt>
                <c:pt idx="401">
                  <c:v>-31.134264213696813</c:v>
                </c:pt>
                <c:pt idx="402">
                  <c:v>-32.5417551794772</c:v>
                </c:pt>
                <c:pt idx="403">
                  <c:v>-33.943651695881606</c:v>
                </c:pt>
                <c:pt idx="404">
                  <c:v>-35.339536159635195</c:v>
                </c:pt>
                <c:pt idx="405">
                  <c:v>-36.729013352605556</c:v>
                </c:pt>
                <c:pt idx="406">
                  <c:v>-38.111710647249296</c:v>
                </c:pt>
                <c:pt idx="407">
                  <c:v>-39.487278095595954</c:v>
                </c:pt>
                <c:pt idx="408">
                  <c:v>-40.855388404773024</c:v>
                </c:pt>
                <c:pt idx="409">
                  <c:v>-42.215736802767935</c:v>
                </c:pt>
                <c:pt idx="410">
                  <c:v>-43.568040798761558</c:v>
                </c:pt>
                <c:pt idx="411">
                  <c:v>-44.91203984292995</c:v>
                </c:pt>
                <c:pt idx="412">
                  <c:v>-46.247494891070772</c:v>
                </c:pt>
                <c:pt idx="413">
                  <c:v>-47.574187879825686</c:v>
                </c:pt>
                <c:pt idx="414">
                  <c:v>-48.8919211185964</c:v>
                </c:pt>
                <c:pt idx="415">
                  <c:v>-50.200516604504777</c:v>
                </c:pt>
                <c:pt idx="416">
                  <c:v>-51.499815266944097</c:v>
                </c:pt>
                <c:pt idx="417">
                  <c:v>-52.789676148404759</c:v>
                </c:pt>
                <c:pt idx="418">
                  <c:v>-54.069975528324605</c:v>
                </c:pt>
                <c:pt idx="419">
                  <c:v>-55.340605996757525</c:v>
                </c:pt>
                <c:pt idx="420">
                  <c:v>-56.601475484628402</c:v>
                </c:pt>
                <c:pt idx="421">
                  <c:v>-57.852506257303375</c:v>
                </c:pt>
                <c:pt idx="422">
                  <c:v>-59.093633878114602</c:v>
                </c:pt>
                <c:pt idx="423">
                  <c:v>-60.324806148388866</c:v>
                </c:pt>
                <c:pt idx="424">
                  <c:v>-61.545982030390789</c:v>
                </c:pt>
                <c:pt idx="425">
                  <c:v>-62.757130559471236</c:v>
                </c:pt>
                <c:pt idx="426">
                  <c:v>-63.958229751554711</c:v>
                </c:pt>
                <c:pt idx="427">
                  <c:v>-65.149265511951384</c:v>
                </c:pt>
                <c:pt idx="428">
                  <c:v>-66.330230551324306</c:v>
                </c:pt>
                <c:pt idx="429">
                  <c:v>-67.501123314500262</c:v>
                </c:pt>
                <c:pt idx="430">
                  <c:v>-68.661946927628748</c:v>
                </c:pt>
                <c:pt idx="431">
                  <c:v>-69.81270816908237</c:v>
                </c:pt>
                <c:pt idx="432">
                  <c:v>-70.953416469307555</c:v>
                </c:pt>
                <c:pt idx="433">
                  <c:v>-72.084082944716869</c:v>
                </c:pt>
                <c:pt idx="434">
                  <c:v>-73.204719470535821</c:v>
                </c:pt>
                <c:pt idx="435">
                  <c:v>-74.31533779740613</c:v>
                </c:pt>
                <c:pt idx="436">
                  <c:v>-75.415948716360433</c:v>
                </c:pt>
                <c:pt idx="437">
                  <c:v>-76.506561276651425</c:v>
                </c:pt>
                <c:pt idx="438">
                  <c:v>-77.587182060735017</c:v>
                </c:pt>
                <c:pt idx="439">
                  <c:v>-78.657814520535183</c:v>
                </c:pt>
                <c:pt idx="440">
                  <c:v>-79.718458378913269</c:v>
                </c:pt>
                <c:pt idx="441">
                  <c:v>-80.769109100057818</c:v>
                </c:pt>
                <c:pt idx="442">
                  <c:v>-81.809757432249611</c:v>
                </c:pt>
                <c:pt idx="443">
                  <c:v>-82.840389026207873</c:v>
                </c:pt>
                <c:pt idx="444">
                  <c:v>-83.860984131907571</c:v>
                </c:pt>
                <c:pt idx="445">
                  <c:v>-84.871517376428471</c:v>
                </c:pt>
                <c:pt idx="446">
                  <c:v>-85.871957625021338</c:v>
                </c:pt>
                <c:pt idx="447">
                  <c:v>-86.862267927177456</c:v>
                </c:pt>
                <c:pt idx="448">
                  <c:v>-87.842405549024392</c:v>
                </c:pt>
                <c:pt idx="449">
                  <c:v>-88.812322092898668</c:v>
                </c:pt>
                <c:pt idx="450">
                  <c:v>-89.771963704413338</c:v>
                </c:pt>
                <c:pt idx="451">
                  <c:v>-90.721271366779447</c:v>
                </c:pt>
                <c:pt idx="452">
                  <c:v>-91.660181281544951</c:v>
                </c:pt>
                <c:pt idx="453">
                  <c:v>-92.588625334294818</c:v>
                </c:pt>
                <c:pt idx="454">
                  <c:v>-93.506531643198045</c:v>
                </c:pt>
                <c:pt idx="455">
                  <c:v>-94.413825187631289</c:v>
                </c:pt>
                <c:pt idx="456">
                  <c:v>-95.310428513413768</c:v>
                </c:pt>
                <c:pt idx="457">
                  <c:v>-96.196262510515993</c:v>
                </c:pt>
                <c:pt idx="458">
                  <c:v>-97.071247258413081</c:v>
                </c:pt>
                <c:pt idx="459">
                  <c:v>-97.935302933578996</c:v>
                </c:pt>
                <c:pt idx="460">
                  <c:v>-98.788350772980152</c:v>
                </c:pt>
                <c:pt idx="461">
                  <c:v>-99.63031408678583</c:v>
                </c:pt>
                <c:pt idx="462">
                  <c:v>-100.46111931294496</c:v>
                </c:pt>
                <c:pt idx="463">
                  <c:v>-101.28069710573446</c:v>
                </c:pt>
                <c:pt idx="464">
                  <c:v>-102.08898344990153</c:v>
                </c:pt>
                <c:pt idx="465">
                  <c:v>-102.88592079160806</c:v>
                </c:pt>
                <c:pt idx="466">
                  <c:v>-103.6714591770415</c:v>
                </c:pt>
                <c:pt idx="467">
                  <c:v>-104.44555738927231</c:v>
                </c:pt>
                <c:pt idx="468">
                  <c:v>-105.20818407376802</c:v>
                </c:pt>
                <c:pt idx="469">
                  <c:v>-105.95931884285282</c:v>
                </c:pt>
                <c:pt idx="470">
                  <c:v>-106.69895334940063</c:v>
                </c:pt>
                <c:pt idx="471">
                  <c:v>-107.42709232011852</c:v>
                </c:pt>
                <c:pt idx="472">
                  <c:v>-108.14375453894471</c:v>
                </c:pt>
                <c:pt idx="473">
                  <c:v>-108.84897377134553</c:v>
                </c:pt>
                <c:pt idx="474">
                  <c:v>-109.54279962064274</c:v>
                </c:pt>
                <c:pt idx="475">
                  <c:v>-110.22529830791999</c:v>
                </c:pt>
                <c:pt idx="476">
                  <c:v>-110.89655336758796</c:v>
                </c:pt>
                <c:pt idx="477">
                  <c:v>-111.55666625126004</c:v>
                </c:pt>
                <c:pt idx="478">
                  <c:v>-112.20575683325882</c:v>
                </c:pt>
                <c:pt idx="479">
                  <c:v>-112.84396381178784</c:v>
                </c:pt>
                <c:pt idx="480">
                  <c:v>-113.47144500059242</c:v>
                </c:pt>
                <c:pt idx="481">
                  <c:v>-114.08837750675235</c:v>
                </c:pt>
                <c:pt idx="482">
                  <c:v>-114.69495779113582</c:v>
                </c:pt>
                <c:pt idx="483">
                  <c:v>-115.29140160892943</c:v>
                </c:pt>
                <c:pt idx="484">
                  <c:v>-115.87794382860979</c:v>
                </c:pt>
                <c:pt idx="485">
                  <c:v>-116.45483812865646</c:v>
                </c:pt>
                <c:pt idx="486">
                  <c:v>-117.02235657226636</c:v>
                </c:pt>
                <c:pt idx="487">
                  <c:v>-117.58078906128991</c:v>
                </c:pt>
                <c:pt idx="488">
                  <c:v>-118.13044267154068</c:v>
                </c:pt>
                <c:pt idx="489">
                  <c:v>-118.67164087258189</c:v>
                </c:pt>
                <c:pt idx="490">
                  <c:v>-119.20472263597378</c:v>
                </c:pt>
                <c:pt idx="491">
                  <c:v>-119.73004143684753</c:v>
                </c:pt>
                <c:pt idx="492">
                  <c:v>-120.24796415449521</c:v>
                </c:pt>
                <c:pt idx="493">
                  <c:v>-120.75886987844331</c:v>
                </c:pt>
                <c:pt idx="494">
                  <c:v>-121.26314862719701</c:v>
                </c:pt>
                <c:pt idx="495">
                  <c:v>-121.76119998750141</c:v>
                </c:pt>
                <c:pt idx="496">
                  <c:v>-122.25343168256002</c:v>
                </c:pt>
                <c:pt idx="497">
                  <c:v>-122.74025807815865</c:v>
                </c:pt>
                <c:pt idx="498">
                  <c:v>-123.22209863609702</c:v>
                </c:pt>
                <c:pt idx="499">
                  <c:v>-123.6993763246637</c:v>
                </c:pt>
                <c:pt idx="500">
                  <c:v>-124.17251599619627</c:v>
                </c:pt>
                <c:pt idx="501">
                  <c:v>-124.64194274192825</c:v>
                </c:pt>
                <c:pt idx="502">
                  <c:v>-125.10808023445058</c:v>
                </c:pt>
                <c:pt idx="503">
                  <c:v>-125.57134906812313</c:v>
                </c:pt>
                <c:pt idx="504">
                  <c:v>-126.0321651077182</c:v>
                </c:pt>
                <c:pt idx="505">
                  <c:v>-126.49093785543035</c:v>
                </c:pt>
                <c:pt idx="506">
                  <c:v>-126.94806884617297</c:v>
                </c:pt>
                <c:pt idx="507">
                  <c:v>-127.40395008078727</c:v>
                </c:pt>
                <c:pt idx="508">
                  <c:v>-127.8589625064387</c:v>
                </c:pt>
                <c:pt idx="509">
                  <c:v>-128.31347455305044</c:v>
                </c:pt>
                <c:pt idx="510">
                  <c:v>-128.76784073415473</c:v>
                </c:pt>
                <c:pt idx="511">
                  <c:v>-129.22240032001463</c:v>
                </c:pt>
                <c:pt idx="512">
                  <c:v>-129.6774760903065</c:v>
                </c:pt>
                <c:pt idx="513">
                  <c:v>-130.13337317304624</c:v>
                </c:pt>
                <c:pt idx="514">
                  <c:v>-130.59037797580399</c:v>
                </c:pt>
                <c:pt idx="515">
                  <c:v>-131.04875721459982</c:v>
                </c:pt>
                <c:pt idx="516">
                  <c:v>-131.50875704518091</c:v>
                </c:pt>
                <c:pt idx="517">
                  <c:v>-131.97060230069283</c:v>
                </c:pt>
                <c:pt idx="518">
                  <c:v>-132.43449583904581</c:v>
                </c:pt>
                <c:pt idx="519">
                  <c:v>-132.90061800255953</c:v>
                </c:pt>
                <c:pt idx="520">
                  <c:v>-133.36912619176451</c:v>
                </c:pt>
                <c:pt idx="521">
                  <c:v>-133.84015455450449</c:v>
                </c:pt>
                <c:pt idx="522">
                  <c:v>-134.31381379078459</c:v>
                </c:pt>
                <c:pt idx="523">
                  <c:v>-134.7901910730908</c:v>
                </c:pt>
                <c:pt idx="524">
                  <c:v>-135.26935008121788</c:v>
                </c:pt>
                <c:pt idx="525">
                  <c:v>-135.7513311499396</c:v>
                </c:pt>
                <c:pt idx="526">
                  <c:v>-136.23615152720103</c:v>
                </c:pt>
                <c:pt idx="527">
                  <c:v>-136.72380573983204</c:v>
                </c:pt>
                <c:pt idx="528">
                  <c:v>-137.2142660631666</c:v>
                </c:pt>
                <c:pt idx="529">
                  <c:v>-137.70748309032325</c:v>
                </c:pt>
                <c:pt idx="530">
                  <c:v>-138.20338639632342</c:v>
                </c:pt>
                <c:pt idx="531">
                  <c:v>-138.70188529167163</c:v>
                </c:pt>
                <c:pt idx="532">
                  <c:v>-139.20286965949529</c:v>
                </c:pt>
                <c:pt idx="533">
                  <c:v>-139.70621086987688</c:v>
                </c:pt>
                <c:pt idx="534">
                  <c:v>-140.21176276456987</c:v>
                </c:pt>
                <c:pt idx="535">
                  <c:v>-140.71936270490252</c:v>
                </c:pt>
                <c:pt idx="536">
                  <c:v>-141.22883267536739</c:v>
                </c:pt>
                <c:pt idx="537">
                  <c:v>-141.73998043509766</c:v>
                </c:pt>
                <c:pt idx="538">
                  <c:v>-142.25260070924966</c:v>
                </c:pt>
                <c:pt idx="539">
                  <c:v>-142.76647641215663</c:v>
                </c:pt>
                <c:pt idx="540">
                  <c:v>-143.2813798940534</c:v>
                </c:pt>
                <c:pt idx="541">
                  <c:v>-143.7970742031718</c:v>
                </c:pt>
              </c:numCache>
            </c:numRef>
          </c:yVal>
          <c:smooth val="1"/>
          <c:extLst>
            <c:ext xmlns:c16="http://schemas.microsoft.com/office/drawing/2014/chart" uri="{C3380CC4-5D6E-409C-BE32-E72D297353CC}">
              <c16:uniqueId val="{0000000B-4775-43FB-AFE2-19B0C785AD1D}"/>
            </c:ext>
          </c:extLst>
        </c:ser>
        <c:dLbls>
          <c:showLegendKey val="0"/>
          <c:showVal val="0"/>
          <c:showCatName val="0"/>
          <c:showSerName val="0"/>
          <c:showPercent val="0"/>
          <c:showBubbleSize val="0"/>
        </c:dLbls>
        <c:axId val="175150592"/>
        <c:axId val="175127936"/>
      </c:scatterChart>
      <c:valAx>
        <c:axId val="174189952"/>
        <c:scaling>
          <c:logBase val="10"/>
          <c:orientation val="minMax"/>
          <c:max val="20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175126016"/>
        <c:crosses val="autoZero"/>
        <c:crossBetween val="midCat"/>
      </c:valAx>
      <c:valAx>
        <c:axId val="175126016"/>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174189952"/>
        <c:crosses val="autoZero"/>
        <c:crossBetween val="midCat"/>
        <c:majorUnit val="20"/>
        <c:minorUnit val="10"/>
      </c:valAx>
      <c:valAx>
        <c:axId val="17512793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175150592"/>
        <c:crosses val="max"/>
        <c:crossBetween val="midCat"/>
        <c:majorUnit val="90"/>
        <c:minorUnit val="45"/>
      </c:valAx>
      <c:valAx>
        <c:axId val="175150592"/>
        <c:scaling>
          <c:logBase val="10"/>
          <c:orientation val="minMax"/>
        </c:scaling>
        <c:delete val="1"/>
        <c:axPos val="b"/>
        <c:numFmt formatCode="0.00" sourceLinked="1"/>
        <c:majorTickMark val="out"/>
        <c:minorTickMark val="none"/>
        <c:tickLblPos val="nextTo"/>
        <c:crossAx val="175127936"/>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Eff_vs_IOUT!$AT$7:$AT$157</c:f>
              <c:numCache>
                <c:formatCode>General</c:formatCode>
                <c:ptCount val="151"/>
                <c:pt idx="0">
                  <c:v>0</c:v>
                </c:pt>
                <c:pt idx="1">
                  <c:v>18.808449214293592</c:v>
                </c:pt>
                <c:pt idx="2">
                  <c:v>31.125042079859277</c:v>
                </c:pt>
                <c:pt idx="3">
                  <c:v>39.811521674657641</c:v>
                </c:pt>
                <c:pt idx="4">
                  <c:v>46.263250394684022</c:v>
                </c:pt>
                <c:pt idx="5">
                  <c:v>51.241677661646591</c:v>
                </c:pt>
                <c:pt idx="6">
                  <c:v>55.197582950684101</c:v>
                </c:pt>
                <c:pt idx="7">
                  <c:v>58.414843065247112</c:v>
                </c:pt>
                <c:pt idx="8">
                  <c:v>61.081129743054596</c:v>
                </c:pt>
                <c:pt idx="9">
                  <c:v>63.325479532764696</c:v>
                </c:pt>
                <c:pt idx="10">
                  <c:v>65.239533711648861</c:v>
                </c:pt>
                <c:pt idx="11">
                  <c:v>67.079180215155063</c:v>
                </c:pt>
                <c:pt idx="12">
                  <c:v>68.544484991633837</c:v>
                </c:pt>
                <c:pt idx="13">
                  <c:v>69.834897418632366</c:v>
                </c:pt>
                <c:pt idx="14">
                  <c:v>70.979882474225846</c:v>
                </c:pt>
                <c:pt idx="15">
                  <c:v>72.002638274304999</c:v>
                </c:pt>
                <c:pt idx="16">
                  <c:v>72.921678066538391</c:v>
                </c:pt>
                <c:pt idx="17">
                  <c:v>73.751956030073913</c:v>
                </c:pt>
                <c:pt idx="18">
                  <c:v>74.505683319387103</c:v>
                </c:pt>
                <c:pt idx="19">
                  <c:v>75.19292942421103</c:v>
                </c:pt>
                <c:pt idx="20">
                  <c:v>75.822071969718721</c:v>
                </c:pt>
                <c:pt idx="21">
                  <c:v>76.400137724113122</c:v>
                </c:pt>
                <c:pt idx="22">
                  <c:v>76.933064323164459</c:v>
                </c:pt>
                <c:pt idx="23">
                  <c:v>77.425903414666081</c:v>
                </c:pt>
                <c:pt idx="24">
                  <c:v>77.882979969557766</c:v>
                </c:pt>
                <c:pt idx="25">
                  <c:v>78.308018411119335</c:v>
                </c:pt>
                <c:pt idx="26">
                  <c:v>78.70424335485751</c:v>
                </c:pt>
                <c:pt idx="27">
                  <c:v>79.074460728100391</c:v>
                </c:pt>
                <c:pt idx="28">
                  <c:v>79.421123587302574</c:v>
                </c:pt>
                <c:pt idx="29">
                  <c:v>79.746385898111882</c:v>
                </c:pt>
                <c:pt idx="30">
                  <c:v>80.052146770611685</c:v>
                </c:pt>
                <c:pt idx="31">
                  <c:v>80.34008706929761</c:v>
                </c:pt>
                <c:pt idx="32">
                  <c:v>80.611699888477062</c:v>
                </c:pt>
                <c:pt idx="33">
                  <c:v>80.868316059777683</c:v>
                </c:pt>
                <c:pt idx="34">
                  <c:v>81.111125611578288</c:v>
                </c:pt>
                <c:pt idx="35">
                  <c:v>81.34119591055638</c:v>
                </c:pt>
                <c:pt idx="36">
                  <c:v>81.55948706879937</c:v>
                </c:pt>
                <c:pt idx="37">
                  <c:v>81.76686508554441</c:v>
                </c:pt>
                <c:pt idx="38">
                  <c:v>81.964113102852806</c:v>
                </c:pt>
                <c:pt idx="39">
                  <c:v>82.151941083638661</c:v>
                </c:pt>
                <c:pt idx="40">
                  <c:v>82.330994164147171</c:v>
                </c:pt>
                <c:pt idx="41">
                  <c:v>82.50185988796855</c:v>
                </c:pt>
                <c:pt idx="42">
                  <c:v>82.665074492506136</c:v>
                </c:pt>
                <c:pt idx="43">
                  <c:v>82.821128389604709</c:v>
                </c:pt>
                <c:pt idx="44">
                  <c:v>82.97047095833274</c:v>
                </c:pt>
                <c:pt idx="45">
                  <c:v>83.113514748570424</c:v>
                </c:pt>
                <c:pt idx="46">
                  <c:v>83.250639178211145</c:v>
                </c:pt>
                <c:pt idx="47">
                  <c:v>83.382193793744335</c:v>
                </c:pt>
                <c:pt idx="48">
                  <c:v>83.508501153214723</c:v>
                </c:pt>
                <c:pt idx="49">
                  <c:v>83.629859381614779</c:v>
                </c:pt>
                <c:pt idx="50">
                  <c:v>83.746544441325682</c:v>
                </c:pt>
                <c:pt idx="51">
                  <c:v>83.858812154000759</c:v>
                </c:pt>
                <c:pt idx="52">
                  <c:v>83.966900005068752</c:v>
                </c:pt>
                <c:pt idx="53">
                  <c:v>84.071028757643688</c:v>
                </c:pt>
                <c:pt idx="54">
                  <c:v>84.17140389892046</c:v>
                </c:pt>
                <c:pt idx="55">
                  <c:v>84.268216938996403</c:v>
                </c:pt>
                <c:pt idx="56">
                  <c:v>84.361646579391135</c:v>
                </c:pt>
                <c:pt idx="57">
                  <c:v>84.45185976626496</c:v>
                </c:pt>
                <c:pt idx="58">
                  <c:v>84.539012641394336</c:v>
                </c:pt>
                <c:pt idx="59">
                  <c:v>84.623251402299786</c:v>
                </c:pt>
                <c:pt idx="60">
                  <c:v>84.704713081492699</c:v>
                </c:pt>
                <c:pt idx="61">
                  <c:v>84.783526253577207</c:v>
                </c:pt>
                <c:pt idx="62">
                  <c:v>84.859811677881453</c:v>
                </c:pt>
                <c:pt idx="63">
                  <c:v>84.933682883373478</c:v>
                </c:pt>
                <c:pt idx="64">
                  <c:v>85.005246701819658</c:v>
                </c:pt>
                <c:pt idx="65">
                  <c:v>85.074603754451601</c:v>
                </c:pt>
                <c:pt idx="66">
                  <c:v>85.141848896803225</c:v>
                </c:pt>
                <c:pt idx="67">
                  <c:v>85.207071625853331</c:v>
                </c:pt>
                <c:pt idx="68">
                  <c:v>85.270356453148622</c:v>
                </c:pt>
                <c:pt idx="69">
                  <c:v>85.331783247177455</c:v>
                </c:pt>
                <c:pt idx="70">
                  <c:v>85.391427547911007</c:v>
                </c:pt>
                <c:pt idx="71">
                  <c:v>85.449360856116257</c:v>
                </c:pt>
                <c:pt idx="72">
                  <c:v>85.505650899770075</c:v>
                </c:pt>
                <c:pt idx="73">
                  <c:v>85.560361879661812</c:v>
                </c:pt>
                <c:pt idx="74">
                  <c:v>85.613554696056298</c:v>
                </c:pt>
                <c:pt idx="75">
                  <c:v>85.665287158099758</c:v>
                </c:pt>
                <c:pt idx="76">
                  <c:v>85.715614177482394</c:v>
                </c:pt>
                <c:pt idx="77">
                  <c:v>85.764587947721139</c:v>
                </c:pt>
                <c:pt idx="78">
                  <c:v>85.812258110293328</c:v>
                </c:pt>
                <c:pt idx="79">
                  <c:v>85.858671908732575</c:v>
                </c:pt>
                <c:pt idx="80">
                  <c:v>85.903874331692492</c:v>
                </c:pt>
                <c:pt idx="81">
                  <c:v>85.947908245888854</c:v>
                </c:pt>
                <c:pt idx="82">
                  <c:v>85.990814519745712</c:v>
                </c:pt>
                <c:pt idx="83">
                  <c:v>86.032632138495302</c:v>
                </c:pt>
                <c:pt idx="84">
                  <c:v>86.073398311412959</c:v>
                </c:pt>
                <c:pt idx="85">
                  <c:v>86.113148571806988</c:v>
                </c:pt>
                <c:pt idx="86">
                  <c:v>86.151916870328222</c:v>
                </c:pt>
                <c:pt idx="87">
                  <c:v>86.189735662114131</c:v>
                </c:pt>
                <c:pt idx="88">
                  <c:v>86.226635988237803</c:v>
                </c:pt>
                <c:pt idx="89">
                  <c:v>86.262647551891064</c:v>
                </c:pt>
                <c:pt idx="90">
                  <c:v>86.297798789694951</c:v>
                </c:pt>
                <c:pt idx="91">
                  <c:v>86.332116938497151</c:v>
                </c:pt>
                <c:pt idx="92">
                  <c:v>86.365628097986118</c:v>
                </c:pt>
                <c:pt idx="93">
                  <c:v>86.398357289424595</c:v>
                </c:pt>
                <c:pt idx="94">
                  <c:v>86.430328510779901</c:v>
                </c:pt>
                <c:pt idx="95">
                  <c:v>86.461564788506521</c:v>
                </c:pt>
                <c:pt idx="96">
                  <c:v>86.49208822621587</c:v>
                </c:pt>
                <c:pt idx="97">
                  <c:v>86.521920050449054</c:v>
                </c:pt>
                <c:pt idx="98">
                  <c:v>86.551080653752109</c:v>
                </c:pt>
                <c:pt idx="99">
                  <c:v>86.579589635237241</c:v>
                </c:pt>
                <c:pt idx="100">
                  <c:v>86.607465838799655</c:v>
                </c:pt>
                <c:pt idx="101">
                  <c:v>86.634727389146633</c:v>
                </c:pt>
                <c:pt idx="102">
                  <c:v>86.661391725783261</c:v>
                </c:pt>
                <c:pt idx="103">
                  <c:v>86.687475635089314</c:v>
                </c:pt>
                <c:pt idx="104">
                  <c:v>86.712995280610556</c:v>
                </c:pt>
                <c:pt idx="105">
                  <c:v>86.73796623167992</c:v>
                </c:pt>
                <c:pt idx="106">
                  <c:v>86.762403490474711</c:v>
                </c:pt>
                <c:pt idx="107">
                  <c:v>86.786321517608556</c:v>
                </c:pt>
                <c:pt idx="108">
                  <c:v>86.809734256350282</c:v>
                </c:pt>
                <c:pt idx="109">
                  <c:v>86.832655155554392</c:v>
                </c:pt>
                <c:pt idx="110">
                  <c:v>86.855097191382697</c:v>
                </c:pt>
                <c:pt idx="111">
                  <c:v>86.877072887890819</c:v>
                </c:pt>
                <c:pt idx="112">
                  <c:v>86.898594336547959</c:v>
                </c:pt>
                <c:pt idx="113">
                  <c:v>86.919673214754084</c:v>
                </c:pt>
                <c:pt idx="114">
                  <c:v>86.940320803414011</c:v>
                </c:pt>
                <c:pt idx="115">
                  <c:v>86.960548003623998</c:v>
                </c:pt>
                <c:pt idx="116">
                  <c:v>86.980365352522497</c:v>
                </c:pt>
                <c:pt idx="117">
                  <c:v>86.999783038353911</c:v>
                </c:pt>
                <c:pt idx="118">
                  <c:v>87.018810914790109</c:v>
                </c:pt>
                <c:pt idx="119">
                  <c:v>87.037458514552398</c:v>
                </c:pt>
                <c:pt idx="120">
                  <c:v>87.055735062373188</c:v>
                </c:pt>
                <c:pt idx="121">
                  <c:v>87.073649487334691</c:v>
                </c:pt>
                <c:pt idx="122">
                  <c:v>87.091210434619043</c:v>
                </c:pt>
                <c:pt idx="123">
                  <c:v>87.108426276702545</c:v>
                </c:pt>
                <c:pt idx="124">
                  <c:v>87.125305124024237</c:v>
                </c:pt>
                <c:pt idx="125">
                  <c:v>87.14185483515773</c:v>
                </c:pt>
                <c:pt idx="126">
                  <c:v>87.158083026512656</c:v>
                </c:pt>
                <c:pt idx="127">
                  <c:v>87.173997081591267</c:v>
                </c:pt>
                <c:pt idx="128">
                  <c:v>87.189604159823645</c:v>
                </c:pt>
                <c:pt idx="129">
                  <c:v>87.204911205003597</c:v>
                </c:pt>
                <c:pt idx="130">
                  <c:v>87.219924953346577</c:v>
                </c:pt>
                <c:pt idx="131">
                  <c:v>87.234651941188616</c:v>
                </c:pt>
                <c:pt idx="132">
                  <c:v>87.249098512345384</c:v>
                </c:pt>
                <c:pt idx="133">
                  <c:v>87.263270825148382</c:v>
                </c:pt>
                <c:pt idx="134">
                  <c:v>87.277174859174806</c:v>
                </c:pt>
                <c:pt idx="135">
                  <c:v>87.290816421686486</c:v>
                </c:pt>
                <c:pt idx="136">
                  <c:v>87.304201153792519</c:v>
                </c:pt>
                <c:pt idx="137">
                  <c:v>87.317334536349279</c:v>
                </c:pt>
                <c:pt idx="138">
                  <c:v>87.330221895610876</c:v>
                </c:pt>
                <c:pt idx="139">
                  <c:v>87.342868408642033</c:v>
                </c:pt>
                <c:pt idx="140">
                  <c:v>87.355279108505272</c:v>
                </c:pt>
                <c:pt idx="141">
                  <c:v>87.367458889233191</c:v>
                </c:pt>
                <c:pt idx="142">
                  <c:v>87.379412510596012</c:v>
                </c:pt>
                <c:pt idx="143">
                  <c:v>87.391144602674302</c:v>
                </c:pt>
                <c:pt idx="144">
                  <c:v>87.402659670246223</c:v>
                </c:pt>
                <c:pt idx="145">
                  <c:v>87.413962096997622</c:v>
                </c:pt>
                <c:pt idx="146">
                  <c:v>87.425056149563801</c:v>
                </c:pt>
                <c:pt idx="147">
                  <c:v>87.435945981410185</c:v>
                </c:pt>
                <c:pt idx="148">
                  <c:v>87.446635636559819</c:v>
                </c:pt>
                <c:pt idx="149">
                  <c:v>87.457129053174512</c:v>
                </c:pt>
                <c:pt idx="150">
                  <c:v>87.467430066996016</c:v>
                </c:pt>
              </c:numCache>
            </c:numRef>
          </c:yVal>
          <c:smooth val="0"/>
          <c:extLst>
            <c:ext xmlns:c16="http://schemas.microsoft.com/office/drawing/2014/chart" uri="{C3380CC4-5D6E-409C-BE32-E72D297353CC}">
              <c16:uniqueId val="{00000000-F64F-4F04-8353-BA0E07F36881}"/>
            </c:ext>
          </c:extLst>
        </c:ser>
        <c:dLbls>
          <c:showLegendKey val="0"/>
          <c:showVal val="0"/>
          <c:showCatName val="0"/>
          <c:showSerName val="0"/>
          <c:showPercent val="0"/>
          <c:showBubbleSize val="0"/>
        </c:dLbls>
        <c:axId val="178605056"/>
        <c:axId val="17861504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Eff_vs_IOUT!$AI$7:$AI$157</c:f>
              <c:numCache>
                <c:formatCode>General</c:formatCode>
                <c:ptCount val="151"/>
                <c:pt idx="0">
                  <c:v>0</c:v>
                </c:pt>
                <c:pt idx="1">
                  <c:v>7.8399881988602624E-3</c:v>
                </c:pt>
                <c:pt idx="2">
                  <c:v>1.5723759360741076E-2</c:v>
                </c:pt>
                <c:pt idx="3">
                  <c:v>2.3645851552616771E-2</c:v>
                </c:pt>
                <c:pt idx="4">
                  <c:v>3.160510885971738E-2</c:v>
                </c:pt>
                <c:pt idx="5">
                  <c:v>3.9601280302246293E-2</c:v>
                </c:pt>
                <c:pt idx="6">
                  <c:v>4.7634480849663111E-2</c:v>
                </c:pt>
                <c:pt idx="7">
                  <c:v>5.5705007628328695E-2</c:v>
                </c:pt>
                <c:pt idx="8">
                  <c:v>6.3813259011512566E-2</c:v>
                </c:pt>
                <c:pt idx="9">
                  <c:v>7.1959693452254517E-2</c:v>
                </c:pt>
                <c:pt idx="10">
                  <c:v>8.0144806456360518E-2</c:v>
                </c:pt>
                <c:pt idx="11">
                  <c:v>8.63471334639586E-2</c:v>
                </c:pt>
                <c:pt idx="12">
                  <c:v>9.4205311525595123E-2</c:v>
                </c:pt>
                <c:pt idx="13">
                  <c:v>0.10206819162804796</c:v>
                </c:pt>
                <c:pt idx="14">
                  <c:v>0.10993577377131714</c:v>
                </c:pt>
                <c:pt idx="15">
                  <c:v>0.11780805795540264</c:v>
                </c:pt>
                <c:pt idx="16">
                  <c:v>0.12568504418030446</c:v>
                </c:pt>
                <c:pt idx="17">
                  <c:v>0.13356673244602266</c:v>
                </c:pt>
                <c:pt idx="18">
                  <c:v>0.14145312275255711</c:v>
                </c:pt>
                <c:pt idx="19">
                  <c:v>0.14934421509990789</c:v>
                </c:pt>
                <c:pt idx="20">
                  <c:v>0.15724000948807507</c:v>
                </c:pt>
                <c:pt idx="21">
                  <c:v>0.16514050591705851</c:v>
                </c:pt>
                <c:pt idx="22">
                  <c:v>0.17304570438685832</c:v>
                </c:pt>
                <c:pt idx="23">
                  <c:v>0.18095560489747445</c:v>
                </c:pt>
                <c:pt idx="24">
                  <c:v>0.18887020744890687</c:v>
                </c:pt>
                <c:pt idx="25">
                  <c:v>0.19678951204115561</c:v>
                </c:pt>
                <c:pt idx="26">
                  <c:v>0.20471351867422072</c:v>
                </c:pt>
                <c:pt idx="27">
                  <c:v>0.21264222734810218</c:v>
                </c:pt>
                <c:pt idx="28">
                  <c:v>0.22057563806279989</c:v>
                </c:pt>
                <c:pt idx="29">
                  <c:v>0.22851375081831396</c:v>
                </c:pt>
                <c:pt idx="30">
                  <c:v>0.23645656561464437</c:v>
                </c:pt>
                <c:pt idx="31">
                  <c:v>0.24440408245179115</c:v>
                </c:pt>
                <c:pt idx="32">
                  <c:v>0.25235630132975406</c:v>
                </c:pt>
                <c:pt idx="33">
                  <c:v>0.26031322224853354</c:v>
                </c:pt>
                <c:pt idx="34">
                  <c:v>0.26827484520812928</c:v>
                </c:pt>
                <c:pt idx="35">
                  <c:v>0.27624117020854128</c:v>
                </c:pt>
                <c:pt idx="36">
                  <c:v>0.28421219724976959</c:v>
                </c:pt>
                <c:pt idx="37">
                  <c:v>0.29218792633181428</c:v>
                </c:pt>
                <c:pt idx="38">
                  <c:v>0.30016835745467529</c:v>
                </c:pt>
                <c:pt idx="39">
                  <c:v>0.30815349061835268</c:v>
                </c:pt>
                <c:pt idx="40">
                  <c:v>0.31614332582284632</c:v>
                </c:pt>
                <c:pt idx="41">
                  <c:v>0.32413786306815634</c:v>
                </c:pt>
                <c:pt idx="42">
                  <c:v>0.33213710235428262</c:v>
                </c:pt>
                <c:pt idx="43">
                  <c:v>0.34014104368122527</c:v>
                </c:pt>
                <c:pt idx="44">
                  <c:v>0.34814968704898425</c:v>
                </c:pt>
                <c:pt idx="45">
                  <c:v>0.35616303245755959</c:v>
                </c:pt>
                <c:pt idx="46">
                  <c:v>0.3641810799069512</c:v>
                </c:pt>
                <c:pt idx="47">
                  <c:v>0.37220382939715912</c:v>
                </c:pt>
                <c:pt idx="48">
                  <c:v>0.38023128092818342</c:v>
                </c:pt>
                <c:pt idx="49">
                  <c:v>0.38826343450002393</c:v>
                </c:pt>
                <c:pt idx="50">
                  <c:v>0.39630029011268086</c:v>
                </c:pt>
                <c:pt idx="51">
                  <c:v>0.40434184776615417</c:v>
                </c:pt>
                <c:pt idx="52">
                  <c:v>0.41238810746044374</c:v>
                </c:pt>
                <c:pt idx="53">
                  <c:v>0.42043906919554969</c:v>
                </c:pt>
                <c:pt idx="54">
                  <c:v>0.428494732971472</c:v>
                </c:pt>
                <c:pt idx="55">
                  <c:v>0.43655509878821053</c:v>
                </c:pt>
                <c:pt idx="56">
                  <c:v>0.44462016664576537</c:v>
                </c:pt>
                <c:pt idx="57">
                  <c:v>0.45268993654413664</c:v>
                </c:pt>
                <c:pt idx="58">
                  <c:v>0.46076440848332417</c:v>
                </c:pt>
                <c:pt idx="59">
                  <c:v>0.46884358246332808</c:v>
                </c:pt>
                <c:pt idx="60">
                  <c:v>0.47692745848414819</c:v>
                </c:pt>
                <c:pt idx="61">
                  <c:v>0.48501603654578468</c:v>
                </c:pt>
                <c:pt idx="62">
                  <c:v>0.49310931664823771</c:v>
                </c:pt>
                <c:pt idx="63">
                  <c:v>0.50120729879150683</c:v>
                </c:pt>
                <c:pt idx="64">
                  <c:v>0.50930998297559216</c:v>
                </c:pt>
                <c:pt idx="65">
                  <c:v>0.51741736920049408</c:v>
                </c:pt>
                <c:pt idx="66">
                  <c:v>0.52552945746621227</c:v>
                </c:pt>
                <c:pt idx="67">
                  <c:v>0.53364624777274683</c:v>
                </c:pt>
                <c:pt idx="68">
                  <c:v>0.54176774012009765</c:v>
                </c:pt>
                <c:pt idx="69">
                  <c:v>0.54989393450826474</c:v>
                </c:pt>
                <c:pt idx="70">
                  <c:v>0.5580248309372482</c:v>
                </c:pt>
                <c:pt idx="71">
                  <c:v>0.56616042940704803</c:v>
                </c:pt>
                <c:pt idx="72">
                  <c:v>0.57430072991766401</c:v>
                </c:pt>
                <c:pt idx="73">
                  <c:v>0.58244573246909648</c:v>
                </c:pt>
                <c:pt idx="74">
                  <c:v>0.59059543706134521</c:v>
                </c:pt>
                <c:pt idx="75">
                  <c:v>0.59874984369441031</c:v>
                </c:pt>
                <c:pt idx="76">
                  <c:v>0.60690895236829168</c:v>
                </c:pt>
                <c:pt idx="77">
                  <c:v>0.61507276308298953</c:v>
                </c:pt>
                <c:pt idx="78">
                  <c:v>0.62324127583850364</c:v>
                </c:pt>
                <c:pt idx="79">
                  <c:v>0.63141449063483401</c:v>
                </c:pt>
                <c:pt idx="80">
                  <c:v>0.63959240747198065</c:v>
                </c:pt>
                <c:pt idx="81">
                  <c:v>0.64777502634994377</c:v>
                </c:pt>
                <c:pt idx="82">
                  <c:v>0.65596234726872316</c:v>
                </c:pt>
                <c:pt idx="83">
                  <c:v>0.66415437022831891</c:v>
                </c:pt>
                <c:pt idx="84">
                  <c:v>0.67235109522873082</c:v>
                </c:pt>
                <c:pt idx="85">
                  <c:v>0.68055252226995921</c:v>
                </c:pt>
                <c:pt idx="86">
                  <c:v>0.68875865135200387</c:v>
                </c:pt>
                <c:pt idx="87">
                  <c:v>0.69696948247486501</c:v>
                </c:pt>
                <c:pt idx="88">
                  <c:v>0.7051850156385423</c:v>
                </c:pt>
                <c:pt idx="89">
                  <c:v>0.71340525084303597</c:v>
                </c:pt>
                <c:pt idx="90">
                  <c:v>0.721630188088346</c:v>
                </c:pt>
                <c:pt idx="91">
                  <c:v>0.7298598273744723</c:v>
                </c:pt>
                <c:pt idx="92">
                  <c:v>0.73809416870141498</c:v>
                </c:pt>
                <c:pt idx="93">
                  <c:v>0.7463332120691738</c:v>
                </c:pt>
                <c:pt idx="94">
                  <c:v>0.75457695747774911</c:v>
                </c:pt>
                <c:pt idx="95">
                  <c:v>0.76282540492714079</c:v>
                </c:pt>
                <c:pt idx="96">
                  <c:v>0.77107855441734874</c:v>
                </c:pt>
                <c:pt idx="97">
                  <c:v>0.77933640594837317</c:v>
                </c:pt>
                <c:pt idx="98">
                  <c:v>0.78759895952021342</c:v>
                </c:pt>
                <c:pt idx="99">
                  <c:v>0.79586621513287037</c:v>
                </c:pt>
                <c:pt idx="100">
                  <c:v>0.8041381727863437</c:v>
                </c:pt>
                <c:pt idx="101">
                  <c:v>0.81241483248063329</c:v>
                </c:pt>
                <c:pt idx="102">
                  <c:v>0.82069619421573925</c:v>
                </c:pt>
                <c:pt idx="103">
                  <c:v>0.82898225799166181</c:v>
                </c:pt>
                <c:pt idx="104">
                  <c:v>0.83727302380840007</c:v>
                </c:pt>
                <c:pt idx="105">
                  <c:v>0.84556849166595494</c:v>
                </c:pt>
                <c:pt idx="106">
                  <c:v>0.85386866156432617</c:v>
                </c:pt>
                <c:pt idx="107">
                  <c:v>0.86217353350351378</c:v>
                </c:pt>
                <c:pt idx="108">
                  <c:v>0.87048310748351776</c:v>
                </c:pt>
                <c:pt idx="109">
                  <c:v>0.87879738350433789</c:v>
                </c:pt>
                <c:pt idx="110">
                  <c:v>0.8871163615659744</c:v>
                </c:pt>
                <c:pt idx="111">
                  <c:v>0.89544004166842728</c:v>
                </c:pt>
                <c:pt idx="112">
                  <c:v>0.90376842381169631</c:v>
                </c:pt>
                <c:pt idx="113">
                  <c:v>0.91210150799578193</c:v>
                </c:pt>
                <c:pt idx="114">
                  <c:v>0.92043929422068382</c:v>
                </c:pt>
                <c:pt idx="115">
                  <c:v>0.92878178248640186</c:v>
                </c:pt>
                <c:pt idx="116">
                  <c:v>0.93712897279293639</c:v>
                </c:pt>
                <c:pt idx="117">
                  <c:v>0.94548086514028695</c:v>
                </c:pt>
                <c:pt idx="118">
                  <c:v>0.95383745952845445</c:v>
                </c:pt>
                <c:pt idx="119">
                  <c:v>0.96219875595743765</c:v>
                </c:pt>
                <c:pt idx="120">
                  <c:v>0.97056475442723755</c:v>
                </c:pt>
                <c:pt idx="121">
                  <c:v>0.97893545493785361</c:v>
                </c:pt>
                <c:pt idx="122">
                  <c:v>0.98731085748928593</c:v>
                </c:pt>
                <c:pt idx="123">
                  <c:v>0.99569096208153474</c:v>
                </c:pt>
                <c:pt idx="124">
                  <c:v>1.0040757687146002</c:v>
                </c:pt>
                <c:pt idx="125">
                  <c:v>1.0124652773884812</c:v>
                </c:pt>
                <c:pt idx="126">
                  <c:v>1.0208594881031792</c:v>
                </c:pt>
                <c:pt idx="127">
                  <c:v>1.0292584008586931</c:v>
                </c:pt>
                <c:pt idx="128">
                  <c:v>1.0376620156550234</c:v>
                </c:pt>
                <c:pt idx="129">
                  <c:v>1.0460703324921705</c:v>
                </c:pt>
                <c:pt idx="130">
                  <c:v>1.0544833513701333</c:v>
                </c:pt>
                <c:pt idx="131">
                  <c:v>1.0629010722889127</c:v>
                </c:pt>
                <c:pt idx="132">
                  <c:v>1.0713234952485085</c:v>
                </c:pt>
                <c:pt idx="133">
                  <c:v>1.0797506202489204</c:v>
                </c:pt>
                <c:pt idx="134">
                  <c:v>1.0881824472901491</c:v>
                </c:pt>
                <c:pt idx="135">
                  <c:v>1.0966189763721936</c:v>
                </c:pt>
                <c:pt idx="136">
                  <c:v>1.1050602074950548</c:v>
                </c:pt>
                <c:pt idx="137">
                  <c:v>1.1135061406587319</c:v>
                </c:pt>
                <c:pt idx="138">
                  <c:v>1.1219567758632256</c:v>
                </c:pt>
                <c:pt idx="139">
                  <c:v>1.1304121131085356</c:v>
                </c:pt>
                <c:pt idx="140">
                  <c:v>1.1388721523946619</c:v>
                </c:pt>
                <c:pt idx="141">
                  <c:v>1.1473368937216046</c:v>
                </c:pt>
                <c:pt idx="142">
                  <c:v>1.1558063370893636</c:v>
                </c:pt>
                <c:pt idx="143">
                  <c:v>1.1642804824979389</c:v>
                </c:pt>
                <c:pt idx="144">
                  <c:v>1.1727593299473302</c:v>
                </c:pt>
                <c:pt idx="145">
                  <c:v>1.1812428794375385</c:v>
                </c:pt>
                <c:pt idx="146">
                  <c:v>1.1897311309685625</c:v>
                </c:pt>
                <c:pt idx="147">
                  <c:v>1.1982240845404035</c:v>
                </c:pt>
                <c:pt idx="148">
                  <c:v>1.2067217401530601</c:v>
                </c:pt>
                <c:pt idx="149">
                  <c:v>1.2152240978065334</c:v>
                </c:pt>
                <c:pt idx="150">
                  <c:v>1.223731157500823</c:v>
                </c:pt>
              </c:numCache>
            </c:numRef>
          </c:yVal>
          <c:smooth val="1"/>
          <c:extLst>
            <c:ext xmlns:c16="http://schemas.microsoft.com/office/drawing/2014/chart" uri="{C3380CC4-5D6E-409C-BE32-E72D297353CC}">
              <c16:uniqueId val="{00000001-F64F-4F04-8353-BA0E07F36881}"/>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Eff_vs_IOUT!$AN$7:$AN$157</c:f>
              <c:numCache>
                <c:formatCode>General</c:formatCode>
                <c:ptCount val="151"/>
                <c:pt idx="0">
                  <c:v>0.42354999999999998</c:v>
                </c:pt>
                <c:pt idx="1">
                  <c:v>0.43288333333333334</c:v>
                </c:pt>
                <c:pt idx="2">
                  <c:v>0.44221666666666665</c:v>
                </c:pt>
                <c:pt idx="3">
                  <c:v>0.45155000000000001</c:v>
                </c:pt>
                <c:pt idx="4">
                  <c:v>0.46088333333333331</c:v>
                </c:pt>
                <c:pt idx="5">
                  <c:v>0.47021666666666662</c:v>
                </c:pt>
                <c:pt idx="6">
                  <c:v>0.47954999999999998</c:v>
                </c:pt>
                <c:pt idx="7">
                  <c:v>0.48888333333333334</c:v>
                </c:pt>
                <c:pt idx="8">
                  <c:v>0.49821666666666664</c:v>
                </c:pt>
                <c:pt idx="9">
                  <c:v>0.50754999999999995</c:v>
                </c:pt>
                <c:pt idx="10">
                  <c:v>0.51688333333333336</c:v>
                </c:pt>
                <c:pt idx="11">
                  <c:v>0.52621666666666667</c:v>
                </c:pt>
                <c:pt idx="12">
                  <c:v>0.53554999999999997</c:v>
                </c:pt>
                <c:pt idx="13">
                  <c:v>0.54488333333333328</c:v>
                </c:pt>
                <c:pt idx="14">
                  <c:v>0.55421666666666658</c:v>
                </c:pt>
                <c:pt idx="15">
                  <c:v>0.56355</c:v>
                </c:pt>
                <c:pt idx="16">
                  <c:v>0.5728833333333333</c:v>
                </c:pt>
                <c:pt idx="17">
                  <c:v>0.5822166666666666</c:v>
                </c:pt>
                <c:pt idx="18">
                  <c:v>0.59155000000000002</c:v>
                </c:pt>
                <c:pt idx="19">
                  <c:v>0.60088333333333332</c:v>
                </c:pt>
                <c:pt idx="20">
                  <c:v>0.61021666666666663</c:v>
                </c:pt>
                <c:pt idx="21">
                  <c:v>0.61955000000000005</c:v>
                </c:pt>
                <c:pt idx="22">
                  <c:v>0.62888333333333324</c:v>
                </c:pt>
                <c:pt idx="23">
                  <c:v>0.63821666666666665</c:v>
                </c:pt>
                <c:pt idx="24">
                  <c:v>0.64754999999999996</c:v>
                </c:pt>
                <c:pt idx="25">
                  <c:v>0.65688333333333326</c:v>
                </c:pt>
                <c:pt idx="26">
                  <c:v>0.66621666666666668</c:v>
                </c:pt>
                <c:pt idx="27">
                  <c:v>0.67554999999999998</c:v>
                </c:pt>
                <c:pt idx="28">
                  <c:v>0.68488333333333329</c:v>
                </c:pt>
                <c:pt idx="29">
                  <c:v>0.6942166666666667</c:v>
                </c:pt>
                <c:pt idx="30">
                  <c:v>0.7035499999999999</c:v>
                </c:pt>
                <c:pt idx="31">
                  <c:v>0.71288333333333331</c:v>
                </c:pt>
                <c:pt idx="32">
                  <c:v>0.72221666666666673</c:v>
                </c:pt>
                <c:pt idx="33">
                  <c:v>0.73154999999999992</c:v>
                </c:pt>
                <c:pt idx="34">
                  <c:v>0.74088333333333334</c:v>
                </c:pt>
                <c:pt idx="35">
                  <c:v>0.75021666666666664</c:v>
                </c:pt>
                <c:pt idx="36">
                  <c:v>0.75954999999999995</c:v>
                </c:pt>
                <c:pt idx="37">
                  <c:v>0.76888333333333336</c:v>
                </c:pt>
                <c:pt idx="38">
                  <c:v>0.77821666666666667</c:v>
                </c:pt>
                <c:pt idx="39">
                  <c:v>0.78754999999999997</c:v>
                </c:pt>
                <c:pt idx="40">
                  <c:v>0.79688333333333328</c:v>
                </c:pt>
                <c:pt idx="41">
                  <c:v>0.80621666666666669</c:v>
                </c:pt>
                <c:pt idx="42">
                  <c:v>0.81555</c:v>
                </c:pt>
                <c:pt idx="43">
                  <c:v>0.8248833333333333</c:v>
                </c:pt>
                <c:pt idx="44">
                  <c:v>0.83421666666666661</c:v>
                </c:pt>
                <c:pt idx="45">
                  <c:v>0.84355000000000002</c:v>
                </c:pt>
                <c:pt idx="46">
                  <c:v>0.85288333333333333</c:v>
                </c:pt>
                <c:pt idx="47">
                  <c:v>0.86221666666666663</c:v>
                </c:pt>
                <c:pt idx="48">
                  <c:v>0.87154999999999994</c:v>
                </c:pt>
                <c:pt idx="49">
                  <c:v>0.88088333333333324</c:v>
                </c:pt>
                <c:pt idx="50">
                  <c:v>0.89021666666666666</c:v>
                </c:pt>
                <c:pt idx="51">
                  <c:v>0.89954999999999996</c:v>
                </c:pt>
                <c:pt idx="52">
                  <c:v>0.90888333333333327</c:v>
                </c:pt>
                <c:pt idx="53">
                  <c:v>0.91821666666666668</c:v>
                </c:pt>
                <c:pt idx="54">
                  <c:v>0.92754999999999999</c:v>
                </c:pt>
                <c:pt idx="55">
                  <c:v>0.93688333333333329</c:v>
                </c:pt>
                <c:pt idx="56">
                  <c:v>0.94621666666666659</c:v>
                </c:pt>
                <c:pt idx="57">
                  <c:v>0.9555499999999999</c:v>
                </c:pt>
                <c:pt idx="58">
                  <c:v>0.96488333333333332</c:v>
                </c:pt>
                <c:pt idx="59">
                  <c:v>0.97421666666666662</c:v>
                </c:pt>
                <c:pt idx="60">
                  <c:v>0.98354999999999992</c:v>
                </c:pt>
                <c:pt idx="61">
                  <c:v>0.99288333333333334</c:v>
                </c:pt>
                <c:pt idx="62">
                  <c:v>1.0022166666666665</c:v>
                </c:pt>
                <c:pt idx="63">
                  <c:v>1.0115499999999999</c:v>
                </c:pt>
                <c:pt idx="64">
                  <c:v>1.0208833333333334</c:v>
                </c:pt>
                <c:pt idx="65">
                  <c:v>1.0302166666666666</c:v>
                </c:pt>
                <c:pt idx="66">
                  <c:v>1.03955</c:v>
                </c:pt>
                <c:pt idx="67">
                  <c:v>1.0488833333333334</c:v>
                </c:pt>
                <c:pt idx="68">
                  <c:v>1.0582166666666666</c:v>
                </c:pt>
                <c:pt idx="69">
                  <c:v>1.06755</c:v>
                </c:pt>
                <c:pt idx="70">
                  <c:v>1.0768833333333334</c:v>
                </c:pt>
                <c:pt idx="71">
                  <c:v>1.0862166666666666</c:v>
                </c:pt>
                <c:pt idx="72">
                  <c:v>1.09555</c:v>
                </c:pt>
                <c:pt idx="73">
                  <c:v>1.1048833333333334</c:v>
                </c:pt>
                <c:pt idx="74">
                  <c:v>1.1142166666666666</c:v>
                </c:pt>
                <c:pt idx="75">
                  <c:v>1.1235499999999998</c:v>
                </c:pt>
                <c:pt idx="76">
                  <c:v>1.1328833333333335</c:v>
                </c:pt>
                <c:pt idx="77">
                  <c:v>1.1422166666666667</c:v>
                </c:pt>
                <c:pt idx="78">
                  <c:v>1.1515499999999999</c:v>
                </c:pt>
                <c:pt idx="79">
                  <c:v>1.1608833333333335</c:v>
                </c:pt>
                <c:pt idx="80">
                  <c:v>1.1702166666666667</c:v>
                </c:pt>
                <c:pt idx="81">
                  <c:v>1.1795499999999999</c:v>
                </c:pt>
                <c:pt idx="82">
                  <c:v>1.1888833333333335</c:v>
                </c:pt>
                <c:pt idx="83">
                  <c:v>1.1982166666666667</c:v>
                </c:pt>
                <c:pt idx="84">
                  <c:v>1.2075499999999999</c:v>
                </c:pt>
                <c:pt idx="85">
                  <c:v>1.2168833333333331</c:v>
                </c:pt>
                <c:pt idx="86">
                  <c:v>1.2262166666666667</c:v>
                </c:pt>
                <c:pt idx="87">
                  <c:v>1.2355499999999999</c:v>
                </c:pt>
                <c:pt idx="88">
                  <c:v>1.2448833333333331</c:v>
                </c:pt>
                <c:pt idx="89">
                  <c:v>1.2542166666666668</c:v>
                </c:pt>
                <c:pt idx="90">
                  <c:v>1.26355</c:v>
                </c:pt>
                <c:pt idx="91">
                  <c:v>1.2728833333333331</c:v>
                </c:pt>
                <c:pt idx="92">
                  <c:v>1.2822166666666668</c:v>
                </c:pt>
                <c:pt idx="93">
                  <c:v>1.29155</c:v>
                </c:pt>
                <c:pt idx="94">
                  <c:v>1.3008833333333332</c:v>
                </c:pt>
                <c:pt idx="95">
                  <c:v>1.3102166666666668</c:v>
                </c:pt>
                <c:pt idx="96">
                  <c:v>1.31955</c:v>
                </c:pt>
                <c:pt idx="97">
                  <c:v>1.3288833333333332</c:v>
                </c:pt>
                <c:pt idx="98">
                  <c:v>1.3382166666666666</c:v>
                </c:pt>
                <c:pt idx="99">
                  <c:v>1.34755</c:v>
                </c:pt>
                <c:pt idx="100">
                  <c:v>1.3568833333333332</c:v>
                </c:pt>
                <c:pt idx="101">
                  <c:v>1.3662166666666666</c:v>
                </c:pt>
                <c:pt idx="102">
                  <c:v>1.3755500000000001</c:v>
                </c:pt>
                <c:pt idx="103">
                  <c:v>1.3848833333333332</c:v>
                </c:pt>
                <c:pt idx="104">
                  <c:v>1.3942166666666667</c:v>
                </c:pt>
                <c:pt idx="105">
                  <c:v>1.4035500000000001</c:v>
                </c:pt>
                <c:pt idx="106">
                  <c:v>1.4128833333333333</c:v>
                </c:pt>
                <c:pt idx="107">
                  <c:v>1.4222166666666667</c:v>
                </c:pt>
                <c:pt idx="108">
                  <c:v>1.4315500000000001</c:v>
                </c:pt>
                <c:pt idx="109">
                  <c:v>1.4408833333333333</c:v>
                </c:pt>
                <c:pt idx="110">
                  <c:v>1.4502166666666665</c:v>
                </c:pt>
                <c:pt idx="111">
                  <c:v>1.4595500000000001</c:v>
                </c:pt>
                <c:pt idx="112">
                  <c:v>1.4688833333333333</c:v>
                </c:pt>
                <c:pt idx="113">
                  <c:v>1.4782166666666665</c:v>
                </c:pt>
                <c:pt idx="114">
                  <c:v>1.4875499999999997</c:v>
                </c:pt>
                <c:pt idx="115">
                  <c:v>1.4968833333333333</c:v>
                </c:pt>
                <c:pt idx="116">
                  <c:v>1.5062166666666665</c:v>
                </c:pt>
                <c:pt idx="117">
                  <c:v>1.5155499999999997</c:v>
                </c:pt>
                <c:pt idx="118">
                  <c:v>1.5248833333333334</c:v>
                </c:pt>
                <c:pt idx="119">
                  <c:v>1.5342166666666666</c:v>
                </c:pt>
                <c:pt idx="120">
                  <c:v>1.5435499999999998</c:v>
                </c:pt>
                <c:pt idx="121">
                  <c:v>1.5528833333333334</c:v>
                </c:pt>
                <c:pt idx="122">
                  <c:v>1.5622166666666666</c:v>
                </c:pt>
                <c:pt idx="123">
                  <c:v>1.5715499999999998</c:v>
                </c:pt>
                <c:pt idx="124">
                  <c:v>1.5808833333333334</c:v>
                </c:pt>
                <c:pt idx="125">
                  <c:v>1.5902166666666666</c:v>
                </c:pt>
                <c:pt idx="126">
                  <c:v>1.5995499999999998</c:v>
                </c:pt>
                <c:pt idx="127">
                  <c:v>1.6088833333333334</c:v>
                </c:pt>
                <c:pt idx="128">
                  <c:v>1.6182166666666666</c:v>
                </c:pt>
                <c:pt idx="129">
                  <c:v>1.6275499999999998</c:v>
                </c:pt>
                <c:pt idx="130">
                  <c:v>1.6368833333333335</c:v>
                </c:pt>
                <c:pt idx="131">
                  <c:v>1.6462166666666667</c:v>
                </c:pt>
                <c:pt idx="132">
                  <c:v>1.6555499999999999</c:v>
                </c:pt>
                <c:pt idx="133">
                  <c:v>1.6648833333333335</c:v>
                </c:pt>
                <c:pt idx="134">
                  <c:v>1.6742166666666667</c:v>
                </c:pt>
                <c:pt idx="135">
                  <c:v>1.6835499999999999</c:v>
                </c:pt>
                <c:pt idx="136">
                  <c:v>1.6928833333333335</c:v>
                </c:pt>
                <c:pt idx="137">
                  <c:v>1.7022166666666667</c:v>
                </c:pt>
                <c:pt idx="138">
                  <c:v>1.7115499999999999</c:v>
                </c:pt>
                <c:pt idx="139">
                  <c:v>1.7208833333333335</c:v>
                </c:pt>
                <c:pt idx="140">
                  <c:v>1.7302166666666667</c:v>
                </c:pt>
                <c:pt idx="141">
                  <c:v>1.7395499999999999</c:v>
                </c:pt>
                <c:pt idx="142">
                  <c:v>1.7488833333333336</c:v>
                </c:pt>
                <c:pt idx="143">
                  <c:v>1.7582166666666668</c:v>
                </c:pt>
                <c:pt idx="144">
                  <c:v>1.76755</c:v>
                </c:pt>
                <c:pt idx="145">
                  <c:v>1.7768833333333331</c:v>
                </c:pt>
                <c:pt idx="146">
                  <c:v>1.7862166666666668</c:v>
                </c:pt>
                <c:pt idx="147">
                  <c:v>1.79555</c:v>
                </c:pt>
                <c:pt idx="148">
                  <c:v>1.8048833333333332</c:v>
                </c:pt>
                <c:pt idx="149">
                  <c:v>1.8142166666666668</c:v>
                </c:pt>
                <c:pt idx="150">
                  <c:v>1.82355</c:v>
                </c:pt>
              </c:numCache>
            </c:numRef>
          </c:yVal>
          <c:smooth val="1"/>
          <c:extLst>
            <c:ext xmlns:c16="http://schemas.microsoft.com/office/drawing/2014/chart" uri="{C3380CC4-5D6E-409C-BE32-E72D297353CC}">
              <c16:uniqueId val="{00000002-F64F-4F04-8353-BA0E07F36881}"/>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Eff_vs_IOUT!$AO$7:$AO$157</c:f>
              <c:numCache>
                <c:formatCode>General</c:formatCode>
                <c:ptCount val="151"/>
                <c:pt idx="0">
                  <c:v>0</c:v>
                </c:pt>
                <c:pt idx="1">
                  <c:v>9.5689617630655765E-5</c:v>
                </c:pt>
                <c:pt idx="2">
                  <c:v>3.0813380331611641E-4</c:v>
                </c:pt>
                <c:pt idx="3">
                  <c:v>6.2276740232124629E-4</c:v>
                </c:pt>
                <c:pt idx="4">
                  <c:v>1.0365079752595156E-3</c:v>
                </c:pt>
                <c:pt idx="5">
                  <c:v>1.5486862426732167E-3</c:v>
                </c:pt>
                <c:pt idx="6">
                  <c:v>2.1596087897880166E-3</c:v>
                </c:pt>
                <c:pt idx="7">
                  <c:v>2.8700679535662065E-3</c:v>
                </c:pt>
                <c:pt idx="8">
                  <c:v>3.681126062726494E-3</c:v>
                </c:pt>
                <c:pt idx="9">
                  <c:v>4.5940056587083153E-3</c:v>
                </c:pt>
                <c:pt idx="10">
                  <c:v>5.6100280903275826E-3</c:v>
                </c:pt>
                <c:pt idx="11">
                  <c:v>1.3386211979257525E-3</c:v>
                </c:pt>
                <c:pt idx="12">
                  <c:v>1.4828171162930997E-3</c:v>
                </c:pt>
                <c:pt idx="13">
                  <c:v>1.6395518101706501E-3</c:v>
                </c:pt>
                <c:pt idx="14">
                  <c:v>1.8088252795584055E-3</c:v>
                </c:pt>
                <c:pt idx="15">
                  <c:v>1.990637524456365E-3</c:v>
                </c:pt>
                <c:pt idx="16">
                  <c:v>2.1849885448645277E-3</c:v>
                </c:pt>
                <c:pt idx="17">
                  <c:v>2.3918783407828955E-3</c:v>
                </c:pt>
                <c:pt idx="18">
                  <c:v>2.6113069122114673E-3</c:v>
                </c:pt>
                <c:pt idx="19">
                  <c:v>2.8432742591502423E-3</c:v>
                </c:pt>
                <c:pt idx="20">
                  <c:v>3.0877803815992223E-3</c:v>
                </c:pt>
                <c:pt idx="21">
                  <c:v>3.3448252795584051E-3</c:v>
                </c:pt>
                <c:pt idx="22">
                  <c:v>3.6144089530277929E-3</c:v>
                </c:pt>
                <c:pt idx="23">
                  <c:v>3.8965314020073861E-3</c:v>
                </c:pt>
                <c:pt idx="24">
                  <c:v>4.1911926264971812E-3</c:v>
                </c:pt>
                <c:pt idx="25">
                  <c:v>4.49839262649718E-3</c:v>
                </c:pt>
                <c:pt idx="26">
                  <c:v>4.8181314020073855E-3</c:v>
                </c:pt>
                <c:pt idx="27">
                  <c:v>5.1504089530277951E-3</c:v>
                </c:pt>
                <c:pt idx="28">
                  <c:v>5.4952252795584054E-3</c:v>
                </c:pt>
                <c:pt idx="29">
                  <c:v>5.8525803815992232E-3</c:v>
                </c:pt>
                <c:pt idx="30">
                  <c:v>6.2224742591502442E-3</c:v>
                </c:pt>
                <c:pt idx="31">
                  <c:v>6.6049069122114694E-3</c:v>
                </c:pt>
                <c:pt idx="32">
                  <c:v>6.9998783407828951E-3</c:v>
                </c:pt>
                <c:pt idx="33">
                  <c:v>7.4073885448645276E-3</c:v>
                </c:pt>
                <c:pt idx="34">
                  <c:v>7.8274375244563668E-3</c:v>
                </c:pt>
                <c:pt idx="35">
                  <c:v>8.2600252795584049E-3</c:v>
                </c:pt>
                <c:pt idx="36">
                  <c:v>8.705151810170654E-3</c:v>
                </c:pt>
                <c:pt idx="37">
                  <c:v>9.1628171162931003E-3</c:v>
                </c:pt>
                <c:pt idx="38">
                  <c:v>9.6330211979257525E-3</c:v>
                </c:pt>
                <c:pt idx="39">
                  <c:v>1.0115764055068609E-2</c:v>
                </c:pt>
                <c:pt idx="40">
                  <c:v>1.0611045687721674E-2</c:v>
                </c:pt>
                <c:pt idx="41">
                  <c:v>1.1118866095884939E-2</c:v>
                </c:pt>
                <c:pt idx="42">
                  <c:v>1.1639225279558407E-2</c:v>
                </c:pt>
                <c:pt idx="43">
                  <c:v>1.217212323874208E-2</c:v>
                </c:pt>
                <c:pt idx="44">
                  <c:v>1.2717559973435957E-2</c:v>
                </c:pt>
                <c:pt idx="45">
                  <c:v>1.3275535483640044E-2</c:v>
                </c:pt>
                <c:pt idx="46">
                  <c:v>1.3846049769354333E-2</c:v>
                </c:pt>
                <c:pt idx="47">
                  <c:v>1.4429102830578818E-2</c:v>
                </c:pt>
                <c:pt idx="48">
                  <c:v>1.5024694667313513E-2</c:v>
                </c:pt>
                <c:pt idx="49">
                  <c:v>1.56328252795584E-2</c:v>
                </c:pt>
                <c:pt idx="50">
                  <c:v>1.6253494667313507E-2</c:v>
                </c:pt>
                <c:pt idx="51">
                  <c:v>1.6886702830578814E-2</c:v>
                </c:pt>
                <c:pt idx="52">
                  <c:v>1.7532449769354329E-2</c:v>
                </c:pt>
                <c:pt idx="53">
                  <c:v>1.8190735483640041E-2</c:v>
                </c:pt>
                <c:pt idx="54">
                  <c:v>1.8861559973435964E-2</c:v>
                </c:pt>
                <c:pt idx="55">
                  <c:v>1.9544923238742084E-2</c:v>
                </c:pt>
                <c:pt idx="56">
                  <c:v>2.0240825279558412E-2</c:v>
                </c:pt>
                <c:pt idx="57">
                  <c:v>2.0949266095884943E-2</c:v>
                </c:pt>
                <c:pt idx="58">
                  <c:v>2.1670245687721679E-2</c:v>
                </c:pt>
                <c:pt idx="59">
                  <c:v>2.2403764055068616E-2</c:v>
                </c:pt>
                <c:pt idx="60">
                  <c:v>2.3149821197925764E-2</c:v>
                </c:pt>
                <c:pt idx="61">
                  <c:v>2.3908417116293101E-2</c:v>
                </c:pt>
                <c:pt idx="62">
                  <c:v>2.4679551810170654E-2</c:v>
                </c:pt>
                <c:pt idx="63">
                  <c:v>2.546322527955841E-2</c:v>
                </c:pt>
                <c:pt idx="64">
                  <c:v>2.625943752445636E-2</c:v>
                </c:pt>
                <c:pt idx="65">
                  <c:v>2.7068188544864525E-2</c:v>
                </c:pt>
                <c:pt idx="66">
                  <c:v>2.7889478340782897E-2</c:v>
                </c:pt>
                <c:pt idx="67">
                  <c:v>2.872330691221147E-2</c:v>
                </c:pt>
                <c:pt idx="68">
                  <c:v>2.9569674259150254E-2</c:v>
                </c:pt>
                <c:pt idx="69">
                  <c:v>3.0428580381599225E-2</c:v>
                </c:pt>
                <c:pt idx="70">
                  <c:v>3.1300025279558392E-2</c:v>
                </c:pt>
                <c:pt idx="71">
                  <c:v>3.2184008953027789E-2</c:v>
                </c:pt>
                <c:pt idx="72">
                  <c:v>3.3080531402007389E-2</c:v>
                </c:pt>
                <c:pt idx="73">
                  <c:v>3.398959262649718E-2</c:v>
                </c:pt>
                <c:pt idx="74">
                  <c:v>3.4911192626497188E-2</c:v>
                </c:pt>
                <c:pt idx="75">
                  <c:v>3.584533140200738E-2</c:v>
                </c:pt>
                <c:pt idx="76">
                  <c:v>3.6792008953027783E-2</c:v>
                </c:pt>
                <c:pt idx="77">
                  <c:v>3.7751225279558411E-2</c:v>
                </c:pt>
                <c:pt idx="78">
                  <c:v>3.8722980381599215E-2</c:v>
                </c:pt>
                <c:pt idx="79">
                  <c:v>3.9707274259150244E-2</c:v>
                </c:pt>
                <c:pt idx="80">
                  <c:v>4.0704106912211477E-2</c:v>
                </c:pt>
                <c:pt idx="81">
                  <c:v>4.17134783407829E-2</c:v>
                </c:pt>
                <c:pt idx="82">
                  <c:v>4.2735388544864535E-2</c:v>
                </c:pt>
                <c:pt idx="83">
                  <c:v>4.3769837524456366E-2</c:v>
                </c:pt>
                <c:pt idx="84">
                  <c:v>4.4816825279558416E-2</c:v>
                </c:pt>
                <c:pt idx="85">
                  <c:v>4.5876351810170655E-2</c:v>
                </c:pt>
                <c:pt idx="86">
                  <c:v>4.6948417116293106E-2</c:v>
                </c:pt>
                <c:pt idx="87">
                  <c:v>4.8033021197925782E-2</c:v>
                </c:pt>
                <c:pt idx="88">
                  <c:v>4.9130164055068606E-2</c:v>
                </c:pt>
                <c:pt idx="89">
                  <c:v>5.0239845687721697E-2</c:v>
                </c:pt>
                <c:pt idx="90">
                  <c:v>5.1362066095884965E-2</c:v>
                </c:pt>
                <c:pt idx="91">
                  <c:v>5.2496825279558415E-2</c:v>
                </c:pt>
                <c:pt idx="92">
                  <c:v>5.3644123238742097E-2</c:v>
                </c:pt>
                <c:pt idx="93">
                  <c:v>5.4803959973435935E-2</c:v>
                </c:pt>
                <c:pt idx="94">
                  <c:v>5.5976335483640033E-2</c:v>
                </c:pt>
                <c:pt idx="95">
                  <c:v>5.7161249769354348E-2</c:v>
                </c:pt>
                <c:pt idx="96">
                  <c:v>5.8358702830578812E-2</c:v>
                </c:pt>
                <c:pt idx="97">
                  <c:v>5.9568694667313536E-2</c:v>
                </c:pt>
                <c:pt idx="98">
                  <c:v>6.0791225279558395E-2</c:v>
                </c:pt>
                <c:pt idx="99">
                  <c:v>6.2026294667313533E-2</c:v>
                </c:pt>
                <c:pt idx="100">
                  <c:v>6.3273902830578821E-2</c:v>
                </c:pt>
                <c:pt idx="101">
                  <c:v>6.4534049769354326E-2</c:v>
                </c:pt>
                <c:pt idx="102">
                  <c:v>6.580673548364005E-2</c:v>
                </c:pt>
                <c:pt idx="103">
                  <c:v>6.7091959973436005E-2</c:v>
                </c:pt>
                <c:pt idx="104">
                  <c:v>6.8389723238742095E-2</c:v>
                </c:pt>
                <c:pt idx="105">
                  <c:v>6.9700025279558403E-2</c:v>
                </c:pt>
                <c:pt idx="106">
                  <c:v>7.1022866095884957E-2</c:v>
                </c:pt>
                <c:pt idx="107">
                  <c:v>7.2358245687721687E-2</c:v>
                </c:pt>
                <c:pt idx="108">
                  <c:v>7.3706164055068621E-2</c:v>
                </c:pt>
                <c:pt idx="109">
                  <c:v>7.5066621197925773E-2</c:v>
                </c:pt>
                <c:pt idx="110">
                  <c:v>7.6439617116293129E-2</c:v>
                </c:pt>
                <c:pt idx="111">
                  <c:v>7.7825151810170662E-2</c:v>
                </c:pt>
                <c:pt idx="112">
                  <c:v>7.9223225279558412E-2</c:v>
                </c:pt>
                <c:pt idx="113">
                  <c:v>8.0633837524456395E-2</c:v>
                </c:pt>
                <c:pt idx="114">
                  <c:v>8.2056988544864554E-2</c:v>
                </c:pt>
                <c:pt idx="115">
                  <c:v>8.349267834078293E-2</c:v>
                </c:pt>
                <c:pt idx="116">
                  <c:v>8.4940906912211483E-2</c:v>
                </c:pt>
                <c:pt idx="117">
                  <c:v>8.6401674259150241E-2</c:v>
                </c:pt>
                <c:pt idx="118">
                  <c:v>8.7874980381599271E-2</c:v>
                </c:pt>
                <c:pt idx="119">
                  <c:v>8.9360825279558395E-2</c:v>
                </c:pt>
                <c:pt idx="120">
                  <c:v>9.085920895302782E-2</c:v>
                </c:pt>
                <c:pt idx="121">
                  <c:v>9.2370131402007394E-2</c:v>
                </c:pt>
                <c:pt idx="122">
                  <c:v>9.3893592626497199E-2</c:v>
                </c:pt>
                <c:pt idx="123">
                  <c:v>9.5429592626497181E-2</c:v>
                </c:pt>
                <c:pt idx="124">
                  <c:v>9.6978131402007423E-2</c:v>
                </c:pt>
                <c:pt idx="125">
                  <c:v>9.8539208953027813E-2</c:v>
                </c:pt>
                <c:pt idx="126">
                  <c:v>0.10011282527955839</c:v>
                </c:pt>
                <c:pt idx="127">
                  <c:v>0.10169898038159923</c:v>
                </c:pt>
                <c:pt idx="128">
                  <c:v>0.10329767425915024</c:v>
                </c:pt>
                <c:pt idx="129">
                  <c:v>0.10490890691221148</c:v>
                </c:pt>
                <c:pt idx="130">
                  <c:v>0.10653267834078288</c:v>
                </c:pt>
                <c:pt idx="131">
                  <c:v>0.10816898854486449</c:v>
                </c:pt>
                <c:pt idx="132">
                  <c:v>0.10981783752445637</c:v>
                </c:pt>
                <c:pt idx="133">
                  <c:v>0.11147922527955841</c:v>
                </c:pt>
                <c:pt idx="134">
                  <c:v>0.11315315181017066</c:v>
                </c:pt>
                <c:pt idx="135">
                  <c:v>0.11483961711629308</c:v>
                </c:pt>
                <c:pt idx="136">
                  <c:v>0.11653862119792577</c:v>
                </c:pt>
                <c:pt idx="137">
                  <c:v>0.11825016405506864</c:v>
                </c:pt>
                <c:pt idx="138">
                  <c:v>0.11997424568772171</c:v>
                </c:pt>
                <c:pt idx="139">
                  <c:v>0.12171086609588495</c:v>
                </c:pt>
                <c:pt idx="140">
                  <c:v>0.12346002527955841</c:v>
                </c:pt>
                <c:pt idx="141">
                  <c:v>0.12522172323874212</c:v>
                </c:pt>
                <c:pt idx="142">
                  <c:v>0.12699595997343596</c:v>
                </c:pt>
                <c:pt idx="143">
                  <c:v>0.12878273548364008</c:v>
                </c:pt>
                <c:pt idx="144">
                  <c:v>0.13058204976935434</c:v>
                </c:pt>
                <c:pt idx="145">
                  <c:v>0.13239390283057878</c:v>
                </c:pt>
                <c:pt idx="146">
                  <c:v>0.1342182946673135</c:v>
                </c:pt>
                <c:pt idx="147">
                  <c:v>0.13605522527955843</c:v>
                </c:pt>
                <c:pt idx="148">
                  <c:v>0.13790469466731348</c:v>
                </c:pt>
                <c:pt idx="149">
                  <c:v>0.13976670283057882</c:v>
                </c:pt>
                <c:pt idx="150">
                  <c:v>0.14164124976935427</c:v>
                </c:pt>
              </c:numCache>
            </c:numRef>
          </c:yVal>
          <c:smooth val="1"/>
          <c:extLst>
            <c:ext xmlns:c16="http://schemas.microsoft.com/office/drawing/2014/chart" uri="{C3380CC4-5D6E-409C-BE32-E72D297353CC}">
              <c16:uniqueId val="{00000003-F64F-4F04-8353-BA0E07F36881}"/>
            </c:ext>
          </c:extLst>
        </c:ser>
        <c:dLbls>
          <c:showLegendKey val="0"/>
          <c:showVal val="0"/>
          <c:showCatName val="0"/>
          <c:showSerName val="0"/>
          <c:showPercent val="0"/>
          <c:showBubbleSize val="0"/>
        </c:dLbls>
        <c:axId val="178635520"/>
        <c:axId val="178616960"/>
      </c:scatterChart>
      <c:valAx>
        <c:axId val="178605056"/>
        <c:scaling>
          <c:orientation val="minMax"/>
        </c:scaling>
        <c:delete val="0"/>
        <c:axPos val="b"/>
        <c:majorGridlines/>
        <c:numFmt formatCode="General" sourceLinked="1"/>
        <c:majorTickMark val="out"/>
        <c:minorTickMark val="none"/>
        <c:tickLblPos val="nextTo"/>
        <c:crossAx val="178615040"/>
        <c:crosses val="autoZero"/>
        <c:crossBetween val="midCat"/>
      </c:valAx>
      <c:valAx>
        <c:axId val="17861504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78605056"/>
        <c:crosses val="autoZero"/>
        <c:crossBetween val="midCat"/>
      </c:valAx>
      <c:valAx>
        <c:axId val="178616960"/>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78635520"/>
        <c:crosses val="max"/>
        <c:crossBetween val="midCat"/>
      </c:valAx>
      <c:valAx>
        <c:axId val="178635520"/>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178616960"/>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Eff_vs_IOUT!$AT$7:$AT$157</c:f>
              <c:numCache>
                <c:formatCode>General</c:formatCode>
                <c:ptCount val="151"/>
                <c:pt idx="0">
                  <c:v>0</c:v>
                </c:pt>
                <c:pt idx="1">
                  <c:v>18.808449214293592</c:v>
                </c:pt>
                <c:pt idx="2">
                  <c:v>31.125042079859277</c:v>
                </c:pt>
                <c:pt idx="3">
                  <c:v>39.811521674657641</c:v>
                </c:pt>
                <c:pt idx="4">
                  <c:v>46.263250394684022</c:v>
                </c:pt>
                <c:pt idx="5">
                  <c:v>51.241677661646591</c:v>
                </c:pt>
                <c:pt idx="6">
                  <c:v>55.197582950684101</c:v>
                </c:pt>
                <c:pt idx="7">
                  <c:v>58.414843065247112</c:v>
                </c:pt>
                <c:pt idx="8">
                  <c:v>61.081129743054596</c:v>
                </c:pt>
                <c:pt idx="9">
                  <c:v>63.325479532764696</c:v>
                </c:pt>
                <c:pt idx="10">
                  <c:v>65.239533711648861</c:v>
                </c:pt>
                <c:pt idx="11">
                  <c:v>67.079180215155063</c:v>
                </c:pt>
                <c:pt idx="12">
                  <c:v>68.544484991633837</c:v>
                </c:pt>
                <c:pt idx="13">
                  <c:v>69.834897418632366</c:v>
                </c:pt>
                <c:pt idx="14">
                  <c:v>70.979882474225846</c:v>
                </c:pt>
                <c:pt idx="15">
                  <c:v>72.002638274304999</c:v>
                </c:pt>
                <c:pt idx="16">
                  <c:v>72.921678066538391</c:v>
                </c:pt>
                <c:pt idx="17">
                  <c:v>73.751956030073913</c:v>
                </c:pt>
                <c:pt idx="18">
                  <c:v>74.505683319387103</c:v>
                </c:pt>
                <c:pt idx="19">
                  <c:v>75.19292942421103</c:v>
                </c:pt>
                <c:pt idx="20">
                  <c:v>75.822071969718721</c:v>
                </c:pt>
                <c:pt idx="21">
                  <c:v>76.400137724113122</c:v>
                </c:pt>
                <c:pt idx="22">
                  <c:v>76.933064323164459</c:v>
                </c:pt>
                <c:pt idx="23">
                  <c:v>77.425903414666081</c:v>
                </c:pt>
                <c:pt idx="24">
                  <c:v>77.882979969557766</c:v>
                </c:pt>
                <c:pt idx="25">
                  <c:v>78.308018411119335</c:v>
                </c:pt>
                <c:pt idx="26">
                  <c:v>78.70424335485751</c:v>
                </c:pt>
                <c:pt idx="27">
                  <c:v>79.074460728100391</c:v>
                </c:pt>
                <c:pt idx="28">
                  <c:v>79.421123587302574</c:v>
                </c:pt>
                <c:pt idx="29">
                  <c:v>79.746385898111882</c:v>
                </c:pt>
                <c:pt idx="30">
                  <c:v>80.052146770611685</c:v>
                </c:pt>
                <c:pt idx="31">
                  <c:v>80.34008706929761</c:v>
                </c:pt>
                <c:pt idx="32">
                  <c:v>80.611699888477062</c:v>
                </c:pt>
                <c:pt idx="33">
                  <c:v>80.868316059777683</c:v>
                </c:pt>
                <c:pt idx="34">
                  <c:v>81.111125611578288</c:v>
                </c:pt>
                <c:pt idx="35">
                  <c:v>81.34119591055638</c:v>
                </c:pt>
                <c:pt idx="36">
                  <c:v>81.55948706879937</c:v>
                </c:pt>
                <c:pt idx="37">
                  <c:v>81.76686508554441</c:v>
                </c:pt>
                <c:pt idx="38">
                  <c:v>81.964113102852806</c:v>
                </c:pt>
                <c:pt idx="39">
                  <c:v>82.151941083638661</c:v>
                </c:pt>
                <c:pt idx="40">
                  <c:v>82.330994164147171</c:v>
                </c:pt>
                <c:pt idx="41">
                  <c:v>82.50185988796855</c:v>
                </c:pt>
                <c:pt idx="42">
                  <c:v>82.665074492506136</c:v>
                </c:pt>
                <c:pt idx="43">
                  <c:v>82.821128389604709</c:v>
                </c:pt>
                <c:pt idx="44">
                  <c:v>82.97047095833274</c:v>
                </c:pt>
                <c:pt idx="45">
                  <c:v>83.113514748570424</c:v>
                </c:pt>
                <c:pt idx="46">
                  <c:v>83.250639178211145</c:v>
                </c:pt>
                <c:pt idx="47">
                  <c:v>83.382193793744335</c:v>
                </c:pt>
                <c:pt idx="48">
                  <c:v>83.508501153214723</c:v>
                </c:pt>
                <c:pt idx="49">
                  <c:v>83.629859381614779</c:v>
                </c:pt>
                <c:pt idx="50">
                  <c:v>83.746544441325682</c:v>
                </c:pt>
                <c:pt idx="51">
                  <c:v>83.858812154000759</c:v>
                </c:pt>
                <c:pt idx="52">
                  <c:v>83.966900005068752</c:v>
                </c:pt>
                <c:pt idx="53">
                  <c:v>84.071028757643688</c:v>
                </c:pt>
                <c:pt idx="54">
                  <c:v>84.17140389892046</c:v>
                </c:pt>
                <c:pt idx="55">
                  <c:v>84.268216938996403</c:v>
                </c:pt>
                <c:pt idx="56">
                  <c:v>84.361646579391135</c:v>
                </c:pt>
                <c:pt idx="57">
                  <c:v>84.45185976626496</c:v>
                </c:pt>
                <c:pt idx="58">
                  <c:v>84.539012641394336</c:v>
                </c:pt>
                <c:pt idx="59">
                  <c:v>84.623251402299786</c:v>
                </c:pt>
                <c:pt idx="60">
                  <c:v>84.704713081492699</c:v>
                </c:pt>
                <c:pt idx="61">
                  <c:v>84.783526253577207</c:v>
                </c:pt>
                <c:pt idx="62">
                  <c:v>84.859811677881453</c:v>
                </c:pt>
                <c:pt idx="63">
                  <c:v>84.933682883373478</c:v>
                </c:pt>
                <c:pt idx="64">
                  <c:v>85.005246701819658</c:v>
                </c:pt>
                <c:pt idx="65">
                  <c:v>85.074603754451601</c:v>
                </c:pt>
                <c:pt idx="66">
                  <c:v>85.141848896803225</c:v>
                </c:pt>
                <c:pt idx="67">
                  <c:v>85.207071625853331</c:v>
                </c:pt>
                <c:pt idx="68">
                  <c:v>85.270356453148622</c:v>
                </c:pt>
                <c:pt idx="69">
                  <c:v>85.331783247177455</c:v>
                </c:pt>
                <c:pt idx="70">
                  <c:v>85.391427547911007</c:v>
                </c:pt>
                <c:pt idx="71">
                  <c:v>85.449360856116257</c:v>
                </c:pt>
                <c:pt idx="72">
                  <c:v>85.505650899770075</c:v>
                </c:pt>
                <c:pt idx="73">
                  <c:v>85.560361879661812</c:v>
                </c:pt>
                <c:pt idx="74">
                  <c:v>85.613554696056298</c:v>
                </c:pt>
                <c:pt idx="75">
                  <c:v>85.665287158099758</c:v>
                </c:pt>
                <c:pt idx="76">
                  <c:v>85.715614177482394</c:v>
                </c:pt>
                <c:pt idx="77">
                  <c:v>85.764587947721139</c:v>
                </c:pt>
                <c:pt idx="78">
                  <c:v>85.812258110293328</c:v>
                </c:pt>
                <c:pt idx="79">
                  <c:v>85.858671908732575</c:v>
                </c:pt>
                <c:pt idx="80">
                  <c:v>85.903874331692492</c:v>
                </c:pt>
                <c:pt idx="81">
                  <c:v>85.947908245888854</c:v>
                </c:pt>
                <c:pt idx="82">
                  <c:v>85.990814519745712</c:v>
                </c:pt>
                <c:pt idx="83">
                  <c:v>86.032632138495302</c:v>
                </c:pt>
                <c:pt idx="84">
                  <c:v>86.073398311412959</c:v>
                </c:pt>
                <c:pt idx="85">
                  <c:v>86.113148571806988</c:v>
                </c:pt>
                <c:pt idx="86">
                  <c:v>86.151916870328222</c:v>
                </c:pt>
                <c:pt idx="87">
                  <c:v>86.189735662114131</c:v>
                </c:pt>
                <c:pt idx="88">
                  <c:v>86.226635988237803</c:v>
                </c:pt>
                <c:pt idx="89">
                  <c:v>86.262647551891064</c:v>
                </c:pt>
                <c:pt idx="90">
                  <c:v>86.297798789694951</c:v>
                </c:pt>
                <c:pt idx="91">
                  <c:v>86.332116938497151</c:v>
                </c:pt>
                <c:pt idx="92">
                  <c:v>86.365628097986118</c:v>
                </c:pt>
                <c:pt idx="93">
                  <c:v>86.398357289424595</c:v>
                </c:pt>
                <c:pt idx="94">
                  <c:v>86.430328510779901</c:v>
                </c:pt>
                <c:pt idx="95">
                  <c:v>86.461564788506521</c:v>
                </c:pt>
                <c:pt idx="96">
                  <c:v>86.49208822621587</c:v>
                </c:pt>
                <c:pt idx="97">
                  <c:v>86.521920050449054</c:v>
                </c:pt>
                <c:pt idx="98">
                  <c:v>86.551080653752109</c:v>
                </c:pt>
                <c:pt idx="99">
                  <c:v>86.579589635237241</c:v>
                </c:pt>
                <c:pt idx="100">
                  <c:v>86.607465838799655</c:v>
                </c:pt>
                <c:pt idx="101">
                  <c:v>86.634727389146633</c:v>
                </c:pt>
                <c:pt idx="102">
                  <c:v>86.661391725783261</c:v>
                </c:pt>
                <c:pt idx="103">
                  <c:v>86.687475635089314</c:v>
                </c:pt>
                <c:pt idx="104">
                  <c:v>86.712995280610556</c:v>
                </c:pt>
                <c:pt idx="105">
                  <c:v>86.73796623167992</c:v>
                </c:pt>
                <c:pt idx="106">
                  <c:v>86.762403490474711</c:v>
                </c:pt>
                <c:pt idx="107">
                  <c:v>86.786321517608556</c:v>
                </c:pt>
                <c:pt idx="108">
                  <c:v>86.809734256350282</c:v>
                </c:pt>
                <c:pt idx="109">
                  <c:v>86.832655155554392</c:v>
                </c:pt>
                <c:pt idx="110">
                  <c:v>86.855097191382697</c:v>
                </c:pt>
                <c:pt idx="111">
                  <c:v>86.877072887890819</c:v>
                </c:pt>
                <c:pt idx="112">
                  <c:v>86.898594336547959</c:v>
                </c:pt>
                <c:pt idx="113">
                  <c:v>86.919673214754084</c:v>
                </c:pt>
                <c:pt idx="114">
                  <c:v>86.940320803414011</c:v>
                </c:pt>
                <c:pt idx="115">
                  <c:v>86.960548003623998</c:v>
                </c:pt>
                <c:pt idx="116">
                  <c:v>86.980365352522497</c:v>
                </c:pt>
                <c:pt idx="117">
                  <c:v>86.999783038353911</c:v>
                </c:pt>
                <c:pt idx="118">
                  <c:v>87.018810914790109</c:v>
                </c:pt>
                <c:pt idx="119">
                  <c:v>87.037458514552398</c:v>
                </c:pt>
                <c:pt idx="120">
                  <c:v>87.055735062373188</c:v>
                </c:pt>
                <c:pt idx="121">
                  <c:v>87.073649487334691</c:v>
                </c:pt>
                <c:pt idx="122">
                  <c:v>87.091210434619043</c:v>
                </c:pt>
                <c:pt idx="123">
                  <c:v>87.108426276702545</c:v>
                </c:pt>
                <c:pt idx="124">
                  <c:v>87.125305124024237</c:v>
                </c:pt>
                <c:pt idx="125">
                  <c:v>87.14185483515773</c:v>
                </c:pt>
                <c:pt idx="126">
                  <c:v>87.158083026512656</c:v>
                </c:pt>
                <c:pt idx="127">
                  <c:v>87.173997081591267</c:v>
                </c:pt>
                <c:pt idx="128">
                  <c:v>87.189604159823645</c:v>
                </c:pt>
                <c:pt idx="129">
                  <c:v>87.204911205003597</c:v>
                </c:pt>
                <c:pt idx="130">
                  <c:v>87.219924953346577</c:v>
                </c:pt>
                <c:pt idx="131">
                  <c:v>87.234651941188616</c:v>
                </c:pt>
                <c:pt idx="132">
                  <c:v>87.249098512345384</c:v>
                </c:pt>
                <c:pt idx="133">
                  <c:v>87.263270825148382</c:v>
                </c:pt>
                <c:pt idx="134">
                  <c:v>87.277174859174806</c:v>
                </c:pt>
                <c:pt idx="135">
                  <c:v>87.290816421686486</c:v>
                </c:pt>
                <c:pt idx="136">
                  <c:v>87.304201153792519</c:v>
                </c:pt>
                <c:pt idx="137">
                  <c:v>87.317334536349279</c:v>
                </c:pt>
                <c:pt idx="138">
                  <c:v>87.330221895610876</c:v>
                </c:pt>
                <c:pt idx="139">
                  <c:v>87.342868408642033</c:v>
                </c:pt>
                <c:pt idx="140">
                  <c:v>87.355279108505272</c:v>
                </c:pt>
                <c:pt idx="141">
                  <c:v>87.367458889233191</c:v>
                </c:pt>
                <c:pt idx="142">
                  <c:v>87.379412510596012</c:v>
                </c:pt>
                <c:pt idx="143">
                  <c:v>87.391144602674302</c:v>
                </c:pt>
                <c:pt idx="144">
                  <c:v>87.402659670246223</c:v>
                </c:pt>
                <c:pt idx="145">
                  <c:v>87.413962096997622</c:v>
                </c:pt>
                <c:pt idx="146">
                  <c:v>87.425056149563801</c:v>
                </c:pt>
                <c:pt idx="147">
                  <c:v>87.435945981410185</c:v>
                </c:pt>
                <c:pt idx="148">
                  <c:v>87.446635636559819</c:v>
                </c:pt>
                <c:pt idx="149">
                  <c:v>87.457129053174512</c:v>
                </c:pt>
                <c:pt idx="150">
                  <c:v>87.467430066996016</c:v>
                </c:pt>
              </c:numCache>
            </c:numRef>
          </c:yVal>
          <c:smooth val="0"/>
          <c:extLst>
            <c:ext xmlns:c16="http://schemas.microsoft.com/office/drawing/2014/chart" uri="{C3380CC4-5D6E-409C-BE32-E72D297353CC}">
              <c16:uniqueId val="{00000000-FE48-4B33-96BE-96B16BA6EA75}"/>
            </c:ext>
          </c:extLst>
        </c:ser>
        <c:dLbls>
          <c:showLegendKey val="0"/>
          <c:showVal val="0"/>
          <c:showCatName val="0"/>
          <c:showSerName val="0"/>
          <c:showPercent val="0"/>
          <c:showBubbleSize val="0"/>
        </c:dLbls>
        <c:axId val="174861312"/>
        <c:axId val="17487539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Eff_vs_IOUT!$AI$7:$AI$157</c:f>
              <c:numCache>
                <c:formatCode>General</c:formatCode>
                <c:ptCount val="151"/>
                <c:pt idx="0">
                  <c:v>0</c:v>
                </c:pt>
                <c:pt idx="1">
                  <c:v>7.8399881988602624E-3</c:v>
                </c:pt>
                <c:pt idx="2">
                  <c:v>1.5723759360741076E-2</c:v>
                </c:pt>
                <c:pt idx="3">
                  <c:v>2.3645851552616771E-2</c:v>
                </c:pt>
                <c:pt idx="4">
                  <c:v>3.160510885971738E-2</c:v>
                </c:pt>
                <c:pt idx="5">
                  <c:v>3.9601280302246293E-2</c:v>
                </c:pt>
                <c:pt idx="6">
                  <c:v>4.7634480849663111E-2</c:v>
                </c:pt>
                <c:pt idx="7">
                  <c:v>5.5705007628328695E-2</c:v>
                </c:pt>
                <c:pt idx="8">
                  <c:v>6.3813259011512566E-2</c:v>
                </c:pt>
                <c:pt idx="9">
                  <c:v>7.1959693452254517E-2</c:v>
                </c:pt>
                <c:pt idx="10">
                  <c:v>8.0144806456360518E-2</c:v>
                </c:pt>
                <c:pt idx="11">
                  <c:v>8.63471334639586E-2</c:v>
                </c:pt>
                <c:pt idx="12">
                  <c:v>9.4205311525595123E-2</c:v>
                </c:pt>
                <c:pt idx="13">
                  <c:v>0.10206819162804796</c:v>
                </c:pt>
                <c:pt idx="14">
                  <c:v>0.10993577377131714</c:v>
                </c:pt>
                <c:pt idx="15">
                  <c:v>0.11780805795540264</c:v>
                </c:pt>
                <c:pt idx="16">
                  <c:v>0.12568504418030446</c:v>
                </c:pt>
                <c:pt idx="17">
                  <c:v>0.13356673244602266</c:v>
                </c:pt>
                <c:pt idx="18">
                  <c:v>0.14145312275255711</c:v>
                </c:pt>
                <c:pt idx="19">
                  <c:v>0.14934421509990789</c:v>
                </c:pt>
                <c:pt idx="20">
                  <c:v>0.15724000948807507</c:v>
                </c:pt>
                <c:pt idx="21">
                  <c:v>0.16514050591705851</c:v>
                </c:pt>
                <c:pt idx="22">
                  <c:v>0.17304570438685832</c:v>
                </c:pt>
                <c:pt idx="23">
                  <c:v>0.18095560489747445</c:v>
                </c:pt>
                <c:pt idx="24">
                  <c:v>0.18887020744890687</c:v>
                </c:pt>
                <c:pt idx="25">
                  <c:v>0.19678951204115561</c:v>
                </c:pt>
                <c:pt idx="26">
                  <c:v>0.20471351867422072</c:v>
                </c:pt>
                <c:pt idx="27">
                  <c:v>0.21264222734810218</c:v>
                </c:pt>
                <c:pt idx="28">
                  <c:v>0.22057563806279989</c:v>
                </c:pt>
                <c:pt idx="29">
                  <c:v>0.22851375081831396</c:v>
                </c:pt>
                <c:pt idx="30">
                  <c:v>0.23645656561464437</c:v>
                </c:pt>
                <c:pt idx="31">
                  <c:v>0.24440408245179115</c:v>
                </c:pt>
                <c:pt idx="32">
                  <c:v>0.25235630132975406</c:v>
                </c:pt>
                <c:pt idx="33">
                  <c:v>0.26031322224853354</c:v>
                </c:pt>
                <c:pt idx="34">
                  <c:v>0.26827484520812928</c:v>
                </c:pt>
                <c:pt idx="35">
                  <c:v>0.27624117020854128</c:v>
                </c:pt>
                <c:pt idx="36">
                  <c:v>0.28421219724976959</c:v>
                </c:pt>
                <c:pt idx="37">
                  <c:v>0.29218792633181428</c:v>
                </c:pt>
                <c:pt idx="38">
                  <c:v>0.30016835745467529</c:v>
                </c:pt>
                <c:pt idx="39">
                  <c:v>0.30815349061835268</c:v>
                </c:pt>
                <c:pt idx="40">
                  <c:v>0.31614332582284632</c:v>
                </c:pt>
                <c:pt idx="41">
                  <c:v>0.32413786306815634</c:v>
                </c:pt>
                <c:pt idx="42">
                  <c:v>0.33213710235428262</c:v>
                </c:pt>
                <c:pt idx="43">
                  <c:v>0.34014104368122527</c:v>
                </c:pt>
                <c:pt idx="44">
                  <c:v>0.34814968704898425</c:v>
                </c:pt>
                <c:pt idx="45">
                  <c:v>0.35616303245755959</c:v>
                </c:pt>
                <c:pt idx="46">
                  <c:v>0.3641810799069512</c:v>
                </c:pt>
                <c:pt idx="47">
                  <c:v>0.37220382939715912</c:v>
                </c:pt>
                <c:pt idx="48">
                  <c:v>0.38023128092818342</c:v>
                </c:pt>
                <c:pt idx="49">
                  <c:v>0.38826343450002393</c:v>
                </c:pt>
                <c:pt idx="50">
                  <c:v>0.39630029011268086</c:v>
                </c:pt>
                <c:pt idx="51">
                  <c:v>0.40434184776615417</c:v>
                </c:pt>
                <c:pt idx="52">
                  <c:v>0.41238810746044374</c:v>
                </c:pt>
                <c:pt idx="53">
                  <c:v>0.42043906919554969</c:v>
                </c:pt>
                <c:pt idx="54">
                  <c:v>0.428494732971472</c:v>
                </c:pt>
                <c:pt idx="55">
                  <c:v>0.43655509878821053</c:v>
                </c:pt>
                <c:pt idx="56">
                  <c:v>0.44462016664576537</c:v>
                </c:pt>
                <c:pt idx="57">
                  <c:v>0.45268993654413664</c:v>
                </c:pt>
                <c:pt idx="58">
                  <c:v>0.46076440848332417</c:v>
                </c:pt>
                <c:pt idx="59">
                  <c:v>0.46884358246332808</c:v>
                </c:pt>
                <c:pt idx="60">
                  <c:v>0.47692745848414819</c:v>
                </c:pt>
                <c:pt idx="61">
                  <c:v>0.48501603654578468</c:v>
                </c:pt>
                <c:pt idx="62">
                  <c:v>0.49310931664823771</c:v>
                </c:pt>
                <c:pt idx="63">
                  <c:v>0.50120729879150683</c:v>
                </c:pt>
                <c:pt idx="64">
                  <c:v>0.50930998297559216</c:v>
                </c:pt>
                <c:pt idx="65">
                  <c:v>0.51741736920049408</c:v>
                </c:pt>
                <c:pt idx="66">
                  <c:v>0.52552945746621227</c:v>
                </c:pt>
                <c:pt idx="67">
                  <c:v>0.53364624777274683</c:v>
                </c:pt>
                <c:pt idx="68">
                  <c:v>0.54176774012009765</c:v>
                </c:pt>
                <c:pt idx="69">
                  <c:v>0.54989393450826474</c:v>
                </c:pt>
                <c:pt idx="70">
                  <c:v>0.5580248309372482</c:v>
                </c:pt>
                <c:pt idx="71">
                  <c:v>0.56616042940704803</c:v>
                </c:pt>
                <c:pt idx="72">
                  <c:v>0.57430072991766401</c:v>
                </c:pt>
                <c:pt idx="73">
                  <c:v>0.58244573246909648</c:v>
                </c:pt>
                <c:pt idx="74">
                  <c:v>0.59059543706134521</c:v>
                </c:pt>
                <c:pt idx="75">
                  <c:v>0.59874984369441031</c:v>
                </c:pt>
                <c:pt idx="76">
                  <c:v>0.60690895236829168</c:v>
                </c:pt>
                <c:pt idx="77">
                  <c:v>0.61507276308298953</c:v>
                </c:pt>
                <c:pt idx="78">
                  <c:v>0.62324127583850364</c:v>
                </c:pt>
                <c:pt idx="79">
                  <c:v>0.63141449063483401</c:v>
                </c:pt>
                <c:pt idx="80">
                  <c:v>0.63959240747198065</c:v>
                </c:pt>
                <c:pt idx="81">
                  <c:v>0.64777502634994377</c:v>
                </c:pt>
                <c:pt idx="82">
                  <c:v>0.65596234726872316</c:v>
                </c:pt>
                <c:pt idx="83">
                  <c:v>0.66415437022831891</c:v>
                </c:pt>
                <c:pt idx="84">
                  <c:v>0.67235109522873082</c:v>
                </c:pt>
                <c:pt idx="85">
                  <c:v>0.68055252226995921</c:v>
                </c:pt>
                <c:pt idx="86">
                  <c:v>0.68875865135200387</c:v>
                </c:pt>
                <c:pt idx="87">
                  <c:v>0.69696948247486501</c:v>
                </c:pt>
                <c:pt idx="88">
                  <c:v>0.7051850156385423</c:v>
                </c:pt>
                <c:pt idx="89">
                  <c:v>0.71340525084303597</c:v>
                </c:pt>
                <c:pt idx="90">
                  <c:v>0.721630188088346</c:v>
                </c:pt>
                <c:pt idx="91">
                  <c:v>0.7298598273744723</c:v>
                </c:pt>
                <c:pt idx="92">
                  <c:v>0.73809416870141498</c:v>
                </c:pt>
                <c:pt idx="93">
                  <c:v>0.7463332120691738</c:v>
                </c:pt>
                <c:pt idx="94">
                  <c:v>0.75457695747774911</c:v>
                </c:pt>
                <c:pt idx="95">
                  <c:v>0.76282540492714079</c:v>
                </c:pt>
                <c:pt idx="96">
                  <c:v>0.77107855441734874</c:v>
                </c:pt>
                <c:pt idx="97">
                  <c:v>0.77933640594837317</c:v>
                </c:pt>
                <c:pt idx="98">
                  <c:v>0.78759895952021342</c:v>
                </c:pt>
                <c:pt idx="99">
                  <c:v>0.79586621513287037</c:v>
                </c:pt>
                <c:pt idx="100">
                  <c:v>0.8041381727863437</c:v>
                </c:pt>
                <c:pt idx="101">
                  <c:v>0.81241483248063329</c:v>
                </c:pt>
                <c:pt idx="102">
                  <c:v>0.82069619421573925</c:v>
                </c:pt>
                <c:pt idx="103">
                  <c:v>0.82898225799166181</c:v>
                </c:pt>
                <c:pt idx="104">
                  <c:v>0.83727302380840007</c:v>
                </c:pt>
                <c:pt idx="105">
                  <c:v>0.84556849166595494</c:v>
                </c:pt>
                <c:pt idx="106">
                  <c:v>0.85386866156432617</c:v>
                </c:pt>
                <c:pt idx="107">
                  <c:v>0.86217353350351378</c:v>
                </c:pt>
                <c:pt idx="108">
                  <c:v>0.87048310748351776</c:v>
                </c:pt>
                <c:pt idx="109">
                  <c:v>0.87879738350433789</c:v>
                </c:pt>
                <c:pt idx="110">
                  <c:v>0.8871163615659744</c:v>
                </c:pt>
                <c:pt idx="111">
                  <c:v>0.89544004166842728</c:v>
                </c:pt>
                <c:pt idx="112">
                  <c:v>0.90376842381169631</c:v>
                </c:pt>
                <c:pt idx="113">
                  <c:v>0.91210150799578193</c:v>
                </c:pt>
                <c:pt idx="114">
                  <c:v>0.92043929422068382</c:v>
                </c:pt>
                <c:pt idx="115">
                  <c:v>0.92878178248640186</c:v>
                </c:pt>
                <c:pt idx="116">
                  <c:v>0.93712897279293639</c:v>
                </c:pt>
                <c:pt idx="117">
                  <c:v>0.94548086514028695</c:v>
                </c:pt>
                <c:pt idx="118">
                  <c:v>0.95383745952845445</c:v>
                </c:pt>
                <c:pt idx="119">
                  <c:v>0.96219875595743765</c:v>
                </c:pt>
                <c:pt idx="120">
                  <c:v>0.97056475442723755</c:v>
                </c:pt>
                <c:pt idx="121">
                  <c:v>0.97893545493785361</c:v>
                </c:pt>
                <c:pt idx="122">
                  <c:v>0.98731085748928593</c:v>
                </c:pt>
                <c:pt idx="123">
                  <c:v>0.99569096208153474</c:v>
                </c:pt>
                <c:pt idx="124">
                  <c:v>1.0040757687146002</c:v>
                </c:pt>
                <c:pt idx="125">
                  <c:v>1.0124652773884812</c:v>
                </c:pt>
                <c:pt idx="126">
                  <c:v>1.0208594881031792</c:v>
                </c:pt>
                <c:pt idx="127">
                  <c:v>1.0292584008586931</c:v>
                </c:pt>
                <c:pt idx="128">
                  <c:v>1.0376620156550234</c:v>
                </c:pt>
                <c:pt idx="129">
                  <c:v>1.0460703324921705</c:v>
                </c:pt>
                <c:pt idx="130">
                  <c:v>1.0544833513701333</c:v>
                </c:pt>
                <c:pt idx="131">
                  <c:v>1.0629010722889127</c:v>
                </c:pt>
                <c:pt idx="132">
                  <c:v>1.0713234952485085</c:v>
                </c:pt>
                <c:pt idx="133">
                  <c:v>1.0797506202489204</c:v>
                </c:pt>
                <c:pt idx="134">
                  <c:v>1.0881824472901491</c:v>
                </c:pt>
                <c:pt idx="135">
                  <c:v>1.0966189763721936</c:v>
                </c:pt>
                <c:pt idx="136">
                  <c:v>1.1050602074950548</c:v>
                </c:pt>
                <c:pt idx="137">
                  <c:v>1.1135061406587319</c:v>
                </c:pt>
                <c:pt idx="138">
                  <c:v>1.1219567758632256</c:v>
                </c:pt>
                <c:pt idx="139">
                  <c:v>1.1304121131085356</c:v>
                </c:pt>
                <c:pt idx="140">
                  <c:v>1.1388721523946619</c:v>
                </c:pt>
                <c:pt idx="141">
                  <c:v>1.1473368937216046</c:v>
                </c:pt>
                <c:pt idx="142">
                  <c:v>1.1558063370893636</c:v>
                </c:pt>
                <c:pt idx="143">
                  <c:v>1.1642804824979389</c:v>
                </c:pt>
                <c:pt idx="144">
                  <c:v>1.1727593299473302</c:v>
                </c:pt>
                <c:pt idx="145">
                  <c:v>1.1812428794375385</c:v>
                </c:pt>
                <c:pt idx="146">
                  <c:v>1.1897311309685625</c:v>
                </c:pt>
                <c:pt idx="147">
                  <c:v>1.1982240845404035</c:v>
                </c:pt>
                <c:pt idx="148">
                  <c:v>1.2067217401530601</c:v>
                </c:pt>
                <c:pt idx="149">
                  <c:v>1.2152240978065334</c:v>
                </c:pt>
                <c:pt idx="150">
                  <c:v>1.223731157500823</c:v>
                </c:pt>
              </c:numCache>
            </c:numRef>
          </c:yVal>
          <c:smooth val="1"/>
          <c:extLst>
            <c:ext xmlns:c16="http://schemas.microsoft.com/office/drawing/2014/chart" uri="{C3380CC4-5D6E-409C-BE32-E72D297353CC}">
              <c16:uniqueId val="{00000001-FE48-4B33-96BE-96B16BA6EA75}"/>
            </c:ext>
          </c:extLst>
        </c:ser>
        <c:ser>
          <c:idx val="2"/>
          <c:order val="2"/>
          <c:tx>
            <c:v>Diode</c:v>
          </c:tx>
          <c:spPr>
            <a:ln>
              <a:solidFill>
                <a:schemeClr val="bg2">
                  <a:lumMod val="50000"/>
                </a:schemeClr>
              </a:solidFill>
              <a:prstDash val="sysDash"/>
            </a:ln>
          </c:spPr>
          <c:marker>
            <c:symbol val="none"/>
          </c:marker>
          <c:xVal>
            <c:numRef>
              <c:f>Eff_vs_IOUT!$S$8:$S$157</c:f>
              <c:numCache>
                <c:formatCode>General</c:formatCode>
                <c:ptCount val="150"/>
                <c:pt idx="0">
                  <c:v>1.3333333333333334E-2</c:v>
                </c:pt>
                <c:pt idx="1">
                  <c:v>2.6666666666666668E-2</c:v>
                </c:pt>
                <c:pt idx="2">
                  <c:v>0.04</c:v>
                </c:pt>
                <c:pt idx="3">
                  <c:v>5.3333333333333337E-2</c:v>
                </c:pt>
                <c:pt idx="4">
                  <c:v>6.6666666666666666E-2</c:v>
                </c:pt>
                <c:pt idx="5">
                  <c:v>0.08</c:v>
                </c:pt>
                <c:pt idx="6">
                  <c:v>9.3333333333333338E-2</c:v>
                </c:pt>
                <c:pt idx="7">
                  <c:v>0.10666666666666667</c:v>
                </c:pt>
                <c:pt idx="8">
                  <c:v>0.12000000000000001</c:v>
                </c:pt>
                <c:pt idx="9">
                  <c:v>0.13333333333333333</c:v>
                </c:pt>
                <c:pt idx="10">
                  <c:v>0.14666666666666667</c:v>
                </c:pt>
                <c:pt idx="11">
                  <c:v>0.16</c:v>
                </c:pt>
                <c:pt idx="12">
                  <c:v>0.17333333333333334</c:v>
                </c:pt>
                <c:pt idx="13">
                  <c:v>0.18666666666666668</c:v>
                </c:pt>
                <c:pt idx="14">
                  <c:v>0.2</c:v>
                </c:pt>
                <c:pt idx="15">
                  <c:v>0.21333333333333335</c:v>
                </c:pt>
                <c:pt idx="16">
                  <c:v>0.22666666666666668</c:v>
                </c:pt>
                <c:pt idx="17">
                  <c:v>0.24000000000000002</c:v>
                </c:pt>
                <c:pt idx="18">
                  <c:v>0.25333333333333335</c:v>
                </c:pt>
                <c:pt idx="19">
                  <c:v>0.26666666666666666</c:v>
                </c:pt>
                <c:pt idx="20">
                  <c:v>0.28000000000000003</c:v>
                </c:pt>
                <c:pt idx="21">
                  <c:v>0.29333333333333333</c:v>
                </c:pt>
                <c:pt idx="22">
                  <c:v>0.3066666666666667</c:v>
                </c:pt>
                <c:pt idx="23">
                  <c:v>0.32</c:v>
                </c:pt>
                <c:pt idx="24">
                  <c:v>0.33333333333333337</c:v>
                </c:pt>
                <c:pt idx="25">
                  <c:v>0.34666666666666668</c:v>
                </c:pt>
                <c:pt idx="26">
                  <c:v>0.36000000000000004</c:v>
                </c:pt>
                <c:pt idx="27">
                  <c:v>0.37333333333333335</c:v>
                </c:pt>
                <c:pt idx="28">
                  <c:v>0.38666666666666671</c:v>
                </c:pt>
                <c:pt idx="29">
                  <c:v>0.4</c:v>
                </c:pt>
                <c:pt idx="30">
                  <c:v>0.41333333333333339</c:v>
                </c:pt>
                <c:pt idx="31">
                  <c:v>0.42666666666666669</c:v>
                </c:pt>
                <c:pt idx="32">
                  <c:v>0.44</c:v>
                </c:pt>
                <c:pt idx="33">
                  <c:v>0.45333333333333337</c:v>
                </c:pt>
                <c:pt idx="34">
                  <c:v>0.46666666666666667</c:v>
                </c:pt>
                <c:pt idx="35">
                  <c:v>0.48000000000000004</c:v>
                </c:pt>
                <c:pt idx="36">
                  <c:v>0.49333333333333335</c:v>
                </c:pt>
                <c:pt idx="37">
                  <c:v>0.50666666666666671</c:v>
                </c:pt>
                <c:pt idx="38">
                  <c:v>0.52</c:v>
                </c:pt>
                <c:pt idx="39">
                  <c:v>0.53333333333333333</c:v>
                </c:pt>
                <c:pt idx="40">
                  <c:v>0.54666666666666675</c:v>
                </c:pt>
                <c:pt idx="41">
                  <c:v>0.56000000000000005</c:v>
                </c:pt>
                <c:pt idx="42">
                  <c:v>0.57333333333333336</c:v>
                </c:pt>
                <c:pt idx="43">
                  <c:v>0.58666666666666667</c:v>
                </c:pt>
                <c:pt idx="44">
                  <c:v>0.60000000000000009</c:v>
                </c:pt>
                <c:pt idx="45">
                  <c:v>0.6133333333333334</c:v>
                </c:pt>
                <c:pt idx="46">
                  <c:v>0.62666666666666671</c:v>
                </c:pt>
                <c:pt idx="47">
                  <c:v>0.64</c:v>
                </c:pt>
                <c:pt idx="48">
                  <c:v>0.65333333333333332</c:v>
                </c:pt>
                <c:pt idx="49">
                  <c:v>0.66666666666666674</c:v>
                </c:pt>
                <c:pt idx="50">
                  <c:v>0.68</c:v>
                </c:pt>
                <c:pt idx="51">
                  <c:v>0.69333333333333336</c:v>
                </c:pt>
                <c:pt idx="52">
                  <c:v>0.70666666666666667</c:v>
                </c:pt>
                <c:pt idx="53">
                  <c:v>0.72000000000000008</c:v>
                </c:pt>
                <c:pt idx="54">
                  <c:v>0.73333333333333339</c:v>
                </c:pt>
                <c:pt idx="55">
                  <c:v>0.7466666666666667</c:v>
                </c:pt>
                <c:pt idx="56">
                  <c:v>0.76</c:v>
                </c:pt>
                <c:pt idx="57">
                  <c:v>0.77333333333333343</c:v>
                </c:pt>
                <c:pt idx="58">
                  <c:v>0.78666666666666674</c:v>
                </c:pt>
                <c:pt idx="59">
                  <c:v>0.8</c:v>
                </c:pt>
                <c:pt idx="60">
                  <c:v>0.81333333333333335</c:v>
                </c:pt>
                <c:pt idx="61">
                  <c:v>0.82666666666666677</c:v>
                </c:pt>
                <c:pt idx="62">
                  <c:v>0.84000000000000008</c:v>
                </c:pt>
                <c:pt idx="63">
                  <c:v>0.85333333333333339</c:v>
                </c:pt>
                <c:pt idx="64">
                  <c:v>0.8666666666666667</c:v>
                </c:pt>
                <c:pt idx="65">
                  <c:v>0.88</c:v>
                </c:pt>
                <c:pt idx="66">
                  <c:v>0.89333333333333342</c:v>
                </c:pt>
                <c:pt idx="67">
                  <c:v>0.90666666666666673</c:v>
                </c:pt>
                <c:pt idx="68">
                  <c:v>0.92</c:v>
                </c:pt>
                <c:pt idx="69">
                  <c:v>0.93333333333333335</c:v>
                </c:pt>
                <c:pt idx="70">
                  <c:v>0.94666666666666677</c:v>
                </c:pt>
                <c:pt idx="71">
                  <c:v>0.96000000000000008</c:v>
                </c:pt>
                <c:pt idx="72">
                  <c:v>0.97333333333333338</c:v>
                </c:pt>
                <c:pt idx="73">
                  <c:v>0.98666666666666669</c:v>
                </c:pt>
                <c:pt idx="74">
                  <c:v>1</c:v>
                </c:pt>
                <c:pt idx="75">
                  <c:v>1.0133333333333334</c:v>
                </c:pt>
                <c:pt idx="76">
                  <c:v>1.0266666666666668</c:v>
                </c:pt>
                <c:pt idx="77">
                  <c:v>1.04</c:v>
                </c:pt>
                <c:pt idx="78">
                  <c:v>1.0533333333333335</c:v>
                </c:pt>
                <c:pt idx="79">
                  <c:v>1.0666666666666667</c:v>
                </c:pt>
                <c:pt idx="80">
                  <c:v>1.08</c:v>
                </c:pt>
                <c:pt idx="81">
                  <c:v>1.0933333333333335</c:v>
                </c:pt>
                <c:pt idx="82">
                  <c:v>1.1066666666666667</c:v>
                </c:pt>
                <c:pt idx="83">
                  <c:v>1.1200000000000001</c:v>
                </c:pt>
                <c:pt idx="84">
                  <c:v>1.1333333333333333</c:v>
                </c:pt>
                <c:pt idx="85">
                  <c:v>1.1466666666666667</c:v>
                </c:pt>
                <c:pt idx="86">
                  <c:v>1.1600000000000001</c:v>
                </c:pt>
                <c:pt idx="87">
                  <c:v>1.1733333333333333</c:v>
                </c:pt>
                <c:pt idx="88">
                  <c:v>1.1866666666666668</c:v>
                </c:pt>
                <c:pt idx="89">
                  <c:v>1.2000000000000002</c:v>
                </c:pt>
                <c:pt idx="90">
                  <c:v>1.2133333333333334</c:v>
                </c:pt>
                <c:pt idx="91">
                  <c:v>1.2266666666666668</c:v>
                </c:pt>
                <c:pt idx="92">
                  <c:v>1.24</c:v>
                </c:pt>
                <c:pt idx="93">
                  <c:v>1.2533333333333334</c:v>
                </c:pt>
                <c:pt idx="94">
                  <c:v>1.2666666666666668</c:v>
                </c:pt>
                <c:pt idx="95">
                  <c:v>1.28</c:v>
                </c:pt>
                <c:pt idx="96">
                  <c:v>1.2933333333333334</c:v>
                </c:pt>
                <c:pt idx="97">
                  <c:v>1.3066666666666666</c:v>
                </c:pt>
                <c:pt idx="98">
                  <c:v>1.32</c:v>
                </c:pt>
                <c:pt idx="99">
                  <c:v>1.3333333333333335</c:v>
                </c:pt>
                <c:pt idx="100">
                  <c:v>1.3466666666666667</c:v>
                </c:pt>
                <c:pt idx="101">
                  <c:v>1.36</c:v>
                </c:pt>
                <c:pt idx="102">
                  <c:v>1.3733333333333335</c:v>
                </c:pt>
                <c:pt idx="103">
                  <c:v>1.3866666666666667</c:v>
                </c:pt>
                <c:pt idx="104">
                  <c:v>1.4000000000000001</c:v>
                </c:pt>
                <c:pt idx="105">
                  <c:v>1.4133333333333333</c:v>
                </c:pt>
                <c:pt idx="106">
                  <c:v>1.4266666666666667</c:v>
                </c:pt>
                <c:pt idx="107">
                  <c:v>1.4400000000000002</c:v>
                </c:pt>
                <c:pt idx="108">
                  <c:v>1.4533333333333334</c:v>
                </c:pt>
                <c:pt idx="109">
                  <c:v>1.4666666666666668</c:v>
                </c:pt>
                <c:pt idx="110">
                  <c:v>1.4800000000000002</c:v>
                </c:pt>
                <c:pt idx="111">
                  <c:v>1.4933333333333334</c:v>
                </c:pt>
                <c:pt idx="112">
                  <c:v>1.5066666666666668</c:v>
                </c:pt>
                <c:pt idx="113">
                  <c:v>1.52</c:v>
                </c:pt>
                <c:pt idx="114">
                  <c:v>1.5333333333333334</c:v>
                </c:pt>
                <c:pt idx="115">
                  <c:v>1.5466666666666669</c:v>
                </c:pt>
                <c:pt idx="116">
                  <c:v>1.56</c:v>
                </c:pt>
                <c:pt idx="117">
                  <c:v>1.5733333333333335</c:v>
                </c:pt>
                <c:pt idx="118">
                  <c:v>1.5866666666666667</c:v>
                </c:pt>
                <c:pt idx="119">
                  <c:v>1.6</c:v>
                </c:pt>
                <c:pt idx="120">
                  <c:v>1.6133333333333335</c:v>
                </c:pt>
                <c:pt idx="121">
                  <c:v>1.6266666666666667</c:v>
                </c:pt>
                <c:pt idx="122">
                  <c:v>1.6400000000000001</c:v>
                </c:pt>
                <c:pt idx="123">
                  <c:v>1.6533333333333335</c:v>
                </c:pt>
                <c:pt idx="124">
                  <c:v>1.6666666666666667</c:v>
                </c:pt>
                <c:pt idx="125">
                  <c:v>1.6800000000000002</c:v>
                </c:pt>
                <c:pt idx="126">
                  <c:v>1.6933333333333334</c:v>
                </c:pt>
                <c:pt idx="127">
                  <c:v>1.7066666666666668</c:v>
                </c:pt>
                <c:pt idx="128">
                  <c:v>1.7200000000000002</c:v>
                </c:pt>
                <c:pt idx="129">
                  <c:v>1.7333333333333334</c:v>
                </c:pt>
                <c:pt idx="130">
                  <c:v>1.7466666666666668</c:v>
                </c:pt>
                <c:pt idx="131">
                  <c:v>1.76</c:v>
                </c:pt>
                <c:pt idx="132">
                  <c:v>1.7733333333333334</c:v>
                </c:pt>
                <c:pt idx="133">
                  <c:v>1.7866666666666668</c:v>
                </c:pt>
                <c:pt idx="134">
                  <c:v>1.8</c:v>
                </c:pt>
                <c:pt idx="135">
                  <c:v>1.8133333333333335</c:v>
                </c:pt>
                <c:pt idx="136">
                  <c:v>1.8266666666666669</c:v>
                </c:pt>
                <c:pt idx="137">
                  <c:v>1.84</c:v>
                </c:pt>
                <c:pt idx="138">
                  <c:v>1.8533333333333335</c:v>
                </c:pt>
                <c:pt idx="139">
                  <c:v>1.8666666666666667</c:v>
                </c:pt>
                <c:pt idx="140">
                  <c:v>1.8800000000000001</c:v>
                </c:pt>
                <c:pt idx="141">
                  <c:v>1.8933333333333335</c:v>
                </c:pt>
                <c:pt idx="142">
                  <c:v>1.9066666666666667</c:v>
                </c:pt>
                <c:pt idx="143">
                  <c:v>1.9200000000000002</c:v>
                </c:pt>
                <c:pt idx="144">
                  <c:v>1.9333333333333333</c:v>
                </c:pt>
                <c:pt idx="145">
                  <c:v>1.9466666666666668</c:v>
                </c:pt>
                <c:pt idx="146">
                  <c:v>1.9600000000000002</c:v>
                </c:pt>
                <c:pt idx="147">
                  <c:v>1.9733333333333334</c:v>
                </c:pt>
                <c:pt idx="148">
                  <c:v>1.9866666666666668</c:v>
                </c:pt>
                <c:pt idx="149">
                  <c:v>2</c:v>
                </c:pt>
              </c:numCache>
            </c:numRef>
          </c:xVal>
          <c:yVal>
            <c:numRef>
              <c:f>Eff_vs_IOUT!$AN$8:$AN$157</c:f>
              <c:numCache>
                <c:formatCode>General</c:formatCode>
                <c:ptCount val="150"/>
                <c:pt idx="0">
                  <c:v>0.43288333333333334</c:v>
                </c:pt>
                <c:pt idx="1">
                  <c:v>0.44221666666666665</c:v>
                </c:pt>
                <c:pt idx="2">
                  <c:v>0.45155000000000001</c:v>
                </c:pt>
                <c:pt idx="3">
                  <c:v>0.46088333333333331</c:v>
                </c:pt>
                <c:pt idx="4">
                  <c:v>0.47021666666666662</c:v>
                </c:pt>
                <c:pt idx="5">
                  <c:v>0.47954999999999998</c:v>
                </c:pt>
                <c:pt idx="6">
                  <c:v>0.48888333333333334</c:v>
                </c:pt>
                <c:pt idx="7">
                  <c:v>0.49821666666666664</c:v>
                </c:pt>
                <c:pt idx="8">
                  <c:v>0.50754999999999995</c:v>
                </c:pt>
                <c:pt idx="9">
                  <c:v>0.51688333333333336</c:v>
                </c:pt>
                <c:pt idx="10">
                  <c:v>0.52621666666666667</c:v>
                </c:pt>
                <c:pt idx="11">
                  <c:v>0.53554999999999997</c:v>
                </c:pt>
                <c:pt idx="12">
                  <c:v>0.54488333333333328</c:v>
                </c:pt>
                <c:pt idx="13">
                  <c:v>0.55421666666666658</c:v>
                </c:pt>
                <c:pt idx="14">
                  <c:v>0.56355</c:v>
                </c:pt>
                <c:pt idx="15">
                  <c:v>0.5728833333333333</c:v>
                </c:pt>
                <c:pt idx="16">
                  <c:v>0.5822166666666666</c:v>
                </c:pt>
                <c:pt idx="17">
                  <c:v>0.59155000000000002</c:v>
                </c:pt>
                <c:pt idx="18">
                  <c:v>0.60088333333333332</c:v>
                </c:pt>
                <c:pt idx="19">
                  <c:v>0.61021666666666663</c:v>
                </c:pt>
                <c:pt idx="20">
                  <c:v>0.61955000000000005</c:v>
                </c:pt>
                <c:pt idx="21">
                  <c:v>0.62888333333333324</c:v>
                </c:pt>
                <c:pt idx="22">
                  <c:v>0.63821666666666665</c:v>
                </c:pt>
                <c:pt idx="23">
                  <c:v>0.64754999999999996</c:v>
                </c:pt>
                <c:pt idx="24">
                  <c:v>0.65688333333333326</c:v>
                </c:pt>
                <c:pt idx="25">
                  <c:v>0.66621666666666668</c:v>
                </c:pt>
                <c:pt idx="26">
                  <c:v>0.67554999999999998</c:v>
                </c:pt>
                <c:pt idx="27">
                  <c:v>0.68488333333333329</c:v>
                </c:pt>
                <c:pt idx="28">
                  <c:v>0.6942166666666667</c:v>
                </c:pt>
                <c:pt idx="29">
                  <c:v>0.7035499999999999</c:v>
                </c:pt>
                <c:pt idx="30">
                  <c:v>0.71288333333333331</c:v>
                </c:pt>
                <c:pt idx="31">
                  <c:v>0.72221666666666673</c:v>
                </c:pt>
                <c:pt idx="32">
                  <c:v>0.73154999999999992</c:v>
                </c:pt>
                <c:pt idx="33">
                  <c:v>0.74088333333333334</c:v>
                </c:pt>
                <c:pt idx="34">
                  <c:v>0.75021666666666664</c:v>
                </c:pt>
                <c:pt idx="35">
                  <c:v>0.75954999999999995</c:v>
                </c:pt>
                <c:pt idx="36">
                  <c:v>0.76888333333333336</c:v>
                </c:pt>
                <c:pt idx="37">
                  <c:v>0.77821666666666667</c:v>
                </c:pt>
                <c:pt idx="38">
                  <c:v>0.78754999999999997</c:v>
                </c:pt>
                <c:pt idx="39">
                  <c:v>0.79688333333333328</c:v>
                </c:pt>
                <c:pt idx="40">
                  <c:v>0.80621666666666669</c:v>
                </c:pt>
                <c:pt idx="41">
                  <c:v>0.81555</c:v>
                </c:pt>
                <c:pt idx="42">
                  <c:v>0.8248833333333333</c:v>
                </c:pt>
                <c:pt idx="43">
                  <c:v>0.83421666666666661</c:v>
                </c:pt>
                <c:pt idx="44">
                  <c:v>0.84355000000000002</c:v>
                </c:pt>
                <c:pt idx="45">
                  <c:v>0.85288333333333333</c:v>
                </c:pt>
                <c:pt idx="46">
                  <c:v>0.86221666666666663</c:v>
                </c:pt>
                <c:pt idx="47">
                  <c:v>0.87154999999999994</c:v>
                </c:pt>
                <c:pt idx="48">
                  <c:v>0.88088333333333324</c:v>
                </c:pt>
                <c:pt idx="49">
                  <c:v>0.89021666666666666</c:v>
                </c:pt>
                <c:pt idx="50">
                  <c:v>0.89954999999999996</c:v>
                </c:pt>
                <c:pt idx="51">
                  <c:v>0.90888333333333327</c:v>
                </c:pt>
                <c:pt idx="52">
                  <c:v>0.91821666666666668</c:v>
                </c:pt>
                <c:pt idx="53">
                  <c:v>0.92754999999999999</c:v>
                </c:pt>
                <c:pt idx="54">
                  <c:v>0.93688333333333329</c:v>
                </c:pt>
                <c:pt idx="55">
                  <c:v>0.94621666666666659</c:v>
                </c:pt>
                <c:pt idx="56">
                  <c:v>0.9555499999999999</c:v>
                </c:pt>
                <c:pt idx="57">
                  <c:v>0.96488333333333332</c:v>
                </c:pt>
                <c:pt idx="58">
                  <c:v>0.97421666666666662</c:v>
                </c:pt>
                <c:pt idx="59">
                  <c:v>0.98354999999999992</c:v>
                </c:pt>
                <c:pt idx="60">
                  <c:v>0.99288333333333334</c:v>
                </c:pt>
                <c:pt idx="61">
                  <c:v>1.0022166666666665</c:v>
                </c:pt>
                <c:pt idx="62">
                  <c:v>1.0115499999999999</c:v>
                </c:pt>
                <c:pt idx="63">
                  <c:v>1.0208833333333334</c:v>
                </c:pt>
                <c:pt idx="64">
                  <c:v>1.0302166666666666</c:v>
                </c:pt>
                <c:pt idx="65">
                  <c:v>1.03955</c:v>
                </c:pt>
                <c:pt idx="66">
                  <c:v>1.0488833333333334</c:v>
                </c:pt>
                <c:pt idx="67">
                  <c:v>1.0582166666666666</c:v>
                </c:pt>
                <c:pt idx="68">
                  <c:v>1.06755</c:v>
                </c:pt>
                <c:pt idx="69">
                  <c:v>1.0768833333333334</c:v>
                </c:pt>
                <c:pt idx="70">
                  <c:v>1.0862166666666666</c:v>
                </c:pt>
                <c:pt idx="71">
                  <c:v>1.09555</c:v>
                </c:pt>
                <c:pt idx="72">
                  <c:v>1.1048833333333334</c:v>
                </c:pt>
                <c:pt idx="73">
                  <c:v>1.1142166666666666</c:v>
                </c:pt>
                <c:pt idx="74">
                  <c:v>1.1235499999999998</c:v>
                </c:pt>
                <c:pt idx="75">
                  <c:v>1.1328833333333335</c:v>
                </c:pt>
                <c:pt idx="76">
                  <c:v>1.1422166666666667</c:v>
                </c:pt>
                <c:pt idx="77">
                  <c:v>1.1515499999999999</c:v>
                </c:pt>
                <c:pt idx="78">
                  <c:v>1.1608833333333335</c:v>
                </c:pt>
                <c:pt idx="79">
                  <c:v>1.1702166666666667</c:v>
                </c:pt>
                <c:pt idx="80">
                  <c:v>1.1795499999999999</c:v>
                </c:pt>
                <c:pt idx="81">
                  <c:v>1.1888833333333335</c:v>
                </c:pt>
                <c:pt idx="82">
                  <c:v>1.1982166666666667</c:v>
                </c:pt>
                <c:pt idx="83">
                  <c:v>1.2075499999999999</c:v>
                </c:pt>
                <c:pt idx="84">
                  <c:v>1.2168833333333331</c:v>
                </c:pt>
                <c:pt idx="85">
                  <c:v>1.2262166666666667</c:v>
                </c:pt>
                <c:pt idx="86">
                  <c:v>1.2355499999999999</c:v>
                </c:pt>
                <c:pt idx="87">
                  <c:v>1.2448833333333331</c:v>
                </c:pt>
                <c:pt idx="88">
                  <c:v>1.2542166666666668</c:v>
                </c:pt>
                <c:pt idx="89">
                  <c:v>1.26355</c:v>
                </c:pt>
                <c:pt idx="90">
                  <c:v>1.2728833333333331</c:v>
                </c:pt>
                <c:pt idx="91">
                  <c:v>1.2822166666666668</c:v>
                </c:pt>
                <c:pt idx="92">
                  <c:v>1.29155</c:v>
                </c:pt>
                <c:pt idx="93">
                  <c:v>1.3008833333333332</c:v>
                </c:pt>
                <c:pt idx="94">
                  <c:v>1.3102166666666668</c:v>
                </c:pt>
                <c:pt idx="95">
                  <c:v>1.31955</c:v>
                </c:pt>
                <c:pt idx="96">
                  <c:v>1.3288833333333332</c:v>
                </c:pt>
                <c:pt idx="97">
                  <c:v>1.3382166666666666</c:v>
                </c:pt>
                <c:pt idx="98">
                  <c:v>1.34755</c:v>
                </c:pt>
                <c:pt idx="99">
                  <c:v>1.3568833333333332</c:v>
                </c:pt>
                <c:pt idx="100">
                  <c:v>1.3662166666666666</c:v>
                </c:pt>
                <c:pt idx="101">
                  <c:v>1.3755500000000001</c:v>
                </c:pt>
                <c:pt idx="102">
                  <c:v>1.3848833333333332</c:v>
                </c:pt>
                <c:pt idx="103">
                  <c:v>1.3942166666666667</c:v>
                </c:pt>
                <c:pt idx="104">
                  <c:v>1.4035500000000001</c:v>
                </c:pt>
                <c:pt idx="105">
                  <c:v>1.4128833333333333</c:v>
                </c:pt>
                <c:pt idx="106">
                  <c:v>1.4222166666666667</c:v>
                </c:pt>
                <c:pt idx="107">
                  <c:v>1.4315500000000001</c:v>
                </c:pt>
                <c:pt idx="108">
                  <c:v>1.4408833333333333</c:v>
                </c:pt>
                <c:pt idx="109">
                  <c:v>1.4502166666666665</c:v>
                </c:pt>
                <c:pt idx="110">
                  <c:v>1.4595500000000001</c:v>
                </c:pt>
                <c:pt idx="111">
                  <c:v>1.4688833333333333</c:v>
                </c:pt>
                <c:pt idx="112">
                  <c:v>1.4782166666666665</c:v>
                </c:pt>
                <c:pt idx="113">
                  <c:v>1.4875499999999997</c:v>
                </c:pt>
                <c:pt idx="114">
                  <c:v>1.4968833333333333</c:v>
                </c:pt>
                <c:pt idx="115">
                  <c:v>1.5062166666666665</c:v>
                </c:pt>
                <c:pt idx="116">
                  <c:v>1.5155499999999997</c:v>
                </c:pt>
                <c:pt idx="117">
                  <c:v>1.5248833333333334</c:v>
                </c:pt>
                <c:pt idx="118">
                  <c:v>1.5342166666666666</c:v>
                </c:pt>
                <c:pt idx="119">
                  <c:v>1.5435499999999998</c:v>
                </c:pt>
                <c:pt idx="120">
                  <c:v>1.5528833333333334</c:v>
                </c:pt>
                <c:pt idx="121">
                  <c:v>1.5622166666666666</c:v>
                </c:pt>
                <c:pt idx="122">
                  <c:v>1.5715499999999998</c:v>
                </c:pt>
                <c:pt idx="123">
                  <c:v>1.5808833333333334</c:v>
                </c:pt>
                <c:pt idx="124">
                  <c:v>1.5902166666666666</c:v>
                </c:pt>
                <c:pt idx="125">
                  <c:v>1.5995499999999998</c:v>
                </c:pt>
                <c:pt idx="126">
                  <c:v>1.6088833333333334</c:v>
                </c:pt>
                <c:pt idx="127">
                  <c:v>1.6182166666666666</c:v>
                </c:pt>
                <c:pt idx="128">
                  <c:v>1.6275499999999998</c:v>
                </c:pt>
                <c:pt idx="129">
                  <c:v>1.6368833333333335</c:v>
                </c:pt>
                <c:pt idx="130">
                  <c:v>1.6462166666666667</c:v>
                </c:pt>
                <c:pt idx="131">
                  <c:v>1.6555499999999999</c:v>
                </c:pt>
                <c:pt idx="132">
                  <c:v>1.6648833333333335</c:v>
                </c:pt>
                <c:pt idx="133">
                  <c:v>1.6742166666666667</c:v>
                </c:pt>
                <c:pt idx="134">
                  <c:v>1.6835499999999999</c:v>
                </c:pt>
                <c:pt idx="135">
                  <c:v>1.6928833333333335</c:v>
                </c:pt>
                <c:pt idx="136">
                  <c:v>1.7022166666666667</c:v>
                </c:pt>
                <c:pt idx="137">
                  <c:v>1.7115499999999999</c:v>
                </c:pt>
                <c:pt idx="138">
                  <c:v>1.7208833333333335</c:v>
                </c:pt>
                <c:pt idx="139">
                  <c:v>1.7302166666666667</c:v>
                </c:pt>
                <c:pt idx="140">
                  <c:v>1.7395499999999999</c:v>
                </c:pt>
                <c:pt idx="141">
                  <c:v>1.7488833333333336</c:v>
                </c:pt>
                <c:pt idx="142">
                  <c:v>1.7582166666666668</c:v>
                </c:pt>
                <c:pt idx="143">
                  <c:v>1.76755</c:v>
                </c:pt>
                <c:pt idx="144">
                  <c:v>1.7768833333333331</c:v>
                </c:pt>
                <c:pt idx="145">
                  <c:v>1.7862166666666668</c:v>
                </c:pt>
                <c:pt idx="146">
                  <c:v>1.79555</c:v>
                </c:pt>
                <c:pt idx="147">
                  <c:v>1.8048833333333332</c:v>
                </c:pt>
                <c:pt idx="148">
                  <c:v>1.8142166666666668</c:v>
                </c:pt>
                <c:pt idx="149">
                  <c:v>1.82355</c:v>
                </c:pt>
              </c:numCache>
            </c:numRef>
          </c:yVal>
          <c:smooth val="1"/>
          <c:extLst>
            <c:ext xmlns:c16="http://schemas.microsoft.com/office/drawing/2014/chart" uri="{C3380CC4-5D6E-409C-BE32-E72D297353CC}">
              <c16:uniqueId val="{00000002-FE48-4B33-96BE-96B16BA6EA75}"/>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Eff_vs_IOUT!$AO$7:$AO$157</c:f>
              <c:numCache>
                <c:formatCode>General</c:formatCode>
                <c:ptCount val="151"/>
                <c:pt idx="0">
                  <c:v>0</c:v>
                </c:pt>
                <c:pt idx="1">
                  <c:v>9.5689617630655765E-5</c:v>
                </c:pt>
                <c:pt idx="2">
                  <c:v>3.0813380331611641E-4</c:v>
                </c:pt>
                <c:pt idx="3">
                  <c:v>6.2276740232124629E-4</c:v>
                </c:pt>
                <c:pt idx="4">
                  <c:v>1.0365079752595156E-3</c:v>
                </c:pt>
                <c:pt idx="5">
                  <c:v>1.5486862426732167E-3</c:v>
                </c:pt>
                <c:pt idx="6">
                  <c:v>2.1596087897880166E-3</c:v>
                </c:pt>
                <c:pt idx="7">
                  <c:v>2.8700679535662065E-3</c:v>
                </c:pt>
                <c:pt idx="8">
                  <c:v>3.681126062726494E-3</c:v>
                </c:pt>
                <c:pt idx="9">
                  <c:v>4.5940056587083153E-3</c:v>
                </c:pt>
                <c:pt idx="10">
                  <c:v>5.6100280903275826E-3</c:v>
                </c:pt>
                <c:pt idx="11">
                  <c:v>1.3386211979257525E-3</c:v>
                </c:pt>
                <c:pt idx="12">
                  <c:v>1.4828171162930997E-3</c:v>
                </c:pt>
                <c:pt idx="13">
                  <c:v>1.6395518101706501E-3</c:v>
                </c:pt>
                <c:pt idx="14">
                  <c:v>1.8088252795584055E-3</c:v>
                </c:pt>
                <c:pt idx="15">
                  <c:v>1.990637524456365E-3</c:v>
                </c:pt>
                <c:pt idx="16">
                  <c:v>2.1849885448645277E-3</c:v>
                </c:pt>
                <c:pt idx="17">
                  <c:v>2.3918783407828955E-3</c:v>
                </c:pt>
                <c:pt idx="18">
                  <c:v>2.6113069122114673E-3</c:v>
                </c:pt>
                <c:pt idx="19">
                  <c:v>2.8432742591502423E-3</c:v>
                </c:pt>
                <c:pt idx="20">
                  <c:v>3.0877803815992223E-3</c:v>
                </c:pt>
                <c:pt idx="21">
                  <c:v>3.3448252795584051E-3</c:v>
                </c:pt>
                <c:pt idx="22">
                  <c:v>3.6144089530277929E-3</c:v>
                </c:pt>
                <c:pt idx="23">
                  <c:v>3.8965314020073861E-3</c:v>
                </c:pt>
                <c:pt idx="24">
                  <c:v>4.1911926264971812E-3</c:v>
                </c:pt>
                <c:pt idx="25">
                  <c:v>4.49839262649718E-3</c:v>
                </c:pt>
                <c:pt idx="26">
                  <c:v>4.8181314020073855E-3</c:v>
                </c:pt>
                <c:pt idx="27">
                  <c:v>5.1504089530277951E-3</c:v>
                </c:pt>
                <c:pt idx="28">
                  <c:v>5.4952252795584054E-3</c:v>
                </c:pt>
                <c:pt idx="29">
                  <c:v>5.8525803815992232E-3</c:v>
                </c:pt>
                <c:pt idx="30">
                  <c:v>6.2224742591502442E-3</c:v>
                </c:pt>
                <c:pt idx="31">
                  <c:v>6.6049069122114694E-3</c:v>
                </c:pt>
                <c:pt idx="32">
                  <c:v>6.9998783407828951E-3</c:v>
                </c:pt>
                <c:pt idx="33">
                  <c:v>7.4073885448645276E-3</c:v>
                </c:pt>
                <c:pt idx="34">
                  <c:v>7.8274375244563668E-3</c:v>
                </c:pt>
                <c:pt idx="35">
                  <c:v>8.2600252795584049E-3</c:v>
                </c:pt>
                <c:pt idx="36">
                  <c:v>8.705151810170654E-3</c:v>
                </c:pt>
                <c:pt idx="37">
                  <c:v>9.1628171162931003E-3</c:v>
                </c:pt>
                <c:pt idx="38">
                  <c:v>9.6330211979257525E-3</c:v>
                </c:pt>
                <c:pt idx="39">
                  <c:v>1.0115764055068609E-2</c:v>
                </c:pt>
                <c:pt idx="40">
                  <c:v>1.0611045687721674E-2</c:v>
                </c:pt>
                <c:pt idx="41">
                  <c:v>1.1118866095884939E-2</c:v>
                </c:pt>
                <c:pt idx="42">
                  <c:v>1.1639225279558407E-2</c:v>
                </c:pt>
                <c:pt idx="43">
                  <c:v>1.217212323874208E-2</c:v>
                </c:pt>
                <c:pt idx="44">
                  <c:v>1.2717559973435957E-2</c:v>
                </c:pt>
                <c:pt idx="45">
                  <c:v>1.3275535483640044E-2</c:v>
                </c:pt>
                <c:pt idx="46">
                  <c:v>1.3846049769354333E-2</c:v>
                </c:pt>
                <c:pt idx="47">
                  <c:v>1.4429102830578818E-2</c:v>
                </c:pt>
                <c:pt idx="48">
                  <c:v>1.5024694667313513E-2</c:v>
                </c:pt>
                <c:pt idx="49">
                  <c:v>1.56328252795584E-2</c:v>
                </c:pt>
                <c:pt idx="50">
                  <c:v>1.6253494667313507E-2</c:v>
                </c:pt>
                <c:pt idx="51">
                  <c:v>1.6886702830578814E-2</c:v>
                </c:pt>
                <c:pt idx="52">
                  <c:v>1.7532449769354329E-2</c:v>
                </c:pt>
                <c:pt idx="53">
                  <c:v>1.8190735483640041E-2</c:v>
                </c:pt>
                <c:pt idx="54">
                  <c:v>1.8861559973435964E-2</c:v>
                </c:pt>
                <c:pt idx="55">
                  <c:v>1.9544923238742084E-2</c:v>
                </c:pt>
                <c:pt idx="56">
                  <c:v>2.0240825279558412E-2</c:v>
                </c:pt>
                <c:pt idx="57">
                  <c:v>2.0949266095884943E-2</c:v>
                </c:pt>
                <c:pt idx="58">
                  <c:v>2.1670245687721679E-2</c:v>
                </c:pt>
                <c:pt idx="59">
                  <c:v>2.2403764055068616E-2</c:v>
                </c:pt>
                <c:pt idx="60">
                  <c:v>2.3149821197925764E-2</c:v>
                </c:pt>
                <c:pt idx="61">
                  <c:v>2.3908417116293101E-2</c:v>
                </c:pt>
                <c:pt idx="62">
                  <c:v>2.4679551810170654E-2</c:v>
                </c:pt>
                <c:pt idx="63">
                  <c:v>2.546322527955841E-2</c:v>
                </c:pt>
                <c:pt idx="64">
                  <c:v>2.625943752445636E-2</c:v>
                </c:pt>
                <c:pt idx="65">
                  <c:v>2.7068188544864525E-2</c:v>
                </c:pt>
                <c:pt idx="66">
                  <c:v>2.7889478340782897E-2</c:v>
                </c:pt>
                <c:pt idx="67">
                  <c:v>2.872330691221147E-2</c:v>
                </c:pt>
                <c:pt idx="68">
                  <c:v>2.9569674259150254E-2</c:v>
                </c:pt>
                <c:pt idx="69">
                  <c:v>3.0428580381599225E-2</c:v>
                </c:pt>
                <c:pt idx="70">
                  <c:v>3.1300025279558392E-2</c:v>
                </c:pt>
                <c:pt idx="71">
                  <c:v>3.2184008953027789E-2</c:v>
                </c:pt>
                <c:pt idx="72">
                  <c:v>3.3080531402007389E-2</c:v>
                </c:pt>
                <c:pt idx="73">
                  <c:v>3.398959262649718E-2</c:v>
                </c:pt>
                <c:pt idx="74">
                  <c:v>3.4911192626497188E-2</c:v>
                </c:pt>
                <c:pt idx="75">
                  <c:v>3.584533140200738E-2</c:v>
                </c:pt>
                <c:pt idx="76">
                  <c:v>3.6792008953027783E-2</c:v>
                </c:pt>
                <c:pt idx="77">
                  <c:v>3.7751225279558411E-2</c:v>
                </c:pt>
                <c:pt idx="78">
                  <c:v>3.8722980381599215E-2</c:v>
                </c:pt>
                <c:pt idx="79">
                  <c:v>3.9707274259150244E-2</c:v>
                </c:pt>
                <c:pt idx="80">
                  <c:v>4.0704106912211477E-2</c:v>
                </c:pt>
                <c:pt idx="81">
                  <c:v>4.17134783407829E-2</c:v>
                </c:pt>
                <c:pt idx="82">
                  <c:v>4.2735388544864535E-2</c:v>
                </c:pt>
                <c:pt idx="83">
                  <c:v>4.3769837524456366E-2</c:v>
                </c:pt>
                <c:pt idx="84">
                  <c:v>4.4816825279558416E-2</c:v>
                </c:pt>
                <c:pt idx="85">
                  <c:v>4.5876351810170655E-2</c:v>
                </c:pt>
                <c:pt idx="86">
                  <c:v>4.6948417116293106E-2</c:v>
                </c:pt>
                <c:pt idx="87">
                  <c:v>4.8033021197925782E-2</c:v>
                </c:pt>
                <c:pt idx="88">
                  <c:v>4.9130164055068606E-2</c:v>
                </c:pt>
                <c:pt idx="89">
                  <c:v>5.0239845687721697E-2</c:v>
                </c:pt>
                <c:pt idx="90">
                  <c:v>5.1362066095884965E-2</c:v>
                </c:pt>
                <c:pt idx="91">
                  <c:v>5.2496825279558415E-2</c:v>
                </c:pt>
                <c:pt idx="92">
                  <c:v>5.3644123238742097E-2</c:v>
                </c:pt>
                <c:pt idx="93">
                  <c:v>5.4803959973435935E-2</c:v>
                </c:pt>
                <c:pt idx="94">
                  <c:v>5.5976335483640033E-2</c:v>
                </c:pt>
                <c:pt idx="95">
                  <c:v>5.7161249769354348E-2</c:v>
                </c:pt>
                <c:pt idx="96">
                  <c:v>5.8358702830578812E-2</c:v>
                </c:pt>
                <c:pt idx="97">
                  <c:v>5.9568694667313536E-2</c:v>
                </c:pt>
                <c:pt idx="98">
                  <c:v>6.0791225279558395E-2</c:v>
                </c:pt>
                <c:pt idx="99">
                  <c:v>6.2026294667313533E-2</c:v>
                </c:pt>
                <c:pt idx="100">
                  <c:v>6.3273902830578821E-2</c:v>
                </c:pt>
                <c:pt idx="101">
                  <c:v>6.4534049769354326E-2</c:v>
                </c:pt>
                <c:pt idx="102">
                  <c:v>6.580673548364005E-2</c:v>
                </c:pt>
                <c:pt idx="103">
                  <c:v>6.7091959973436005E-2</c:v>
                </c:pt>
                <c:pt idx="104">
                  <c:v>6.8389723238742095E-2</c:v>
                </c:pt>
                <c:pt idx="105">
                  <c:v>6.9700025279558403E-2</c:v>
                </c:pt>
                <c:pt idx="106">
                  <c:v>7.1022866095884957E-2</c:v>
                </c:pt>
                <c:pt idx="107">
                  <c:v>7.2358245687721687E-2</c:v>
                </c:pt>
                <c:pt idx="108">
                  <c:v>7.3706164055068621E-2</c:v>
                </c:pt>
                <c:pt idx="109">
                  <c:v>7.5066621197925773E-2</c:v>
                </c:pt>
                <c:pt idx="110">
                  <c:v>7.6439617116293129E-2</c:v>
                </c:pt>
                <c:pt idx="111">
                  <c:v>7.7825151810170662E-2</c:v>
                </c:pt>
                <c:pt idx="112">
                  <c:v>7.9223225279558412E-2</c:v>
                </c:pt>
                <c:pt idx="113">
                  <c:v>8.0633837524456395E-2</c:v>
                </c:pt>
                <c:pt idx="114">
                  <c:v>8.2056988544864554E-2</c:v>
                </c:pt>
                <c:pt idx="115">
                  <c:v>8.349267834078293E-2</c:v>
                </c:pt>
                <c:pt idx="116">
                  <c:v>8.4940906912211483E-2</c:v>
                </c:pt>
                <c:pt idx="117">
                  <c:v>8.6401674259150241E-2</c:v>
                </c:pt>
                <c:pt idx="118">
                  <c:v>8.7874980381599271E-2</c:v>
                </c:pt>
                <c:pt idx="119">
                  <c:v>8.9360825279558395E-2</c:v>
                </c:pt>
                <c:pt idx="120">
                  <c:v>9.085920895302782E-2</c:v>
                </c:pt>
                <c:pt idx="121">
                  <c:v>9.2370131402007394E-2</c:v>
                </c:pt>
                <c:pt idx="122">
                  <c:v>9.3893592626497199E-2</c:v>
                </c:pt>
                <c:pt idx="123">
                  <c:v>9.5429592626497181E-2</c:v>
                </c:pt>
                <c:pt idx="124">
                  <c:v>9.6978131402007423E-2</c:v>
                </c:pt>
                <c:pt idx="125">
                  <c:v>9.8539208953027813E-2</c:v>
                </c:pt>
                <c:pt idx="126">
                  <c:v>0.10011282527955839</c:v>
                </c:pt>
                <c:pt idx="127">
                  <c:v>0.10169898038159923</c:v>
                </c:pt>
                <c:pt idx="128">
                  <c:v>0.10329767425915024</c:v>
                </c:pt>
                <c:pt idx="129">
                  <c:v>0.10490890691221148</c:v>
                </c:pt>
                <c:pt idx="130">
                  <c:v>0.10653267834078288</c:v>
                </c:pt>
                <c:pt idx="131">
                  <c:v>0.10816898854486449</c:v>
                </c:pt>
                <c:pt idx="132">
                  <c:v>0.10981783752445637</c:v>
                </c:pt>
                <c:pt idx="133">
                  <c:v>0.11147922527955841</c:v>
                </c:pt>
                <c:pt idx="134">
                  <c:v>0.11315315181017066</c:v>
                </c:pt>
                <c:pt idx="135">
                  <c:v>0.11483961711629308</c:v>
                </c:pt>
                <c:pt idx="136">
                  <c:v>0.11653862119792577</c:v>
                </c:pt>
                <c:pt idx="137">
                  <c:v>0.11825016405506864</c:v>
                </c:pt>
                <c:pt idx="138">
                  <c:v>0.11997424568772171</c:v>
                </c:pt>
                <c:pt idx="139">
                  <c:v>0.12171086609588495</c:v>
                </c:pt>
                <c:pt idx="140">
                  <c:v>0.12346002527955841</c:v>
                </c:pt>
                <c:pt idx="141">
                  <c:v>0.12522172323874212</c:v>
                </c:pt>
                <c:pt idx="142">
                  <c:v>0.12699595997343596</c:v>
                </c:pt>
                <c:pt idx="143">
                  <c:v>0.12878273548364008</c:v>
                </c:pt>
                <c:pt idx="144">
                  <c:v>0.13058204976935434</c:v>
                </c:pt>
                <c:pt idx="145">
                  <c:v>0.13239390283057878</c:v>
                </c:pt>
                <c:pt idx="146">
                  <c:v>0.1342182946673135</c:v>
                </c:pt>
                <c:pt idx="147">
                  <c:v>0.13605522527955843</c:v>
                </c:pt>
                <c:pt idx="148">
                  <c:v>0.13790469466731348</c:v>
                </c:pt>
                <c:pt idx="149">
                  <c:v>0.13976670283057882</c:v>
                </c:pt>
                <c:pt idx="150">
                  <c:v>0.14164124976935427</c:v>
                </c:pt>
              </c:numCache>
            </c:numRef>
          </c:yVal>
          <c:smooth val="1"/>
          <c:extLst>
            <c:ext xmlns:c16="http://schemas.microsoft.com/office/drawing/2014/chart" uri="{C3380CC4-5D6E-409C-BE32-E72D297353CC}">
              <c16:uniqueId val="{00000003-FE48-4B33-96BE-96B16BA6EA75}"/>
            </c:ext>
          </c:extLst>
        </c:ser>
        <c:dLbls>
          <c:showLegendKey val="0"/>
          <c:showVal val="0"/>
          <c:showCatName val="0"/>
          <c:showSerName val="0"/>
          <c:showPercent val="0"/>
          <c:showBubbleSize val="0"/>
        </c:dLbls>
        <c:axId val="174879488"/>
        <c:axId val="174877312"/>
      </c:scatterChart>
      <c:valAx>
        <c:axId val="174861312"/>
        <c:scaling>
          <c:orientation val="minMax"/>
        </c:scaling>
        <c:delete val="0"/>
        <c:axPos val="b"/>
        <c:majorGridlines/>
        <c:numFmt formatCode="General" sourceLinked="1"/>
        <c:majorTickMark val="out"/>
        <c:minorTickMark val="none"/>
        <c:tickLblPos val="nextTo"/>
        <c:crossAx val="174875392"/>
        <c:crosses val="autoZero"/>
        <c:crossBetween val="midCat"/>
      </c:valAx>
      <c:valAx>
        <c:axId val="174875392"/>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74861312"/>
        <c:crosses val="autoZero"/>
        <c:crossBetween val="midCat"/>
      </c:valAx>
      <c:valAx>
        <c:axId val="17487731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74879488"/>
        <c:crosses val="max"/>
        <c:crossBetween val="midCat"/>
      </c:valAx>
      <c:valAx>
        <c:axId val="17487948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17487731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Eff_vs_IOUT!$AT$7:$AT$157</c:f>
              <c:numCache>
                <c:formatCode>General</c:formatCode>
                <c:ptCount val="151"/>
                <c:pt idx="0">
                  <c:v>0</c:v>
                </c:pt>
                <c:pt idx="1">
                  <c:v>18.808449214293592</c:v>
                </c:pt>
                <c:pt idx="2">
                  <c:v>31.125042079859277</c:v>
                </c:pt>
                <c:pt idx="3">
                  <c:v>39.811521674657641</c:v>
                </c:pt>
                <c:pt idx="4">
                  <c:v>46.263250394684022</c:v>
                </c:pt>
                <c:pt idx="5">
                  <c:v>51.241677661646591</c:v>
                </c:pt>
                <c:pt idx="6">
                  <c:v>55.197582950684101</c:v>
                </c:pt>
                <c:pt idx="7">
                  <c:v>58.414843065247112</c:v>
                </c:pt>
                <c:pt idx="8">
                  <c:v>61.081129743054596</c:v>
                </c:pt>
                <c:pt idx="9">
                  <c:v>63.325479532764696</c:v>
                </c:pt>
                <c:pt idx="10">
                  <c:v>65.239533711648861</c:v>
                </c:pt>
                <c:pt idx="11">
                  <c:v>67.079180215155063</c:v>
                </c:pt>
                <c:pt idx="12">
                  <c:v>68.544484991633837</c:v>
                </c:pt>
                <c:pt idx="13">
                  <c:v>69.834897418632366</c:v>
                </c:pt>
                <c:pt idx="14">
                  <c:v>70.979882474225846</c:v>
                </c:pt>
                <c:pt idx="15">
                  <c:v>72.002638274304999</c:v>
                </c:pt>
                <c:pt idx="16">
                  <c:v>72.921678066538391</c:v>
                </c:pt>
                <c:pt idx="17">
                  <c:v>73.751956030073913</c:v>
                </c:pt>
                <c:pt idx="18">
                  <c:v>74.505683319387103</c:v>
                </c:pt>
                <c:pt idx="19">
                  <c:v>75.19292942421103</c:v>
                </c:pt>
                <c:pt idx="20">
                  <c:v>75.822071969718721</c:v>
                </c:pt>
                <c:pt idx="21">
                  <c:v>76.400137724113122</c:v>
                </c:pt>
                <c:pt idx="22">
                  <c:v>76.933064323164459</c:v>
                </c:pt>
                <c:pt idx="23">
                  <c:v>77.425903414666081</c:v>
                </c:pt>
                <c:pt idx="24">
                  <c:v>77.882979969557766</c:v>
                </c:pt>
                <c:pt idx="25">
                  <c:v>78.308018411119335</c:v>
                </c:pt>
                <c:pt idx="26">
                  <c:v>78.70424335485751</c:v>
                </c:pt>
                <c:pt idx="27">
                  <c:v>79.074460728100391</c:v>
                </c:pt>
                <c:pt idx="28">
                  <c:v>79.421123587302574</c:v>
                </c:pt>
                <c:pt idx="29">
                  <c:v>79.746385898111882</c:v>
                </c:pt>
                <c:pt idx="30">
                  <c:v>80.052146770611685</c:v>
                </c:pt>
                <c:pt idx="31">
                  <c:v>80.34008706929761</c:v>
                </c:pt>
                <c:pt idx="32">
                  <c:v>80.611699888477062</c:v>
                </c:pt>
                <c:pt idx="33">
                  <c:v>80.868316059777683</c:v>
                </c:pt>
                <c:pt idx="34">
                  <c:v>81.111125611578288</c:v>
                </c:pt>
                <c:pt idx="35">
                  <c:v>81.34119591055638</c:v>
                </c:pt>
                <c:pt idx="36">
                  <c:v>81.55948706879937</c:v>
                </c:pt>
                <c:pt idx="37">
                  <c:v>81.76686508554441</c:v>
                </c:pt>
                <c:pt idx="38">
                  <c:v>81.964113102852806</c:v>
                </c:pt>
                <c:pt idx="39">
                  <c:v>82.151941083638661</c:v>
                </c:pt>
                <c:pt idx="40">
                  <c:v>82.330994164147171</c:v>
                </c:pt>
                <c:pt idx="41">
                  <c:v>82.50185988796855</c:v>
                </c:pt>
                <c:pt idx="42">
                  <c:v>82.665074492506136</c:v>
                </c:pt>
                <c:pt idx="43">
                  <c:v>82.821128389604709</c:v>
                </c:pt>
                <c:pt idx="44">
                  <c:v>82.97047095833274</c:v>
                </c:pt>
                <c:pt idx="45">
                  <c:v>83.113514748570424</c:v>
                </c:pt>
                <c:pt idx="46">
                  <c:v>83.250639178211145</c:v>
                </c:pt>
                <c:pt idx="47">
                  <c:v>83.382193793744335</c:v>
                </c:pt>
                <c:pt idx="48">
                  <c:v>83.508501153214723</c:v>
                </c:pt>
                <c:pt idx="49">
                  <c:v>83.629859381614779</c:v>
                </c:pt>
                <c:pt idx="50">
                  <c:v>83.746544441325682</c:v>
                </c:pt>
                <c:pt idx="51">
                  <c:v>83.858812154000759</c:v>
                </c:pt>
                <c:pt idx="52">
                  <c:v>83.966900005068752</c:v>
                </c:pt>
                <c:pt idx="53">
                  <c:v>84.071028757643688</c:v>
                </c:pt>
                <c:pt idx="54">
                  <c:v>84.17140389892046</c:v>
                </c:pt>
                <c:pt idx="55">
                  <c:v>84.268216938996403</c:v>
                </c:pt>
                <c:pt idx="56">
                  <c:v>84.361646579391135</c:v>
                </c:pt>
                <c:pt idx="57">
                  <c:v>84.45185976626496</c:v>
                </c:pt>
                <c:pt idx="58">
                  <c:v>84.539012641394336</c:v>
                </c:pt>
                <c:pt idx="59">
                  <c:v>84.623251402299786</c:v>
                </c:pt>
                <c:pt idx="60">
                  <c:v>84.704713081492699</c:v>
                </c:pt>
                <c:pt idx="61">
                  <c:v>84.783526253577207</c:v>
                </c:pt>
                <c:pt idx="62">
                  <c:v>84.859811677881453</c:v>
                </c:pt>
                <c:pt idx="63">
                  <c:v>84.933682883373478</c:v>
                </c:pt>
                <c:pt idx="64">
                  <c:v>85.005246701819658</c:v>
                </c:pt>
                <c:pt idx="65">
                  <c:v>85.074603754451601</c:v>
                </c:pt>
                <c:pt idx="66">
                  <c:v>85.141848896803225</c:v>
                </c:pt>
                <c:pt idx="67">
                  <c:v>85.207071625853331</c:v>
                </c:pt>
                <c:pt idx="68">
                  <c:v>85.270356453148622</c:v>
                </c:pt>
                <c:pt idx="69">
                  <c:v>85.331783247177455</c:v>
                </c:pt>
                <c:pt idx="70">
                  <c:v>85.391427547911007</c:v>
                </c:pt>
                <c:pt idx="71">
                  <c:v>85.449360856116257</c:v>
                </c:pt>
                <c:pt idx="72">
                  <c:v>85.505650899770075</c:v>
                </c:pt>
                <c:pt idx="73">
                  <c:v>85.560361879661812</c:v>
                </c:pt>
                <c:pt idx="74">
                  <c:v>85.613554696056298</c:v>
                </c:pt>
                <c:pt idx="75">
                  <c:v>85.665287158099758</c:v>
                </c:pt>
                <c:pt idx="76">
                  <c:v>85.715614177482394</c:v>
                </c:pt>
                <c:pt idx="77">
                  <c:v>85.764587947721139</c:v>
                </c:pt>
                <c:pt idx="78">
                  <c:v>85.812258110293328</c:v>
                </c:pt>
                <c:pt idx="79">
                  <c:v>85.858671908732575</c:v>
                </c:pt>
                <c:pt idx="80">
                  <c:v>85.903874331692492</c:v>
                </c:pt>
                <c:pt idx="81">
                  <c:v>85.947908245888854</c:v>
                </c:pt>
                <c:pt idx="82">
                  <c:v>85.990814519745712</c:v>
                </c:pt>
                <c:pt idx="83">
                  <c:v>86.032632138495302</c:v>
                </c:pt>
                <c:pt idx="84">
                  <c:v>86.073398311412959</c:v>
                </c:pt>
                <c:pt idx="85">
                  <c:v>86.113148571806988</c:v>
                </c:pt>
                <c:pt idx="86">
                  <c:v>86.151916870328222</c:v>
                </c:pt>
                <c:pt idx="87">
                  <c:v>86.189735662114131</c:v>
                </c:pt>
                <c:pt idx="88">
                  <c:v>86.226635988237803</c:v>
                </c:pt>
                <c:pt idx="89">
                  <c:v>86.262647551891064</c:v>
                </c:pt>
                <c:pt idx="90">
                  <c:v>86.297798789694951</c:v>
                </c:pt>
                <c:pt idx="91">
                  <c:v>86.332116938497151</c:v>
                </c:pt>
                <c:pt idx="92">
                  <c:v>86.365628097986118</c:v>
                </c:pt>
                <c:pt idx="93">
                  <c:v>86.398357289424595</c:v>
                </c:pt>
                <c:pt idx="94">
                  <c:v>86.430328510779901</c:v>
                </c:pt>
                <c:pt idx="95">
                  <c:v>86.461564788506521</c:v>
                </c:pt>
                <c:pt idx="96">
                  <c:v>86.49208822621587</c:v>
                </c:pt>
                <c:pt idx="97">
                  <c:v>86.521920050449054</c:v>
                </c:pt>
                <c:pt idx="98">
                  <c:v>86.551080653752109</c:v>
                </c:pt>
                <c:pt idx="99">
                  <c:v>86.579589635237241</c:v>
                </c:pt>
                <c:pt idx="100">
                  <c:v>86.607465838799655</c:v>
                </c:pt>
                <c:pt idx="101">
                  <c:v>86.634727389146633</c:v>
                </c:pt>
                <c:pt idx="102">
                  <c:v>86.661391725783261</c:v>
                </c:pt>
                <c:pt idx="103">
                  <c:v>86.687475635089314</c:v>
                </c:pt>
                <c:pt idx="104">
                  <c:v>86.712995280610556</c:v>
                </c:pt>
                <c:pt idx="105">
                  <c:v>86.73796623167992</c:v>
                </c:pt>
                <c:pt idx="106">
                  <c:v>86.762403490474711</c:v>
                </c:pt>
                <c:pt idx="107">
                  <c:v>86.786321517608556</c:v>
                </c:pt>
                <c:pt idx="108">
                  <c:v>86.809734256350282</c:v>
                </c:pt>
                <c:pt idx="109">
                  <c:v>86.832655155554392</c:v>
                </c:pt>
                <c:pt idx="110">
                  <c:v>86.855097191382697</c:v>
                </c:pt>
                <c:pt idx="111">
                  <c:v>86.877072887890819</c:v>
                </c:pt>
                <c:pt idx="112">
                  <c:v>86.898594336547959</c:v>
                </c:pt>
                <c:pt idx="113">
                  <c:v>86.919673214754084</c:v>
                </c:pt>
                <c:pt idx="114">
                  <c:v>86.940320803414011</c:v>
                </c:pt>
                <c:pt idx="115">
                  <c:v>86.960548003623998</c:v>
                </c:pt>
                <c:pt idx="116">
                  <c:v>86.980365352522497</c:v>
                </c:pt>
                <c:pt idx="117">
                  <c:v>86.999783038353911</c:v>
                </c:pt>
                <c:pt idx="118">
                  <c:v>87.018810914790109</c:v>
                </c:pt>
                <c:pt idx="119">
                  <c:v>87.037458514552398</c:v>
                </c:pt>
                <c:pt idx="120">
                  <c:v>87.055735062373188</c:v>
                </c:pt>
                <c:pt idx="121">
                  <c:v>87.073649487334691</c:v>
                </c:pt>
                <c:pt idx="122">
                  <c:v>87.091210434619043</c:v>
                </c:pt>
                <c:pt idx="123">
                  <c:v>87.108426276702545</c:v>
                </c:pt>
                <c:pt idx="124">
                  <c:v>87.125305124024237</c:v>
                </c:pt>
                <c:pt idx="125">
                  <c:v>87.14185483515773</c:v>
                </c:pt>
                <c:pt idx="126">
                  <c:v>87.158083026512656</c:v>
                </c:pt>
                <c:pt idx="127">
                  <c:v>87.173997081591267</c:v>
                </c:pt>
                <c:pt idx="128">
                  <c:v>87.189604159823645</c:v>
                </c:pt>
                <c:pt idx="129">
                  <c:v>87.204911205003597</c:v>
                </c:pt>
                <c:pt idx="130">
                  <c:v>87.219924953346577</c:v>
                </c:pt>
                <c:pt idx="131">
                  <c:v>87.234651941188616</c:v>
                </c:pt>
                <c:pt idx="132">
                  <c:v>87.249098512345384</c:v>
                </c:pt>
                <c:pt idx="133">
                  <c:v>87.263270825148382</c:v>
                </c:pt>
                <c:pt idx="134">
                  <c:v>87.277174859174806</c:v>
                </c:pt>
                <c:pt idx="135">
                  <c:v>87.290816421686486</c:v>
                </c:pt>
                <c:pt idx="136">
                  <c:v>87.304201153792519</c:v>
                </c:pt>
                <c:pt idx="137">
                  <c:v>87.317334536349279</c:v>
                </c:pt>
                <c:pt idx="138">
                  <c:v>87.330221895610876</c:v>
                </c:pt>
                <c:pt idx="139">
                  <c:v>87.342868408642033</c:v>
                </c:pt>
                <c:pt idx="140">
                  <c:v>87.355279108505272</c:v>
                </c:pt>
                <c:pt idx="141">
                  <c:v>87.367458889233191</c:v>
                </c:pt>
                <c:pt idx="142">
                  <c:v>87.379412510596012</c:v>
                </c:pt>
                <c:pt idx="143">
                  <c:v>87.391144602674302</c:v>
                </c:pt>
                <c:pt idx="144">
                  <c:v>87.402659670246223</c:v>
                </c:pt>
                <c:pt idx="145">
                  <c:v>87.413962096997622</c:v>
                </c:pt>
                <c:pt idx="146">
                  <c:v>87.425056149563801</c:v>
                </c:pt>
                <c:pt idx="147">
                  <c:v>87.435945981410185</c:v>
                </c:pt>
                <c:pt idx="148">
                  <c:v>87.446635636559819</c:v>
                </c:pt>
                <c:pt idx="149">
                  <c:v>87.457129053174512</c:v>
                </c:pt>
                <c:pt idx="150">
                  <c:v>87.467430066996016</c:v>
                </c:pt>
              </c:numCache>
            </c:numRef>
          </c:yVal>
          <c:smooth val="0"/>
          <c:extLst>
            <c:ext xmlns:c16="http://schemas.microsoft.com/office/drawing/2014/chart" uri="{C3380CC4-5D6E-409C-BE32-E72D297353CC}">
              <c16:uniqueId val="{00000000-FB0F-41FC-80EF-B18199155D60}"/>
            </c:ext>
          </c:extLst>
        </c:ser>
        <c:dLbls>
          <c:showLegendKey val="0"/>
          <c:showVal val="0"/>
          <c:showCatName val="0"/>
          <c:showSerName val="0"/>
          <c:showPercent val="0"/>
          <c:showBubbleSize val="0"/>
        </c:dLbls>
        <c:axId val="175638784"/>
        <c:axId val="175648768"/>
      </c:scatterChart>
      <c:scatterChart>
        <c:scatterStyle val="smoothMarker"/>
        <c:varyColors val="0"/>
        <c:ser>
          <c:idx val="1"/>
          <c:order val="1"/>
          <c:tx>
            <c:v>MOSFET</c:v>
          </c:tx>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Eff_vs_IOUT!$AI$7:$AI$157</c:f>
              <c:numCache>
                <c:formatCode>General</c:formatCode>
                <c:ptCount val="151"/>
                <c:pt idx="0">
                  <c:v>0</c:v>
                </c:pt>
                <c:pt idx="1">
                  <c:v>7.8399881988602624E-3</c:v>
                </c:pt>
                <c:pt idx="2">
                  <c:v>1.5723759360741076E-2</c:v>
                </c:pt>
                <c:pt idx="3">
                  <c:v>2.3645851552616771E-2</c:v>
                </c:pt>
                <c:pt idx="4">
                  <c:v>3.160510885971738E-2</c:v>
                </c:pt>
                <c:pt idx="5">
                  <c:v>3.9601280302246293E-2</c:v>
                </c:pt>
                <c:pt idx="6">
                  <c:v>4.7634480849663111E-2</c:v>
                </c:pt>
                <c:pt idx="7">
                  <c:v>5.5705007628328695E-2</c:v>
                </c:pt>
                <c:pt idx="8">
                  <c:v>6.3813259011512566E-2</c:v>
                </c:pt>
                <c:pt idx="9">
                  <c:v>7.1959693452254517E-2</c:v>
                </c:pt>
                <c:pt idx="10">
                  <c:v>8.0144806456360518E-2</c:v>
                </c:pt>
                <c:pt idx="11">
                  <c:v>8.63471334639586E-2</c:v>
                </c:pt>
                <c:pt idx="12">
                  <c:v>9.4205311525595123E-2</c:v>
                </c:pt>
                <c:pt idx="13">
                  <c:v>0.10206819162804796</c:v>
                </c:pt>
                <c:pt idx="14">
                  <c:v>0.10993577377131714</c:v>
                </c:pt>
                <c:pt idx="15">
                  <c:v>0.11780805795540264</c:v>
                </c:pt>
                <c:pt idx="16">
                  <c:v>0.12568504418030446</c:v>
                </c:pt>
                <c:pt idx="17">
                  <c:v>0.13356673244602266</c:v>
                </c:pt>
                <c:pt idx="18">
                  <c:v>0.14145312275255711</c:v>
                </c:pt>
                <c:pt idx="19">
                  <c:v>0.14934421509990789</c:v>
                </c:pt>
                <c:pt idx="20">
                  <c:v>0.15724000948807507</c:v>
                </c:pt>
                <c:pt idx="21">
                  <c:v>0.16514050591705851</c:v>
                </c:pt>
                <c:pt idx="22">
                  <c:v>0.17304570438685832</c:v>
                </c:pt>
                <c:pt idx="23">
                  <c:v>0.18095560489747445</c:v>
                </c:pt>
                <c:pt idx="24">
                  <c:v>0.18887020744890687</c:v>
                </c:pt>
                <c:pt idx="25">
                  <c:v>0.19678951204115561</c:v>
                </c:pt>
                <c:pt idx="26">
                  <c:v>0.20471351867422072</c:v>
                </c:pt>
                <c:pt idx="27">
                  <c:v>0.21264222734810218</c:v>
                </c:pt>
                <c:pt idx="28">
                  <c:v>0.22057563806279989</c:v>
                </c:pt>
                <c:pt idx="29">
                  <c:v>0.22851375081831396</c:v>
                </c:pt>
                <c:pt idx="30">
                  <c:v>0.23645656561464437</c:v>
                </c:pt>
                <c:pt idx="31">
                  <c:v>0.24440408245179115</c:v>
                </c:pt>
                <c:pt idx="32">
                  <c:v>0.25235630132975406</c:v>
                </c:pt>
                <c:pt idx="33">
                  <c:v>0.26031322224853354</c:v>
                </c:pt>
                <c:pt idx="34">
                  <c:v>0.26827484520812928</c:v>
                </c:pt>
                <c:pt idx="35">
                  <c:v>0.27624117020854128</c:v>
                </c:pt>
                <c:pt idx="36">
                  <c:v>0.28421219724976959</c:v>
                </c:pt>
                <c:pt idx="37">
                  <c:v>0.29218792633181428</c:v>
                </c:pt>
                <c:pt idx="38">
                  <c:v>0.30016835745467529</c:v>
                </c:pt>
                <c:pt idx="39">
                  <c:v>0.30815349061835268</c:v>
                </c:pt>
                <c:pt idx="40">
                  <c:v>0.31614332582284632</c:v>
                </c:pt>
                <c:pt idx="41">
                  <c:v>0.32413786306815634</c:v>
                </c:pt>
                <c:pt idx="42">
                  <c:v>0.33213710235428262</c:v>
                </c:pt>
                <c:pt idx="43">
                  <c:v>0.34014104368122527</c:v>
                </c:pt>
                <c:pt idx="44">
                  <c:v>0.34814968704898425</c:v>
                </c:pt>
                <c:pt idx="45">
                  <c:v>0.35616303245755959</c:v>
                </c:pt>
                <c:pt idx="46">
                  <c:v>0.3641810799069512</c:v>
                </c:pt>
                <c:pt idx="47">
                  <c:v>0.37220382939715912</c:v>
                </c:pt>
                <c:pt idx="48">
                  <c:v>0.38023128092818342</c:v>
                </c:pt>
                <c:pt idx="49">
                  <c:v>0.38826343450002393</c:v>
                </c:pt>
                <c:pt idx="50">
                  <c:v>0.39630029011268086</c:v>
                </c:pt>
                <c:pt idx="51">
                  <c:v>0.40434184776615417</c:v>
                </c:pt>
                <c:pt idx="52">
                  <c:v>0.41238810746044374</c:v>
                </c:pt>
                <c:pt idx="53">
                  <c:v>0.42043906919554969</c:v>
                </c:pt>
                <c:pt idx="54">
                  <c:v>0.428494732971472</c:v>
                </c:pt>
                <c:pt idx="55">
                  <c:v>0.43655509878821053</c:v>
                </c:pt>
                <c:pt idx="56">
                  <c:v>0.44462016664576537</c:v>
                </c:pt>
                <c:pt idx="57">
                  <c:v>0.45268993654413664</c:v>
                </c:pt>
                <c:pt idx="58">
                  <c:v>0.46076440848332417</c:v>
                </c:pt>
                <c:pt idx="59">
                  <c:v>0.46884358246332808</c:v>
                </c:pt>
                <c:pt idx="60">
                  <c:v>0.47692745848414819</c:v>
                </c:pt>
                <c:pt idx="61">
                  <c:v>0.48501603654578468</c:v>
                </c:pt>
                <c:pt idx="62">
                  <c:v>0.49310931664823771</c:v>
                </c:pt>
                <c:pt idx="63">
                  <c:v>0.50120729879150683</c:v>
                </c:pt>
                <c:pt idx="64">
                  <c:v>0.50930998297559216</c:v>
                </c:pt>
                <c:pt idx="65">
                  <c:v>0.51741736920049408</c:v>
                </c:pt>
                <c:pt idx="66">
                  <c:v>0.52552945746621227</c:v>
                </c:pt>
                <c:pt idx="67">
                  <c:v>0.53364624777274683</c:v>
                </c:pt>
                <c:pt idx="68">
                  <c:v>0.54176774012009765</c:v>
                </c:pt>
                <c:pt idx="69">
                  <c:v>0.54989393450826474</c:v>
                </c:pt>
                <c:pt idx="70">
                  <c:v>0.5580248309372482</c:v>
                </c:pt>
                <c:pt idx="71">
                  <c:v>0.56616042940704803</c:v>
                </c:pt>
                <c:pt idx="72">
                  <c:v>0.57430072991766401</c:v>
                </c:pt>
                <c:pt idx="73">
                  <c:v>0.58244573246909648</c:v>
                </c:pt>
                <c:pt idx="74">
                  <c:v>0.59059543706134521</c:v>
                </c:pt>
                <c:pt idx="75">
                  <c:v>0.59874984369441031</c:v>
                </c:pt>
                <c:pt idx="76">
                  <c:v>0.60690895236829168</c:v>
                </c:pt>
                <c:pt idx="77">
                  <c:v>0.61507276308298953</c:v>
                </c:pt>
                <c:pt idx="78">
                  <c:v>0.62324127583850364</c:v>
                </c:pt>
                <c:pt idx="79">
                  <c:v>0.63141449063483401</c:v>
                </c:pt>
                <c:pt idx="80">
                  <c:v>0.63959240747198065</c:v>
                </c:pt>
                <c:pt idx="81">
                  <c:v>0.64777502634994377</c:v>
                </c:pt>
                <c:pt idx="82">
                  <c:v>0.65596234726872316</c:v>
                </c:pt>
                <c:pt idx="83">
                  <c:v>0.66415437022831891</c:v>
                </c:pt>
                <c:pt idx="84">
                  <c:v>0.67235109522873082</c:v>
                </c:pt>
                <c:pt idx="85">
                  <c:v>0.68055252226995921</c:v>
                </c:pt>
                <c:pt idx="86">
                  <c:v>0.68875865135200387</c:v>
                </c:pt>
                <c:pt idx="87">
                  <c:v>0.69696948247486501</c:v>
                </c:pt>
                <c:pt idx="88">
                  <c:v>0.7051850156385423</c:v>
                </c:pt>
                <c:pt idx="89">
                  <c:v>0.71340525084303597</c:v>
                </c:pt>
                <c:pt idx="90">
                  <c:v>0.721630188088346</c:v>
                </c:pt>
                <c:pt idx="91">
                  <c:v>0.7298598273744723</c:v>
                </c:pt>
                <c:pt idx="92">
                  <c:v>0.73809416870141498</c:v>
                </c:pt>
                <c:pt idx="93">
                  <c:v>0.7463332120691738</c:v>
                </c:pt>
                <c:pt idx="94">
                  <c:v>0.75457695747774911</c:v>
                </c:pt>
                <c:pt idx="95">
                  <c:v>0.76282540492714079</c:v>
                </c:pt>
                <c:pt idx="96">
                  <c:v>0.77107855441734874</c:v>
                </c:pt>
                <c:pt idx="97">
                  <c:v>0.77933640594837317</c:v>
                </c:pt>
                <c:pt idx="98">
                  <c:v>0.78759895952021342</c:v>
                </c:pt>
                <c:pt idx="99">
                  <c:v>0.79586621513287037</c:v>
                </c:pt>
                <c:pt idx="100">
                  <c:v>0.8041381727863437</c:v>
                </c:pt>
                <c:pt idx="101">
                  <c:v>0.81241483248063329</c:v>
                </c:pt>
                <c:pt idx="102">
                  <c:v>0.82069619421573925</c:v>
                </c:pt>
                <c:pt idx="103">
                  <c:v>0.82898225799166181</c:v>
                </c:pt>
                <c:pt idx="104">
                  <c:v>0.83727302380840007</c:v>
                </c:pt>
                <c:pt idx="105">
                  <c:v>0.84556849166595494</c:v>
                </c:pt>
                <c:pt idx="106">
                  <c:v>0.85386866156432617</c:v>
                </c:pt>
                <c:pt idx="107">
                  <c:v>0.86217353350351378</c:v>
                </c:pt>
                <c:pt idx="108">
                  <c:v>0.87048310748351776</c:v>
                </c:pt>
                <c:pt idx="109">
                  <c:v>0.87879738350433789</c:v>
                </c:pt>
                <c:pt idx="110">
                  <c:v>0.8871163615659744</c:v>
                </c:pt>
                <c:pt idx="111">
                  <c:v>0.89544004166842728</c:v>
                </c:pt>
                <c:pt idx="112">
                  <c:v>0.90376842381169631</c:v>
                </c:pt>
                <c:pt idx="113">
                  <c:v>0.91210150799578193</c:v>
                </c:pt>
                <c:pt idx="114">
                  <c:v>0.92043929422068382</c:v>
                </c:pt>
                <c:pt idx="115">
                  <c:v>0.92878178248640186</c:v>
                </c:pt>
                <c:pt idx="116">
                  <c:v>0.93712897279293639</c:v>
                </c:pt>
                <c:pt idx="117">
                  <c:v>0.94548086514028695</c:v>
                </c:pt>
                <c:pt idx="118">
                  <c:v>0.95383745952845445</c:v>
                </c:pt>
                <c:pt idx="119">
                  <c:v>0.96219875595743765</c:v>
                </c:pt>
                <c:pt idx="120">
                  <c:v>0.97056475442723755</c:v>
                </c:pt>
                <c:pt idx="121">
                  <c:v>0.97893545493785361</c:v>
                </c:pt>
                <c:pt idx="122">
                  <c:v>0.98731085748928593</c:v>
                </c:pt>
                <c:pt idx="123">
                  <c:v>0.99569096208153474</c:v>
                </c:pt>
                <c:pt idx="124">
                  <c:v>1.0040757687146002</c:v>
                </c:pt>
                <c:pt idx="125">
                  <c:v>1.0124652773884812</c:v>
                </c:pt>
                <c:pt idx="126">
                  <c:v>1.0208594881031792</c:v>
                </c:pt>
                <c:pt idx="127">
                  <c:v>1.0292584008586931</c:v>
                </c:pt>
                <c:pt idx="128">
                  <c:v>1.0376620156550234</c:v>
                </c:pt>
                <c:pt idx="129">
                  <c:v>1.0460703324921705</c:v>
                </c:pt>
                <c:pt idx="130">
                  <c:v>1.0544833513701333</c:v>
                </c:pt>
                <c:pt idx="131">
                  <c:v>1.0629010722889127</c:v>
                </c:pt>
                <c:pt idx="132">
                  <c:v>1.0713234952485085</c:v>
                </c:pt>
                <c:pt idx="133">
                  <c:v>1.0797506202489204</c:v>
                </c:pt>
                <c:pt idx="134">
                  <c:v>1.0881824472901491</c:v>
                </c:pt>
                <c:pt idx="135">
                  <c:v>1.0966189763721936</c:v>
                </c:pt>
                <c:pt idx="136">
                  <c:v>1.1050602074950548</c:v>
                </c:pt>
                <c:pt idx="137">
                  <c:v>1.1135061406587319</c:v>
                </c:pt>
                <c:pt idx="138">
                  <c:v>1.1219567758632256</c:v>
                </c:pt>
                <c:pt idx="139">
                  <c:v>1.1304121131085356</c:v>
                </c:pt>
                <c:pt idx="140">
                  <c:v>1.1388721523946619</c:v>
                </c:pt>
                <c:pt idx="141">
                  <c:v>1.1473368937216046</c:v>
                </c:pt>
                <c:pt idx="142">
                  <c:v>1.1558063370893636</c:v>
                </c:pt>
                <c:pt idx="143">
                  <c:v>1.1642804824979389</c:v>
                </c:pt>
                <c:pt idx="144">
                  <c:v>1.1727593299473302</c:v>
                </c:pt>
                <c:pt idx="145">
                  <c:v>1.1812428794375385</c:v>
                </c:pt>
                <c:pt idx="146">
                  <c:v>1.1897311309685625</c:v>
                </c:pt>
                <c:pt idx="147">
                  <c:v>1.1982240845404035</c:v>
                </c:pt>
                <c:pt idx="148">
                  <c:v>1.2067217401530601</c:v>
                </c:pt>
                <c:pt idx="149">
                  <c:v>1.2152240978065334</c:v>
                </c:pt>
                <c:pt idx="150">
                  <c:v>1.223731157500823</c:v>
                </c:pt>
              </c:numCache>
            </c:numRef>
          </c:yVal>
          <c:smooth val="1"/>
          <c:extLst>
            <c:ext xmlns:c16="http://schemas.microsoft.com/office/drawing/2014/chart" uri="{C3380CC4-5D6E-409C-BE32-E72D297353CC}">
              <c16:uniqueId val="{00000001-FB0F-41FC-80EF-B18199155D60}"/>
            </c:ext>
          </c:extLst>
        </c:ser>
        <c:ser>
          <c:idx val="2"/>
          <c:order val="2"/>
          <c:tx>
            <c:v>Diode</c:v>
          </c:tx>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Eff_vs_IOUT!$AN$7:$AN$157</c:f>
              <c:numCache>
                <c:formatCode>General</c:formatCode>
                <c:ptCount val="151"/>
                <c:pt idx="0">
                  <c:v>0.42354999999999998</c:v>
                </c:pt>
                <c:pt idx="1">
                  <c:v>0.43288333333333334</c:v>
                </c:pt>
                <c:pt idx="2">
                  <c:v>0.44221666666666665</c:v>
                </c:pt>
                <c:pt idx="3">
                  <c:v>0.45155000000000001</c:v>
                </c:pt>
                <c:pt idx="4">
                  <c:v>0.46088333333333331</c:v>
                </c:pt>
                <c:pt idx="5">
                  <c:v>0.47021666666666662</c:v>
                </c:pt>
                <c:pt idx="6">
                  <c:v>0.47954999999999998</c:v>
                </c:pt>
                <c:pt idx="7">
                  <c:v>0.48888333333333334</c:v>
                </c:pt>
                <c:pt idx="8">
                  <c:v>0.49821666666666664</c:v>
                </c:pt>
                <c:pt idx="9">
                  <c:v>0.50754999999999995</c:v>
                </c:pt>
                <c:pt idx="10">
                  <c:v>0.51688333333333336</c:v>
                </c:pt>
                <c:pt idx="11">
                  <c:v>0.52621666666666667</c:v>
                </c:pt>
                <c:pt idx="12">
                  <c:v>0.53554999999999997</c:v>
                </c:pt>
                <c:pt idx="13">
                  <c:v>0.54488333333333328</c:v>
                </c:pt>
                <c:pt idx="14">
                  <c:v>0.55421666666666658</c:v>
                </c:pt>
                <c:pt idx="15">
                  <c:v>0.56355</c:v>
                </c:pt>
                <c:pt idx="16">
                  <c:v>0.5728833333333333</c:v>
                </c:pt>
                <c:pt idx="17">
                  <c:v>0.5822166666666666</c:v>
                </c:pt>
                <c:pt idx="18">
                  <c:v>0.59155000000000002</c:v>
                </c:pt>
                <c:pt idx="19">
                  <c:v>0.60088333333333332</c:v>
                </c:pt>
                <c:pt idx="20">
                  <c:v>0.61021666666666663</c:v>
                </c:pt>
                <c:pt idx="21">
                  <c:v>0.61955000000000005</c:v>
                </c:pt>
                <c:pt idx="22">
                  <c:v>0.62888333333333324</c:v>
                </c:pt>
                <c:pt idx="23">
                  <c:v>0.63821666666666665</c:v>
                </c:pt>
                <c:pt idx="24">
                  <c:v>0.64754999999999996</c:v>
                </c:pt>
                <c:pt idx="25">
                  <c:v>0.65688333333333326</c:v>
                </c:pt>
                <c:pt idx="26">
                  <c:v>0.66621666666666668</c:v>
                </c:pt>
                <c:pt idx="27">
                  <c:v>0.67554999999999998</c:v>
                </c:pt>
                <c:pt idx="28">
                  <c:v>0.68488333333333329</c:v>
                </c:pt>
                <c:pt idx="29">
                  <c:v>0.6942166666666667</c:v>
                </c:pt>
                <c:pt idx="30">
                  <c:v>0.7035499999999999</c:v>
                </c:pt>
                <c:pt idx="31">
                  <c:v>0.71288333333333331</c:v>
                </c:pt>
                <c:pt idx="32">
                  <c:v>0.72221666666666673</c:v>
                </c:pt>
                <c:pt idx="33">
                  <c:v>0.73154999999999992</c:v>
                </c:pt>
                <c:pt idx="34">
                  <c:v>0.74088333333333334</c:v>
                </c:pt>
                <c:pt idx="35">
                  <c:v>0.75021666666666664</c:v>
                </c:pt>
                <c:pt idx="36">
                  <c:v>0.75954999999999995</c:v>
                </c:pt>
                <c:pt idx="37">
                  <c:v>0.76888333333333336</c:v>
                </c:pt>
                <c:pt idx="38">
                  <c:v>0.77821666666666667</c:v>
                </c:pt>
                <c:pt idx="39">
                  <c:v>0.78754999999999997</c:v>
                </c:pt>
                <c:pt idx="40">
                  <c:v>0.79688333333333328</c:v>
                </c:pt>
                <c:pt idx="41">
                  <c:v>0.80621666666666669</c:v>
                </c:pt>
                <c:pt idx="42">
                  <c:v>0.81555</c:v>
                </c:pt>
                <c:pt idx="43">
                  <c:v>0.8248833333333333</c:v>
                </c:pt>
                <c:pt idx="44">
                  <c:v>0.83421666666666661</c:v>
                </c:pt>
                <c:pt idx="45">
                  <c:v>0.84355000000000002</c:v>
                </c:pt>
                <c:pt idx="46">
                  <c:v>0.85288333333333333</c:v>
                </c:pt>
                <c:pt idx="47">
                  <c:v>0.86221666666666663</c:v>
                </c:pt>
                <c:pt idx="48">
                  <c:v>0.87154999999999994</c:v>
                </c:pt>
                <c:pt idx="49">
                  <c:v>0.88088333333333324</c:v>
                </c:pt>
                <c:pt idx="50">
                  <c:v>0.89021666666666666</c:v>
                </c:pt>
                <c:pt idx="51">
                  <c:v>0.89954999999999996</c:v>
                </c:pt>
                <c:pt idx="52">
                  <c:v>0.90888333333333327</c:v>
                </c:pt>
                <c:pt idx="53">
                  <c:v>0.91821666666666668</c:v>
                </c:pt>
                <c:pt idx="54">
                  <c:v>0.92754999999999999</c:v>
                </c:pt>
                <c:pt idx="55">
                  <c:v>0.93688333333333329</c:v>
                </c:pt>
                <c:pt idx="56">
                  <c:v>0.94621666666666659</c:v>
                </c:pt>
                <c:pt idx="57">
                  <c:v>0.9555499999999999</c:v>
                </c:pt>
                <c:pt idx="58">
                  <c:v>0.96488333333333332</c:v>
                </c:pt>
                <c:pt idx="59">
                  <c:v>0.97421666666666662</c:v>
                </c:pt>
                <c:pt idx="60">
                  <c:v>0.98354999999999992</c:v>
                </c:pt>
                <c:pt idx="61">
                  <c:v>0.99288333333333334</c:v>
                </c:pt>
                <c:pt idx="62">
                  <c:v>1.0022166666666665</c:v>
                </c:pt>
                <c:pt idx="63">
                  <c:v>1.0115499999999999</c:v>
                </c:pt>
                <c:pt idx="64">
                  <c:v>1.0208833333333334</c:v>
                </c:pt>
                <c:pt idx="65">
                  <c:v>1.0302166666666666</c:v>
                </c:pt>
                <c:pt idx="66">
                  <c:v>1.03955</c:v>
                </c:pt>
                <c:pt idx="67">
                  <c:v>1.0488833333333334</c:v>
                </c:pt>
                <c:pt idx="68">
                  <c:v>1.0582166666666666</c:v>
                </c:pt>
                <c:pt idx="69">
                  <c:v>1.06755</c:v>
                </c:pt>
                <c:pt idx="70">
                  <c:v>1.0768833333333334</c:v>
                </c:pt>
                <c:pt idx="71">
                  <c:v>1.0862166666666666</c:v>
                </c:pt>
                <c:pt idx="72">
                  <c:v>1.09555</c:v>
                </c:pt>
                <c:pt idx="73">
                  <c:v>1.1048833333333334</c:v>
                </c:pt>
                <c:pt idx="74">
                  <c:v>1.1142166666666666</c:v>
                </c:pt>
                <c:pt idx="75">
                  <c:v>1.1235499999999998</c:v>
                </c:pt>
                <c:pt idx="76">
                  <c:v>1.1328833333333335</c:v>
                </c:pt>
                <c:pt idx="77">
                  <c:v>1.1422166666666667</c:v>
                </c:pt>
                <c:pt idx="78">
                  <c:v>1.1515499999999999</c:v>
                </c:pt>
                <c:pt idx="79">
                  <c:v>1.1608833333333335</c:v>
                </c:pt>
                <c:pt idx="80">
                  <c:v>1.1702166666666667</c:v>
                </c:pt>
                <c:pt idx="81">
                  <c:v>1.1795499999999999</c:v>
                </c:pt>
                <c:pt idx="82">
                  <c:v>1.1888833333333335</c:v>
                </c:pt>
                <c:pt idx="83">
                  <c:v>1.1982166666666667</c:v>
                </c:pt>
                <c:pt idx="84">
                  <c:v>1.2075499999999999</c:v>
                </c:pt>
                <c:pt idx="85">
                  <c:v>1.2168833333333331</c:v>
                </c:pt>
                <c:pt idx="86">
                  <c:v>1.2262166666666667</c:v>
                </c:pt>
                <c:pt idx="87">
                  <c:v>1.2355499999999999</c:v>
                </c:pt>
                <c:pt idx="88">
                  <c:v>1.2448833333333331</c:v>
                </c:pt>
                <c:pt idx="89">
                  <c:v>1.2542166666666668</c:v>
                </c:pt>
                <c:pt idx="90">
                  <c:v>1.26355</c:v>
                </c:pt>
                <c:pt idx="91">
                  <c:v>1.2728833333333331</c:v>
                </c:pt>
                <c:pt idx="92">
                  <c:v>1.2822166666666668</c:v>
                </c:pt>
                <c:pt idx="93">
                  <c:v>1.29155</c:v>
                </c:pt>
                <c:pt idx="94">
                  <c:v>1.3008833333333332</c:v>
                </c:pt>
                <c:pt idx="95">
                  <c:v>1.3102166666666668</c:v>
                </c:pt>
                <c:pt idx="96">
                  <c:v>1.31955</c:v>
                </c:pt>
                <c:pt idx="97">
                  <c:v>1.3288833333333332</c:v>
                </c:pt>
                <c:pt idx="98">
                  <c:v>1.3382166666666666</c:v>
                </c:pt>
                <c:pt idx="99">
                  <c:v>1.34755</c:v>
                </c:pt>
                <c:pt idx="100">
                  <c:v>1.3568833333333332</c:v>
                </c:pt>
                <c:pt idx="101">
                  <c:v>1.3662166666666666</c:v>
                </c:pt>
                <c:pt idx="102">
                  <c:v>1.3755500000000001</c:v>
                </c:pt>
                <c:pt idx="103">
                  <c:v>1.3848833333333332</c:v>
                </c:pt>
                <c:pt idx="104">
                  <c:v>1.3942166666666667</c:v>
                </c:pt>
                <c:pt idx="105">
                  <c:v>1.4035500000000001</c:v>
                </c:pt>
                <c:pt idx="106">
                  <c:v>1.4128833333333333</c:v>
                </c:pt>
                <c:pt idx="107">
                  <c:v>1.4222166666666667</c:v>
                </c:pt>
                <c:pt idx="108">
                  <c:v>1.4315500000000001</c:v>
                </c:pt>
                <c:pt idx="109">
                  <c:v>1.4408833333333333</c:v>
                </c:pt>
                <c:pt idx="110">
                  <c:v>1.4502166666666665</c:v>
                </c:pt>
                <c:pt idx="111">
                  <c:v>1.4595500000000001</c:v>
                </c:pt>
                <c:pt idx="112">
                  <c:v>1.4688833333333333</c:v>
                </c:pt>
                <c:pt idx="113">
                  <c:v>1.4782166666666665</c:v>
                </c:pt>
                <c:pt idx="114">
                  <c:v>1.4875499999999997</c:v>
                </c:pt>
                <c:pt idx="115">
                  <c:v>1.4968833333333333</c:v>
                </c:pt>
                <c:pt idx="116">
                  <c:v>1.5062166666666665</c:v>
                </c:pt>
                <c:pt idx="117">
                  <c:v>1.5155499999999997</c:v>
                </c:pt>
                <c:pt idx="118">
                  <c:v>1.5248833333333334</c:v>
                </c:pt>
                <c:pt idx="119">
                  <c:v>1.5342166666666666</c:v>
                </c:pt>
                <c:pt idx="120">
                  <c:v>1.5435499999999998</c:v>
                </c:pt>
                <c:pt idx="121">
                  <c:v>1.5528833333333334</c:v>
                </c:pt>
                <c:pt idx="122">
                  <c:v>1.5622166666666666</c:v>
                </c:pt>
                <c:pt idx="123">
                  <c:v>1.5715499999999998</c:v>
                </c:pt>
                <c:pt idx="124">
                  <c:v>1.5808833333333334</c:v>
                </c:pt>
                <c:pt idx="125">
                  <c:v>1.5902166666666666</c:v>
                </c:pt>
                <c:pt idx="126">
                  <c:v>1.5995499999999998</c:v>
                </c:pt>
                <c:pt idx="127">
                  <c:v>1.6088833333333334</c:v>
                </c:pt>
                <c:pt idx="128">
                  <c:v>1.6182166666666666</c:v>
                </c:pt>
                <c:pt idx="129">
                  <c:v>1.6275499999999998</c:v>
                </c:pt>
                <c:pt idx="130">
                  <c:v>1.6368833333333335</c:v>
                </c:pt>
                <c:pt idx="131">
                  <c:v>1.6462166666666667</c:v>
                </c:pt>
                <c:pt idx="132">
                  <c:v>1.6555499999999999</c:v>
                </c:pt>
                <c:pt idx="133">
                  <c:v>1.6648833333333335</c:v>
                </c:pt>
                <c:pt idx="134">
                  <c:v>1.6742166666666667</c:v>
                </c:pt>
                <c:pt idx="135">
                  <c:v>1.6835499999999999</c:v>
                </c:pt>
                <c:pt idx="136">
                  <c:v>1.6928833333333335</c:v>
                </c:pt>
                <c:pt idx="137">
                  <c:v>1.7022166666666667</c:v>
                </c:pt>
                <c:pt idx="138">
                  <c:v>1.7115499999999999</c:v>
                </c:pt>
                <c:pt idx="139">
                  <c:v>1.7208833333333335</c:v>
                </c:pt>
                <c:pt idx="140">
                  <c:v>1.7302166666666667</c:v>
                </c:pt>
                <c:pt idx="141">
                  <c:v>1.7395499999999999</c:v>
                </c:pt>
                <c:pt idx="142">
                  <c:v>1.7488833333333336</c:v>
                </c:pt>
                <c:pt idx="143">
                  <c:v>1.7582166666666668</c:v>
                </c:pt>
                <c:pt idx="144">
                  <c:v>1.76755</c:v>
                </c:pt>
                <c:pt idx="145">
                  <c:v>1.7768833333333331</c:v>
                </c:pt>
                <c:pt idx="146">
                  <c:v>1.7862166666666668</c:v>
                </c:pt>
                <c:pt idx="147">
                  <c:v>1.79555</c:v>
                </c:pt>
                <c:pt idx="148">
                  <c:v>1.8048833333333332</c:v>
                </c:pt>
                <c:pt idx="149">
                  <c:v>1.8142166666666668</c:v>
                </c:pt>
                <c:pt idx="150">
                  <c:v>1.82355</c:v>
                </c:pt>
              </c:numCache>
            </c:numRef>
          </c:yVal>
          <c:smooth val="1"/>
          <c:extLst>
            <c:ext xmlns:c16="http://schemas.microsoft.com/office/drawing/2014/chart" uri="{C3380CC4-5D6E-409C-BE32-E72D297353CC}">
              <c16:uniqueId val="{00000002-FB0F-41FC-80EF-B18199155D60}"/>
            </c:ext>
          </c:extLst>
        </c:ser>
        <c:ser>
          <c:idx val="3"/>
          <c:order val="3"/>
          <c:tx>
            <c:v>RCS</c:v>
          </c:tx>
          <c:marker>
            <c:symbol val="none"/>
          </c:marker>
          <c:xVal>
            <c:numRef>
              <c:f>Eff_vs_IOUT!$S$7:$S$157</c:f>
              <c:numCache>
                <c:formatCode>General</c:formatCode>
                <c:ptCount val="151"/>
                <c:pt idx="0">
                  <c:v>0</c:v>
                </c:pt>
                <c:pt idx="1">
                  <c:v>1.3333333333333334E-2</c:v>
                </c:pt>
                <c:pt idx="2">
                  <c:v>2.6666666666666668E-2</c:v>
                </c:pt>
                <c:pt idx="3">
                  <c:v>0.04</c:v>
                </c:pt>
                <c:pt idx="4">
                  <c:v>5.3333333333333337E-2</c:v>
                </c:pt>
                <c:pt idx="5">
                  <c:v>6.6666666666666666E-2</c:v>
                </c:pt>
                <c:pt idx="6">
                  <c:v>0.08</c:v>
                </c:pt>
                <c:pt idx="7">
                  <c:v>9.3333333333333338E-2</c:v>
                </c:pt>
                <c:pt idx="8">
                  <c:v>0.10666666666666667</c:v>
                </c:pt>
                <c:pt idx="9">
                  <c:v>0.12000000000000001</c:v>
                </c:pt>
                <c:pt idx="10">
                  <c:v>0.13333333333333333</c:v>
                </c:pt>
                <c:pt idx="11">
                  <c:v>0.14666666666666667</c:v>
                </c:pt>
                <c:pt idx="12">
                  <c:v>0.16</c:v>
                </c:pt>
                <c:pt idx="13">
                  <c:v>0.17333333333333334</c:v>
                </c:pt>
                <c:pt idx="14">
                  <c:v>0.18666666666666668</c:v>
                </c:pt>
                <c:pt idx="15">
                  <c:v>0.2</c:v>
                </c:pt>
                <c:pt idx="16">
                  <c:v>0.21333333333333335</c:v>
                </c:pt>
                <c:pt idx="17">
                  <c:v>0.22666666666666668</c:v>
                </c:pt>
                <c:pt idx="18">
                  <c:v>0.24000000000000002</c:v>
                </c:pt>
                <c:pt idx="19">
                  <c:v>0.25333333333333335</c:v>
                </c:pt>
                <c:pt idx="20">
                  <c:v>0.26666666666666666</c:v>
                </c:pt>
                <c:pt idx="21">
                  <c:v>0.28000000000000003</c:v>
                </c:pt>
                <c:pt idx="22">
                  <c:v>0.29333333333333333</c:v>
                </c:pt>
                <c:pt idx="23">
                  <c:v>0.3066666666666667</c:v>
                </c:pt>
                <c:pt idx="24">
                  <c:v>0.32</c:v>
                </c:pt>
                <c:pt idx="25">
                  <c:v>0.33333333333333337</c:v>
                </c:pt>
                <c:pt idx="26">
                  <c:v>0.34666666666666668</c:v>
                </c:pt>
                <c:pt idx="27">
                  <c:v>0.36000000000000004</c:v>
                </c:pt>
                <c:pt idx="28">
                  <c:v>0.37333333333333335</c:v>
                </c:pt>
                <c:pt idx="29">
                  <c:v>0.38666666666666671</c:v>
                </c:pt>
                <c:pt idx="30">
                  <c:v>0.4</c:v>
                </c:pt>
                <c:pt idx="31">
                  <c:v>0.41333333333333339</c:v>
                </c:pt>
                <c:pt idx="32">
                  <c:v>0.42666666666666669</c:v>
                </c:pt>
                <c:pt idx="33">
                  <c:v>0.44</c:v>
                </c:pt>
                <c:pt idx="34">
                  <c:v>0.45333333333333337</c:v>
                </c:pt>
                <c:pt idx="35">
                  <c:v>0.46666666666666667</c:v>
                </c:pt>
                <c:pt idx="36">
                  <c:v>0.48000000000000004</c:v>
                </c:pt>
                <c:pt idx="37">
                  <c:v>0.49333333333333335</c:v>
                </c:pt>
                <c:pt idx="38">
                  <c:v>0.50666666666666671</c:v>
                </c:pt>
                <c:pt idx="39">
                  <c:v>0.52</c:v>
                </c:pt>
                <c:pt idx="40">
                  <c:v>0.53333333333333333</c:v>
                </c:pt>
                <c:pt idx="41">
                  <c:v>0.54666666666666675</c:v>
                </c:pt>
                <c:pt idx="42">
                  <c:v>0.56000000000000005</c:v>
                </c:pt>
                <c:pt idx="43">
                  <c:v>0.57333333333333336</c:v>
                </c:pt>
                <c:pt idx="44">
                  <c:v>0.58666666666666667</c:v>
                </c:pt>
                <c:pt idx="45">
                  <c:v>0.60000000000000009</c:v>
                </c:pt>
                <c:pt idx="46">
                  <c:v>0.6133333333333334</c:v>
                </c:pt>
                <c:pt idx="47">
                  <c:v>0.62666666666666671</c:v>
                </c:pt>
                <c:pt idx="48">
                  <c:v>0.64</c:v>
                </c:pt>
                <c:pt idx="49">
                  <c:v>0.65333333333333332</c:v>
                </c:pt>
                <c:pt idx="50">
                  <c:v>0.66666666666666674</c:v>
                </c:pt>
                <c:pt idx="51">
                  <c:v>0.68</c:v>
                </c:pt>
                <c:pt idx="52">
                  <c:v>0.69333333333333336</c:v>
                </c:pt>
                <c:pt idx="53">
                  <c:v>0.70666666666666667</c:v>
                </c:pt>
                <c:pt idx="54">
                  <c:v>0.72000000000000008</c:v>
                </c:pt>
                <c:pt idx="55">
                  <c:v>0.73333333333333339</c:v>
                </c:pt>
                <c:pt idx="56">
                  <c:v>0.7466666666666667</c:v>
                </c:pt>
                <c:pt idx="57">
                  <c:v>0.76</c:v>
                </c:pt>
                <c:pt idx="58">
                  <c:v>0.77333333333333343</c:v>
                </c:pt>
                <c:pt idx="59">
                  <c:v>0.78666666666666674</c:v>
                </c:pt>
                <c:pt idx="60">
                  <c:v>0.8</c:v>
                </c:pt>
                <c:pt idx="61">
                  <c:v>0.81333333333333335</c:v>
                </c:pt>
                <c:pt idx="62">
                  <c:v>0.82666666666666677</c:v>
                </c:pt>
                <c:pt idx="63">
                  <c:v>0.84000000000000008</c:v>
                </c:pt>
                <c:pt idx="64">
                  <c:v>0.85333333333333339</c:v>
                </c:pt>
                <c:pt idx="65">
                  <c:v>0.8666666666666667</c:v>
                </c:pt>
                <c:pt idx="66">
                  <c:v>0.88</c:v>
                </c:pt>
                <c:pt idx="67">
                  <c:v>0.89333333333333342</c:v>
                </c:pt>
                <c:pt idx="68">
                  <c:v>0.90666666666666673</c:v>
                </c:pt>
                <c:pt idx="69">
                  <c:v>0.92</c:v>
                </c:pt>
                <c:pt idx="70">
                  <c:v>0.93333333333333335</c:v>
                </c:pt>
                <c:pt idx="71">
                  <c:v>0.94666666666666677</c:v>
                </c:pt>
                <c:pt idx="72">
                  <c:v>0.96000000000000008</c:v>
                </c:pt>
                <c:pt idx="73">
                  <c:v>0.97333333333333338</c:v>
                </c:pt>
                <c:pt idx="74">
                  <c:v>0.98666666666666669</c:v>
                </c:pt>
                <c:pt idx="75">
                  <c:v>1</c:v>
                </c:pt>
                <c:pt idx="76">
                  <c:v>1.0133333333333334</c:v>
                </c:pt>
                <c:pt idx="77">
                  <c:v>1.0266666666666668</c:v>
                </c:pt>
                <c:pt idx="78">
                  <c:v>1.04</c:v>
                </c:pt>
                <c:pt idx="79">
                  <c:v>1.0533333333333335</c:v>
                </c:pt>
                <c:pt idx="80">
                  <c:v>1.0666666666666667</c:v>
                </c:pt>
                <c:pt idx="81">
                  <c:v>1.08</c:v>
                </c:pt>
                <c:pt idx="82">
                  <c:v>1.0933333333333335</c:v>
                </c:pt>
                <c:pt idx="83">
                  <c:v>1.1066666666666667</c:v>
                </c:pt>
                <c:pt idx="84">
                  <c:v>1.1200000000000001</c:v>
                </c:pt>
                <c:pt idx="85">
                  <c:v>1.1333333333333333</c:v>
                </c:pt>
                <c:pt idx="86">
                  <c:v>1.1466666666666667</c:v>
                </c:pt>
                <c:pt idx="87">
                  <c:v>1.1600000000000001</c:v>
                </c:pt>
                <c:pt idx="88">
                  <c:v>1.1733333333333333</c:v>
                </c:pt>
                <c:pt idx="89">
                  <c:v>1.1866666666666668</c:v>
                </c:pt>
                <c:pt idx="90">
                  <c:v>1.2000000000000002</c:v>
                </c:pt>
                <c:pt idx="91">
                  <c:v>1.2133333333333334</c:v>
                </c:pt>
                <c:pt idx="92">
                  <c:v>1.2266666666666668</c:v>
                </c:pt>
                <c:pt idx="93">
                  <c:v>1.24</c:v>
                </c:pt>
                <c:pt idx="94">
                  <c:v>1.2533333333333334</c:v>
                </c:pt>
                <c:pt idx="95">
                  <c:v>1.2666666666666668</c:v>
                </c:pt>
                <c:pt idx="96">
                  <c:v>1.28</c:v>
                </c:pt>
                <c:pt idx="97">
                  <c:v>1.2933333333333334</c:v>
                </c:pt>
                <c:pt idx="98">
                  <c:v>1.3066666666666666</c:v>
                </c:pt>
                <c:pt idx="99">
                  <c:v>1.32</c:v>
                </c:pt>
                <c:pt idx="100">
                  <c:v>1.3333333333333335</c:v>
                </c:pt>
                <c:pt idx="101">
                  <c:v>1.3466666666666667</c:v>
                </c:pt>
                <c:pt idx="102">
                  <c:v>1.36</c:v>
                </c:pt>
                <c:pt idx="103">
                  <c:v>1.3733333333333335</c:v>
                </c:pt>
                <c:pt idx="104">
                  <c:v>1.3866666666666667</c:v>
                </c:pt>
                <c:pt idx="105">
                  <c:v>1.4000000000000001</c:v>
                </c:pt>
                <c:pt idx="106">
                  <c:v>1.4133333333333333</c:v>
                </c:pt>
                <c:pt idx="107">
                  <c:v>1.4266666666666667</c:v>
                </c:pt>
                <c:pt idx="108">
                  <c:v>1.4400000000000002</c:v>
                </c:pt>
                <c:pt idx="109">
                  <c:v>1.4533333333333334</c:v>
                </c:pt>
                <c:pt idx="110">
                  <c:v>1.4666666666666668</c:v>
                </c:pt>
                <c:pt idx="111">
                  <c:v>1.4800000000000002</c:v>
                </c:pt>
                <c:pt idx="112">
                  <c:v>1.4933333333333334</c:v>
                </c:pt>
                <c:pt idx="113">
                  <c:v>1.5066666666666668</c:v>
                </c:pt>
                <c:pt idx="114">
                  <c:v>1.52</c:v>
                </c:pt>
                <c:pt idx="115">
                  <c:v>1.5333333333333334</c:v>
                </c:pt>
                <c:pt idx="116">
                  <c:v>1.5466666666666669</c:v>
                </c:pt>
                <c:pt idx="117">
                  <c:v>1.56</c:v>
                </c:pt>
                <c:pt idx="118">
                  <c:v>1.5733333333333335</c:v>
                </c:pt>
                <c:pt idx="119">
                  <c:v>1.5866666666666667</c:v>
                </c:pt>
                <c:pt idx="120">
                  <c:v>1.6</c:v>
                </c:pt>
                <c:pt idx="121">
                  <c:v>1.6133333333333335</c:v>
                </c:pt>
                <c:pt idx="122">
                  <c:v>1.6266666666666667</c:v>
                </c:pt>
                <c:pt idx="123">
                  <c:v>1.6400000000000001</c:v>
                </c:pt>
                <c:pt idx="124">
                  <c:v>1.6533333333333335</c:v>
                </c:pt>
                <c:pt idx="125">
                  <c:v>1.6666666666666667</c:v>
                </c:pt>
                <c:pt idx="126">
                  <c:v>1.6800000000000002</c:v>
                </c:pt>
                <c:pt idx="127">
                  <c:v>1.6933333333333334</c:v>
                </c:pt>
                <c:pt idx="128">
                  <c:v>1.7066666666666668</c:v>
                </c:pt>
                <c:pt idx="129">
                  <c:v>1.7200000000000002</c:v>
                </c:pt>
                <c:pt idx="130">
                  <c:v>1.7333333333333334</c:v>
                </c:pt>
                <c:pt idx="131">
                  <c:v>1.7466666666666668</c:v>
                </c:pt>
                <c:pt idx="132">
                  <c:v>1.76</c:v>
                </c:pt>
                <c:pt idx="133">
                  <c:v>1.7733333333333334</c:v>
                </c:pt>
                <c:pt idx="134">
                  <c:v>1.7866666666666668</c:v>
                </c:pt>
                <c:pt idx="135">
                  <c:v>1.8</c:v>
                </c:pt>
                <c:pt idx="136">
                  <c:v>1.8133333333333335</c:v>
                </c:pt>
                <c:pt idx="137">
                  <c:v>1.8266666666666669</c:v>
                </c:pt>
                <c:pt idx="138">
                  <c:v>1.84</c:v>
                </c:pt>
                <c:pt idx="139">
                  <c:v>1.8533333333333335</c:v>
                </c:pt>
                <c:pt idx="140">
                  <c:v>1.8666666666666667</c:v>
                </c:pt>
                <c:pt idx="141">
                  <c:v>1.8800000000000001</c:v>
                </c:pt>
                <c:pt idx="142">
                  <c:v>1.8933333333333335</c:v>
                </c:pt>
                <c:pt idx="143">
                  <c:v>1.9066666666666667</c:v>
                </c:pt>
                <c:pt idx="144">
                  <c:v>1.9200000000000002</c:v>
                </c:pt>
                <c:pt idx="145">
                  <c:v>1.9333333333333333</c:v>
                </c:pt>
                <c:pt idx="146">
                  <c:v>1.9466666666666668</c:v>
                </c:pt>
                <c:pt idx="147">
                  <c:v>1.9600000000000002</c:v>
                </c:pt>
                <c:pt idx="148">
                  <c:v>1.9733333333333334</c:v>
                </c:pt>
                <c:pt idx="149">
                  <c:v>1.9866666666666668</c:v>
                </c:pt>
                <c:pt idx="150">
                  <c:v>2</c:v>
                </c:pt>
              </c:numCache>
            </c:numRef>
          </c:xVal>
          <c:yVal>
            <c:numRef>
              <c:f>Eff_vs_IOUT!$AO$7:$AO$157</c:f>
              <c:numCache>
                <c:formatCode>General</c:formatCode>
                <c:ptCount val="151"/>
                <c:pt idx="0">
                  <c:v>0</c:v>
                </c:pt>
                <c:pt idx="1">
                  <c:v>9.5689617630655765E-5</c:v>
                </c:pt>
                <c:pt idx="2">
                  <c:v>3.0813380331611641E-4</c:v>
                </c:pt>
                <c:pt idx="3">
                  <c:v>6.2276740232124629E-4</c:v>
                </c:pt>
                <c:pt idx="4">
                  <c:v>1.0365079752595156E-3</c:v>
                </c:pt>
                <c:pt idx="5">
                  <c:v>1.5486862426732167E-3</c:v>
                </c:pt>
                <c:pt idx="6">
                  <c:v>2.1596087897880166E-3</c:v>
                </c:pt>
                <c:pt idx="7">
                  <c:v>2.8700679535662065E-3</c:v>
                </c:pt>
                <c:pt idx="8">
                  <c:v>3.681126062726494E-3</c:v>
                </c:pt>
                <c:pt idx="9">
                  <c:v>4.5940056587083153E-3</c:v>
                </c:pt>
                <c:pt idx="10">
                  <c:v>5.6100280903275826E-3</c:v>
                </c:pt>
                <c:pt idx="11">
                  <c:v>1.3386211979257525E-3</c:v>
                </c:pt>
                <c:pt idx="12">
                  <c:v>1.4828171162930997E-3</c:v>
                </c:pt>
                <c:pt idx="13">
                  <c:v>1.6395518101706501E-3</c:v>
                </c:pt>
                <c:pt idx="14">
                  <c:v>1.8088252795584055E-3</c:v>
                </c:pt>
                <c:pt idx="15">
                  <c:v>1.990637524456365E-3</c:v>
                </c:pt>
                <c:pt idx="16">
                  <c:v>2.1849885448645277E-3</c:v>
                </c:pt>
                <c:pt idx="17">
                  <c:v>2.3918783407828955E-3</c:v>
                </c:pt>
                <c:pt idx="18">
                  <c:v>2.6113069122114673E-3</c:v>
                </c:pt>
                <c:pt idx="19">
                  <c:v>2.8432742591502423E-3</c:v>
                </c:pt>
                <c:pt idx="20">
                  <c:v>3.0877803815992223E-3</c:v>
                </c:pt>
                <c:pt idx="21">
                  <c:v>3.3448252795584051E-3</c:v>
                </c:pt>
                <c:pt idx="22">
                  <c:v>3.6144089530277929E-3</c:v>
                </c:pt>
                <c:pt idx="23">
                  <c:v>3.8965314020073861E-3</c:v>
                </c:pt>
                <c:pt idx="24">
                  <c:v>4.1911926264971812E-3</c:v>
                </c:pt>
                <c:pt idx="25">
                  <c:v>4.49839262649718E-3</c:v>
                </c:pt>
                <c:pt idx="26">
                  <c:v>4.8181314020073855E-3</c:v>
                </c:pt>
                <c:pt idx="27">
                  <c:v>5.1504089530277951E-3</c:v>
                </c:pt>
                <c:pt idx="28">
                  <c:v>5.4952252795584054E-3</c:v>
                </c:pt>
                <c:pt idx="29">
                  <c:v>5.8525803815992232E-3</c:v>
                </c:pt>
                <c:pt idx="30">
                  <c:v>6.2224742591502442E-3</c:v>
                </c:pt>
                <c:pt idx="31">
                  <c:v>6.6049069122114694E-3</c:v>
                </c:pt>
                <c:pt idx="32">
                  <c:v>6.9998783407828951E-3</c:v>
                </c:pt>
                <c:pt idx="33">
                  <c:v>7.4073885448645276E-3</c:v>
                </c:pt>
                <c:pt idx="34">
                  <c:v>7.8274375244563668E-3</c:v>
                </c:pt>
                <c:pt idx="35">
                  <c:v>8.2600252795584049E-3</c:v>
                </c:pt>
                <c:pt idx="36">
                  <c:v>8.705151810170654E-3</c:v>
                </c:pt>
                <c:pt idx="37">
                  <c:v>9.1628171162931003E-3</c:v>
                </c:pt>
                <c:pt idx="38">
                  <c:v>9.6330211979257525E-3</c:v>
                </c:pt>
                <c:pt idx="39">
                  <c:v>1.0115764055068609E-2</c:v>
                </c:pt>
                <c:pt idx="40">
                  <c:v>1.0611045687721674E-2</c:v>
                </c:pt>
                <c:pt idx="41">
                  <c:v>1.1118866095884939E-2</c:v>
                </c:pt>
                <c:pt idx="42">
                  <c:v>1.1639225279558407E-2</c:v>
                </c:pt>
                <c:pt idx="43">
                  <c:v>1.217212323874208E-2</c:v>
                </c:pt>
                <c:pt idx="44">
                  <c:v>1.2717559973435957E-2</c:v>
                </c:pt>
                <c:pt idx="45">
                  <c:v>1.3275535483640044E-2</c:v>
                </c:pt>
                <c:pt idx="46">
                  <c:v>1.3846049769354333E-2</c:v>
                </c:pt>
                <c:pt idx="47">
                  <c:v>1.4429102830578818E-2</c:v>
                </c:pt>
                <c:pt idx="48">
                  <c:v>1.5024694667313513E-2</c:v>
                </c:pt>
                <c:pt idx="49">
                  <c:v>1.56328252795584E-2</c:v>
                </c:pt>
                <c:pt idx="50">
                  <c:v>1.6253494667313507E-2</c:v>
                </c:pt>
                <c:pt idx="51">
                  <c:v>1.6886702830578814E-2</c:v>
                </c:pt>
                <c:pt idx="52">
                  <c:v>1.7532449769354329E-2</c:v>
                </c:pt>
                <c:pt idx="53">
                  <c:v>1.8190735483640041E-2</c:v>
                </c:pt>
                <c:pt idx="54">
                  <c:v>1.8861559973435964E-2</c:v>
                </c:pt>
                <c:pt idx="55">
                  <c:v>1.9544923238742084E-2</c:v>
                </c:pt>
                <c:pt idx="56">
                  <c:v>2.0240825279558412E-2</c:v>
                </c:pt>
                <c:pt idx="57">
                  <c:v>2.0949266095884943E-2</c:v>
                </c:pt>
                <c:pt idx="58">
                  <c:v>2.1670245687721679E-2</c:v>
                </c:pt>
                <c:pt idx="59">
                  <c:v>2.2403764055068616E-2</c:v>
                </c:pt>
                <c:pt idx="60">
                  <c:v>2.3149821197925764E-2</c:v>
                </c:pt>
                <c:pt idx="61">
                  <c:v>2.3908417116293101E-2</c:v>
                </c:pt>
                <c:pt idx="62">
                  <c:v>2.4679551810170654E-2</c:v>
                </c:pt>
                <c:pt idx="63">
                  <c:v>2.546322527955841E-2</c:v>
                </c:pt>
                <c:pt idx="64">
                  <c:v>2.625943752445636E-2</c:v>
                </c:pt>
                <c:pt idx="65">
                  <c:v>2.7068188544864525E-2</c:v>
                </c:pt>
                <c:pt idx="66">
                  <c:v>2.7889478340782897E-2</c:v>
                </c:pt>
                <c:pt idx="67">
                  <c:v>2.872330691221147E-2</c:v>
                </c:pt>
                <c:pt idx="68">
                  <c:v>2.9569674259150254E-2</c:v>
                </c:pt>
                <c:pt idx="69">
                  <c:v>3.0428580381599225E-2</c:v>
                </c:pt>
                <c:pt idx="70">
                  <c:v>3.1300025279558392E-2</c:v>
                </c:pt>
                <c:pt idx="71">
                  <c:v>3.2184008953027789E-2</c:v>
                </c:pt>
                <c:pt idx="72">
                  <c:v>3.3080531402007389E-2</c:v>
                </c:pt>
                <c:pt idx="73">
                  <c:v>3.398959262649718E-2</c:v>
                </c:pt>
                <c:pt idx="74">
                  <c:v>3.4911192626497188E-2</c:v>
                </c:pt>
                <c:pt idx="75">
                  <c:v>3.584533140200738E-2</c:v>
                </c:pt>
                <c:pt idx="76">
                  <c:v>3.6792008953027783E-2</c:v>
                </c:pt>
                <c:pt idx="77">
                  <c:v>3.7751225279558411E-2</c:v>
                </c:pt>
                <c:pt idx="78">
                  <c:v>3.8722980381599215E-2</c:v>
                </c:pt>
                <c:pt idx="79">
                  <c:v>3.9707274259150244E-2</c:v>
                </c:pt>
                <c:pt idx="80">
                  <c:v>4.0704106912211477E-2</c:v>
                </c:pt>
                <c:pt idx="81">
                  <c:v>4.17134783407829E-2</c:v>
                </c:pt>
                <c:pt idx="82">
                  <c:v>4.2735388544864535E-2</c:v>
                </c:pt>
                <c:pt idx="83">
                  <c:v>4.3769837524456366E-2</c:v>
                </c:pt>
                <c:pt idx="84">
                  <c:v>4.4816825279558416E-2</c:v>
                </c:pt>
                <c:pt idx="85">
                  <c:v>4.5876351810170655E-2</c:v>
                </c:pt>
                <c:pt idx="86">
                  <c:v>4.6948417116293106E-2</c:v>
                </c:pt>
                <c:pt idx="87">
                  <c:v>4.8033021197925782E-2</c:v>
                </c:pt>
                <c:pt idx="88">
                  <c:v>4.9130164055068606E-2</c:v>
                </c:pt>
                <c:pt idx="89">
                  <c:v>5.0239845687721697E-2</c:v>
                </c:pt>
                <c:pt idx="90">
                  <c:v>5.1362066095884965E-2</c:v>
                </c:pt>
                <c:pt idx="91">
                  <c:v>5.2496825279558415E-2</c:v>
                </c:pt>
                <c:pt idx="92">
                  <c:v>5.3644123238742097E-2</c:v>
                </c:pt>
                <c:pt idx="93">
                  <c:v>5.4803959973435935E-2</c:v>
                </c:pt>
                <c:pt idx="94">
                  <c:v>5.5976335483640033E-2</c:v>
                </c:pt>
                <c:pt idx="95">
                  <c:v>5.7161249769354348E-2</c:v>
                </c:pt>
                <c:pt idx="96">
                  <c:v>5.8358702830578812E-2</c:v>
                </c:pt>
                <c:pt idx="97">
                  <c:v>5.9568694667313536E-2</c:v>
                </c:pt>
                <c:pt idx="98">
                  <c:v>6.0791225279558395E-2</c:v>
                </c:pt>
                <c:pt idx="99">
                  <c:v>6.2026294667313533E-2</c:v>
                </c:pt>
                <c:pt idx="100">
                  <c:v>6.3273902830578821E-2</c:v>
                </c:pt>
                <c:pt idx="101">
                  <c:v>6.4534049769354326E-2</c:v>
                </c:pt>
                <c:pt idx="102">
                  <c:v>6.580673548364005E-2</c:v>
                </c:pt>
                <c:pt idx="103">
                  <c:v>6.7091959973436005E-2</c:v>
                </c:pt>
                <c:pt idx="104">
                  <c:v>6.8389723238742095E-2</c:v>
                </c:pt>
                <c:pt idx="105">
                  <c:v>6.9700025279558403E-2</c:v>
                </c:pt>
                <c:pt idx="106">
                  <c:v>7.1022866095884957E-2</c:v>
                </c:pt>
                <c:pt idx="107">
                  <c:v>7.2358245687721687E-2</c:v>
                </c:pt>
                <c:pt idx="108">
                  <c:v>7.3706164055068621E-2</c:v>
                </c:pt>
                <c:pt idx="109">
                  <c:v>7.5066621197925773E-2</c:v>
                </c:pt>
                <c:pt idx="110">
                  <c:v>7.6439617116293129E-2</c:v>
                </c:pt>
                <c:pt idx="111">
                  <c:v>7.7825151810170662E-2</c:v>
                </c:pt>
                <c:pt idx="112">
                  <c:v>7.9223225279558412E-2</c:v>
                </c:pt>
                <c:pt idx="113">
                  <c:v>8.0633837524456395E-2</c:v>
                </c:pt>
                <c:pt idx="114">
                  <c:v>8.2056988544864554E-2</c:v>
                </c:pt>
                <c:pt idx="115">
                  <c:v>8.349267834078293E-2</c:v>
                </c:pt>
                <c:pt idx="116">
                  <c:v>8.4940906912211483E-2</c:v>
                </c:pt>
                <c:pt idx="117">
                  <c:v>8.6401674259150241E-2</c:v>
                </c:pt>
                <c:pt idx="118">
                  <c:v>8.7874980381599271E-2</c:v>
                </c:pt>
                <c:pt idx="119">
                  <c:v>8.9360825279558395E-2</c:v>
                </c:pt>
                <c:pt idx="120">
                  <c:v>9.085920895302782E-2</c:v>
                </c:pt>
                <c:pt idx="121">
                  <c:v>9.2370131402007394E-2</c:v>
                </c:pt>
                <c:pt idx="122">
                  <c:v>9.3893592626497199E-2</c:v>
                </c:pt>
                <c:pt idx="123">
                  <c:v>9.5429592626497181E-2</c:v>
                </c:pt>
                <c:pt idx="124">
                  <c:v>9.6978131402007423E-2</c:v>
                </c:pt>
                <c:pt idx="125">
                  <c:v>9.8539208953027813E-2</c:v>
                </c:pt>
                <c:pt idx="126">
                  <c:v>0.10011282527955839</c:v>
                </c:pt>
                <c:pt idx="127">
                  <c:v>0.10169898038159923</c:v>
                </c:pt>
                <c:pt idx="128">
                  <c:v>0.10329767425915024</c:v>
                </c:pt>
                <c:pt idx="129">
                  <c:v>0.10490890691221148</c:v>
                </c:pt>
                <c:pt idx="130">
                  <c:v>0.10653267834078288</c:v>
                </c:pt>
                <c:pt idx="131">
                  <c:v>0.10816898854486449</c:v>
                </c:pt>
                <c:pt idx="132">
                  <c:v>0.10981783752445637</c:v>
                </c:pt>
                <c:pt idx="133">
                  <c:v>0.11147922527955841</c:v>
                </c:pt>
                <c:pt idx="134">
                  <c:v>0.11315315181017066</c:v>
                </c:pt>
                <c:pt idx="135">
                  <c:v>0.11483961711629308</c:v>
                </c:pt>
                <c:pt idx="136">
                  <c:v>0.11653862119792577</c:v>
                </c:pt>
                <c:pt idx="137">
                  <c:v>0.11825016405506864</c:v>
                </c:pt>
                <c:pt idx="138">
                  <c:v>0.11997424568772171</c:v>
                </c:pt>
                <c:pt idx="139">
                  <c:v>0.12171086609588495</c:v>
                </c:pt>
                <c:pt idx="140">
                  <c:v>0.12346002527955841</c:v>
                </c:pt>
                <c:pt idx="141">
                  <c:v>0.12522172323874212</c:v>
                </c:pt>
                <c:pt idx="142">
                  <c:v>0.12699595997343596</c:v>
                </c:pt>
                <c:pt idx="143">
                  <c:v>0.12878273548364008</c:v>
                </c:pt>
                <c:pt idx="144">
                  <c:v>0.13058204976935434</c:v>
                </c:pt>
                <c:pt idx="145">
                  <c:v>0.13239390283057878</c:v>
                </c:pt>
                <c:pt idx="146">
                  <c:v>0.1342182946673135</c:v>
                </c:pt>
                <c:pt idx="147">
                  <c:v>0.13605522527955843</c:v>
                </c:pt>
                <c:pt idx="148">
                  <c:v>0.13790469466731348</c:v>
                </c:pt>
                <c:pt idx="149">
                  <c:v>0.13976670283057882</c:v>
                </c:pt>
                <c:pt idx="150">
                  <c:v>0.14164124976935427</c:v>
                </c:pt>
              </c:numCache>
            </c:numRef>
          </c:yVal>
          <c:smooth val="1"/>
          <c:extLst>
            <c:ext xmlns:c16="http://schemas.microsoft.com/office/drawing/2014/chart" uri="{C3380CC4-5D6E-409C-BE32-E72D297353CC}">
              <c16:uniqueId val="{00000003-FB0F-41FC-80EF-B18199155D60}"/>
            </c:ext>
          </c:extLst>
        </c:ser>
        <c:dLbls>
          <c:showLegendKey val="0"/>
          <c:showVal val="0"/>
          <c:showCatName val="0"/>
          <c:showSerName val="0"/>
          <c:showPercent val="0"/>
          <c:showBubbleSize val="0"/>
        </c:dLbls>
        <c:axId val="175652224"/>
        <c:axId val="175650688"/>
      </c:scatterChart>
      <c:valAx>
        <c:axId val="175638784"/>
        <c:scaling>
          <c:orientation val="minMax"/>
          <c:max val="6"/>
        </c:scaling>
        <c:delete val="0"/>
        <c:axPos val="b"/>
        <c:majorGridlines/>
        <c:numFmt formatCode="General" sourceLinked="1"/>
        <c:majorTickMark val="out"/>
        <c:minorTickMark val="none"/>
        <c:tickLblPos val="nextTo"/>
        <c:crossAx val="175648768"/>
        <c:crosses val="autoZero"/>
        <c:crossBetween val="midCat"/>
      </c:valAx>
      <c:valAx>
        <c:axId val="175648768"/>
        <c:scaling>
          <c:orientation val="minMax"/>
          <c:max val="100"/>
          <c:min val="6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175638784"/>
        <c:crosses val="autoZero"/>
        <c:crossBetween val="midCat"/>
      </c:valAx>
      <c:valAx>
        <c:axId val="175650688"/>
        <c:scaling>
          <c:orientation val="minMax"/>
        </c:scaling>
        <c:delete val="0"/>
        <c:axPos val="r"/>
        <c:numFmt formatCode="General" sourceLinked="1"/>
        <c:majorTickMark val="out"/>
        <c:minorTickMark val="none"/>
        <c:tickLblPos val="nextTo"/>
        <c:crossAx val="175652224"/>
        <c:crosses val="max"/>
        <c:crossBetween val="midCat"/>
      </c:valAx>
      <c:valAx>
        <c:axId val="175652224"/>
        <c:scaling>
          <c:orientation val="minMax"/>
        </c:scaling>
        <c:delete val="1"/>
        <c:axPos val="b"/>
        <c:numFmt formatCode="General" sourceLinked="1"/>
        <c:majorTickMark val="out"/>
        <c:minorTickMark val="none"/>
        <c:tickLblPos val="nextTo"/>
        <c:crossAx val="175650688"/>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CCM 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Loop_Modeling!$AD$19:$AD$560</c:f>
              <c:numCache>
                <c:formatCode>0.000</c:formatCode>
                <c:ptCount val="542"/>
                <c:pt idx="0">
                  <c:v>24.281098685685244</c:v>
                </c:pt>
                <c:pt idx="1">
                  <c:v>24.281080383259685</c:v>
                </c:pt>
                <c:pt idx="2">
                  <c:v>24.281061218350107</c:v>
                </c:pt>
                <c:pt idx="3">
                  <c:v>24.281041150316849</c:v>
                </c:pt>
                <c:pt idx="4">
                  <c:v>24.281020136605669</c:v>
                </c:pt>
                <c:pt idx="5">
                  <c:v>24.280998132657913</c:v>
                </c:pt>
                <c:pt idx="6">
                  <c:v>24.280975091815499</c:v>
                </c:pt>
                <c:pt idx="7">
                  <c:v>24.280950965222768</c:v>
                </c:pt>
                <c:pt idx="8">
                  <c:v>24.280925701722417</c:v>
                </c:pt>
                <c:pt idx="9">
                  <c:v>24.280899247747577</c:v>
                </c:pt>
                <c:pt idx="10">
                  <c:v>24.280871547208065</c:v>
                </c:pt>
                <c:pt idx="11">
                  <c:v>24.280842541371808</c:v>
                </c:pt>
                <c:pt idx="12">
                  <c:v>24.280812168740336</c:v>
                </c:pt>
                <c:pt idx="13">
                  <c:v>24.28078036491857</c:v>
                </c:pt>
                <c:pt idx="14">
                  <c:v>24.280747062478603</c:v>
                </c:pt>
                <c:pt idx="15">
                  <c:v>24.2807121908168</c:v>
                </c:pt>
                <c:pt idx="16">
                  <c:v>24.280675676004407</c:v>
                </c:pt>
                <c:pt idx="17">
                  <c:v>24.280637440631136</c:v>
                </c:pt>
                <c:pt idx="18">
                  <c:v>24.280597403641146</c:v>
                </c:pt>
                <c:pt idx="19">
                  <c:v>24.28055548016173</c:v>
                </c:pt>
                <c:pt idx="20">
                  <c:v>24.280511581323466</c:v>
                </c:pt>
                <c:pt idx="21">
                  <c:v>24.280465614072572</c:v>
                </c:pt>
                <c:pt idx="22">
                  <c:v>24.280417480973469</c:v>
                </c:pt>
                <c:pt idx="23">
                  <c:v>24.280367080003323</c:v>
                </c:pt>
                <c:pt idx="24">
                  <c:v>24.280314304335736</c:v>
                </c:pt>
                <c:pt idx="25">
                  <c:v>24.280259042115262</c:v>
                </c:pt>
                <c:pt idx="26">
                  <c:v>24.280201176220523</c:v>
                </c:pt>
                <c:pt idx="27">
                  <c:v>24.280140584016902</c:v>
                </c:pt>
                <c:pt idx="28">
                  <c:v>24.280077137097077</c:v>
                </c:pt>
                <c:pt idx="29">
                  <c:v>24.280010701009903</c:v>
                </c:pt>
                <c:pt idx="30">
                  <c:v>24.279941134976095</c:v>
                </c:pt>
                <c:pt idx="31">
                  <c:v>24.279868291590923</c:v>
                </c:pt>
                <c:pt idx="32">
                  <c:v>24.279792016512761</c:v>
                </c:pt>
                <c:pt idx="33">
                  <c:v>24.279712148137243</c:v>
                </c:pt>
                <c:pt idx="34">
                  <c:v>24.279628517256118</c:v>
                </c:pt>
                <c:pt idx="35">
                  <c:v>24.279540946699605</c:v>
                </c:pt>
                <c:pt idx="36">
                  <c:v>24.279449250963236</c:v>
                </c:pt>
                <c:pt idx="37">
                  <c:v>24.279353235815808</c:v>
                </c:pt>
                <c:pt idx="38">
                  <c:v>24.279252697889838</c:v>
                </c:pt>
                <c:pt idx="39">
                  <c:v>24.279147424252926</c:v>
                </c:pt>
                <c:pt idx="40">
                  <c:v>24.279037191958427</c:v>
                </c:pt>
                <c:pt idx="41">
                  <c:v>24.278921767575831</c:v>
                </c:pt>
                <c:pt idx="42">
                  <c:v>24.278800906698798</c:v>
                </c:pt>
                <c:pt idx="43">
                  <c:v>24.278674353430524</c:v>
                </c:pt>
                <c:pt idx="44">
                  <c:v>24.278541839844415</c:v>
                </c:pt>
                <c:pt idx="45">
                  <c:v>24.278403085420539</c:v>
                </c:pt>
                <c:pt idx="46">
                  <c:v>24.278257796455371</c:v>
                </c:pt>
                <c:pt idx="47">
                  <c:v>24.278105665443551</c:v>
                </c:pt>
                <c:pt idx="48">
                  <c:v>24.277946370431891</c:v>
                </c:pt>
                <c:pt idx="49">
                  <c:v>24.277779574342148</c:v>
                </c:pt>
                <c:pt idx="50">
                  <c:v>24.277604924263251</c:v>
                </c:pt>
                <c:pt idx="51">
                  <c:v>24.277422050710221</c:v>
                </c:pt>
                <c:pt idx="52">
                  <c:v>24.277230566848456</c:v>
                </c:pt>
                <c:pt idx="53">
                  <c:v>24.277030067682439</c:v>
                </c:pt>
                <c:pt idx="54">
                  <c:v>24.276820129206218</c:v>
                </c:pt>
                <c:pt idx="55">
                  <c:v>24.276600307515452</c:v>
                </c:pt>
                <c:pt idx="56">
                  <c:v>24.276370137876924</c:v>
                </c:pt>
                <c:pt idx="57">
                  <c:v>24.276129133756697</c:v>
                </c:pt>
                <c:pt idx="58">
                  <c:v>24.27587678580139</c:v>
                </c:pt>
                <c:pt idx="59">
                  <c:v>24.27561256077421</c:v>
                </c:pt>
                <c:pt idx="60">
                  <c:v>24.275335900440606</c:v>
                </c:pt>
                <c:pt idx="61">
                  <c:v>24.27504622040319</c:v>
                </c:pt>
                <c:pt idx="62">
                  <c:v>24.274742908882363</c:v>
                </c:pt>
                <c:pt idx="63">
                  <c:v>24.27442532544163</c:v>
                </c:pt>
                <c:pt idx="64">
                  <c:v>24.27409279965374</c:v>
                </c:pt>
                <c:pt idx="65">
                  <c:v>24.27374462970548</c:v>
                </c:pt>
                <c:pt idx="66">
                  <c:v>24.27338008093923</c:v>
                </c:pt>
                <c:pt idx="67">
                  <c:v>24.272998384326719</c:v>
                </c:pt>
                <c:pt idx="68">
                  <c:v>24.272598734873728</c:v>
                </c:pt>
                <c:pt idx="69">
                  <c:v>24.272180289951617</c:v>
                </c:pt>
                <c:pt idx="70">
                  <c:v>24.271742167553146</c:v>
                </c:pt>
                <c:pt idx="71">
                  <c:v>24.271283444468011</c:v>
                </c:pt>
                <c:pt idx="72">
                  <c:v>24.27080315437648</c:v>
                </c:pt>
                <c:pt idx="73">
                  <c:v>24.270300285855985</c:v>
                </c:pt>
                <c:pt idx="74">
                  <c:v>24.269773780297506</c:v>
                </c:pt>
                <c:pt idx="75">
                  <c:v>24.269222529727863</c:v>
                </c:pt>
                <c:pt idx="76">
                  <c:v>24.268645374533591</c:v>
                </c:pt>
                <c:pt idx="77">
                  <c:v>24.268041101082787</c:v>
                </c:pt>
                <c:pt idx="78">
                  <c:v>24.267408439239606</c:v>
                </c:pt>
                <c:pt idx="79">
                  <c:v>24.266746059767907</c:v>
                </c:pt>
                <c:pt idx="80">
                  <c:v>24.266052571618488</c:v>
                </c:pt>
                <c:pt idx="81">
                  <c:v>24.265326519095701</c:v>
                </c:pt>
                <c:pt idx="82">
                  <c:v>24.264566378897861</c:v>
                </c:pt>
                <c:pt idx="83">
                  <c:v>24.263770557026653</c:v>
                </c:pt>
                <c:pt idx="84">
                  <c:v>24.262937385560036</c:v>
                </c:pt>
                <c:pt idx="85">
                  <c:v>24.262065119282809</c:v>
                </c:pt>
                <c:pt idx="86">
                  <c:v>24.261151932169419</c:v>
                </c:pt>
                <c:pt idx="87">
                  <c:v>24.260195913712799</c:v>
                </c:pt>
                <c:pt idx="88">
                  <c:v>24.259195065093646</c:v>
                </c:pt>
                <c:pt idx="89">
                  <c:v>24.258147295182788</c:v>
                </c:pt>
                <c:pt idx="90">
                  <c:v>24.25705041637115</c:v>
                </c:pt>
                <c:pt idx="91">
                  <c:v>24.255902140220577</c:v>
                </c:pt>
                <c:pt idx="92">
                  <c:v>24.254700072927516</c:v>
                </c:pt>
                <c:pt idx="93">
                  <c:v>24.253441710594345</c:v>
                </c:pt>
                <c:pt idx="94">
                  <c:v>24.252124434299255</c:v>
                </c:pt>
                <c:pt idx="95">
                  <c:v>24.250745504959177</c:v>
                </c:pt>
                <c:pt idx="96">
                  <c:v>24.249302057976202</c:v>
                </c:pt>
                <c:pt idx="97">
                  <c:v>24.24779109766202</c:v>
                </c:pt>
                <c:pt idx="98">
                  <c:v>24.24620949143074</c:v>
                </c:pt>
                <c:pt idx="99">
                  <c:v>24.244553963753127</c:v>
                </c:pt>
                <c:pt idx="100">
                  <c:v>24.242821089864073</c:v>
                </c:pt>
                <c:pt idx="101">
                  <c:v>24.241007289215105</c:v>
                </c:pt>
                <c:pt idx="102">
                  <c:v>24.239108818663514</c:v>
                </c:pt>
                <c:pt idx="103">
                  <c:v>24.237121765390736</c:v>
                </c:pt>
                <c:pt idx="104">
                  <c:v>24.2350420395403</c:v>
                </c:pt>
                <c:pt idx="105">
                  <c:v>24.232865366568998</c:v>
                </c:pt>
                <c:pt idx="106">
                  <c:v>24.230587279300991</c:v>
                </c:pt>
                <c:pt idx="107">
                  <c:v>24.228203109678962</c:v>
                </c:pt>
                <c:pt idx="108">
                  <c:v>24.225707980202529</c:v>
                </c:pt>
                <c:pt idx="109">
                  <c:v>24.223096795047269</c:v>
                </c:pt>
                <c:pt idx="110">
                  <c:v>24.22036423085661</c:v>
                </c:pt>
                <c:pt idx="111">
                  <c:v>24.217504727199042</c:v>
                </c:pt>
                <c:pt idx="112">
                  <c:v>24.21451247668454</c:v>
                </c:pt>
                <c:pt idx="113">
                  <c:v>24.211381414732621</c:v>
                </c:pt>
                <c:pt idx="114">
                  <c:v>24.208105208987703</c:v>
                </c:pt>
                <c:pt idx="115">
                  <c:v>24.204677248375074</c:v>
                </c:pt>
                <c:pt idx="116">
                  <c:v>24.201090631793996</c:v>
                </c:pt>
                <c:pt idx="117">
                  <c:v>24.197338156443422</c:v>
                </c:pt>
                <c:pt idx="118">
                  <c:v>24.193412305778381</c:v>
                </c:pt>
                <c:pt idx="119">
                  <c:v>24.189305237094011</c:v>
                </c:pt>
                <c:pt idx="120">
                  <c:v>24.185008768738477</c:v>
                </c:pt>
                <c:pt idx="121">
                  <c:v>24.180514366953929</c:v>
                </c:pt>
                <c:pt idx="122">
                  <c:v>24.175813132348786</c:v>
                </c:pt>
                <c:pt idx="123">
                  <c:v>24.170895786004817</c:v>
                </c:pt>
                <c:pt idx="124">
                  <c:v>24.1657526552255</c:v>
                </c:pt>
                <c:pt idx="125">
                  <c:v>24.16037365893277</c:v>
                </c:pt>
                <c:pt idx="126">
                  <c:v>24.154748292722882</c:v>
                </c:pt>
                <c:pt idx="127">
                  <c:v>24.14886561359388</c:v>
                </c:pt>
                <c:pt idx="128">
                  <c:v>24.142714224360024</c:v>
                </c:pt>
                <c:pt idx="129">
                  <c:v>24.136282257771487</c:v>
                </c:pt>
                <c:pt idx="130">
                  <c:v>24.129557360361254</c:v>
                </c:pt>
                <c:pt idx="131">
                  <c:v>24.122526676043783</c:v>
                </c:pt>
                <c:pt idx="132">
                  <c:v>24.115176829494736</c:v>
                </c:pt>
                <c:pt idx="133">
                  <c:v>24.107493909345322</c:v>
                </c:pt>
                <c:pt idx="134">
                  <c:v>24.099463451226914</c:v>
                </c:pt>
                <c:pt idx="135">
                  <c:v>24.091070420710942</c:v>
                </c:pt>
                <c:pt idx="136">
                  <c:v>24.082299196188789</c:v>
                </c:pt>
                <c:pt idx="137">
                  <c:v>24.073133551745421</c:v>
                </c:pt>
                <c:pt idx="138">
                  <c:v>24.063556640086418</c:v>
                </c:pt>
                <c:pt idx="139">
                  <c:v>24.053550975579935</c:v>
                </c:pt>
                <c:pt idx="140">
                  <c:v>24.043098417488448</c:v>
                </c:pt>
                <c:pt idx="141">
                  <c:v>24.032180153464576</c:v>
                </c:pt>
                <c:pt idx="142">
                  <c:v>24.020776683398179</c:v>
                </c:pt>
                <c:pt idx="143">
                  <c:v>24.008867803705751</c:v>
                </c:pt>
                <c:pt idx="144">
                  <c:v>23.99643259216278</c:v>
                </c:pt>
                <c:pt idx="145">
                  <c:v>23.983449393385921</c:v>
                </c:pt>
                <c:pt idx="146">
                  <c:v>23.969895805082299</c:v>
                </c:pt>
                <c:pt idx="147">
                  <c:v>23.955748665188608</c:v>
                </c:pt>
                <c:pt idx="148">
                  <c:v>23.940984040034028</c:v>
                </c:pt>
                <c:pt idx="149">
                  <c:v>23.925577213667061</c:v>
                </c:pt>
                <c:pt idx="150">
                  <c:v>23.909502678496551</c:v>
                </c:pt>
                <c:pt idx="151">
                  <c:v>23.892734127404115</c:v>
                </c:pt>
                <c:pt idx="152">
                  <c:v>23.87524444749377</c:v>
                </c:pt>
                <c:pt idx="153">
                  <c:v>23.857005715653244</c:v>
                </c:pt>
                <c:pt idx="154">
                  <c:v>23.83798919610722</c:v>
                </c:pt>
                <c:pt idx="155">
                  <c:v>23.818165340150198</c:v>
                </c:pt>
                <c:pt idx="156">
                  <c:v>23.797503788253227</c:v>
                </c:pt>
                <c:pt idx="157">
                  <c:v>23.775973374742385</c:v>
                </c:pt>
                <c:pt idx="158">
                  <c:v>23.753542135253007</c:v>
                </c:pt>
                <c:pt idx="159">
                  <c:v>23.730177317164145</c:v>
                </c:pt>
                <c:pt idx="160">
                  <c:v>23.705845393220592</c:v>
                </c:pt>
                <c:pt idx="161">
                  <c:v>23.680512078549128</c:v>
                </c:pt>
                <c:pt idx="162">
                  <c:v>23.654142351273137</c:v>
                </c:pt>
                <c:pt idx="163">
                  <c:v>23.626700476925187</c:v>
                </c:pt>
                <c:pt idx="164">
                  <c:v>23.598150036852253</c:v>
                </c:pt>
                <c:pt idx="165">
                  <c:v>23.568453960795985</c:v>
                </c:pt>
                <c:pt idx="166">
                  <c:v>23.5375745638223</c:v>
                </c:pt>
                <c:pt idx="167">
                  <c:v>23.505473587756942</c:v>
                </c:pt>
                <c:pt idx="168">
                  <c:v>23.472112247267471</c:v>
                </c:pt>
                <c:pt idx="169">
                  <c:v>23.437451280710462</c:v>
                </c:pt>
                <c:pt idx="170">
                  <c:v>23.401451005838922</c:v>
                </c:pt>
                <c:pt idx="171">
                  <c:v>23.364071380436378</c:v>
                </c:pt>
                <c:pt idx="172">
                  <c:v>23.325272067914234</c:v>
                </c:pt>
                <c:pt idx="173">
                  <c:v>23.285012507872498</c:v>
                </c:pt>
                <c:pt idx="174">
                  <c:v>23.24325199158897</c:v>
                </c:pt>
                <c:pt idx="175">
                  <c:v>23.199949742357362</c:v>
                </c:pt>
                <c:pt idx="176">
                  <c:v>23.155065000553854</c:v>
                </c:pt>
                <c:pt idx="177">
                  <c:v>23.108557113263586</c:v>
                </c:pt>
                <c:pt idx="178">
                  <c:v>23.060385628248742</c:v>
                </c:pt>
                <c:pt idx="179">
                  <c:v>23.010510391991229</c:v>
                </c:pt>
                <c:pt idx="180">
                  <c:v>22.958891651487562</c:v>
                </c:pt>
                <c:pt idx="181">
                  <c:v>22.905490159424446</c:v>
                </c:pt>
                <c:pt idx="182">
                  <c:v>22.850267282307048</c:v>
                </c:pt>
                <c:pt idx="183">
                  <c:v>22.7931851110616</c:v>
                </c:pt>
                <c:pt idx="184">
                  <c:v>22.734206573582583</c:v>
                </c:pt>
                <c:pt idx="185">
                  <c:v>22.673295548647157</c:v>
                </c:pt>
                <c:pt idx="186">
                  <c:v>22.610416980573014</c:v>
                </c:pt>
                <c:pt idx="187">
                  <c:v>22.545536993955913</c:v>
                </c:pt>
                <c:pt idx="188">
                  <c:v>22.47862300778738</c:v>
                </c:pt>
                <c:pt idx="189">
                  <c:v>22.409643848222352</c:v>
                </c:pt>
                <c:pt idx="190">
                  <c:v>22.338569859244171</c:v>
                </c:pt>
                <c:pt idx="191">
                  <c:v>22.265373010458941</c:v>
                </c:pt>
                <c:pt idx="192">
                  <c:v>22.190027001242811</c:v>
                </c:pt>
                <c:pt idx="193">
                  <c:v>22.112507360468854</c:v>
                </c:pt>
                <c:pt idx="194">
                  <c:v>22.032791541049651</c:v>
                </c:pt>
                <c:pt idx="195">
                  <c:v>21.950859008552555</c:v>
                </c:pt>
                <c:pt idx="196">
                  <c:v>21.866691323174386</c:v>
                </c:pt>
                <c:pt idx="197">
                  <c:v>21.780272214401315</c:v>
                </c:pt>
                <c:pt idx="198">
                  <c:v>21.69158764772849</c:v>
                </c:pt>
                <c:pt idx="199">
                  <c:v>21.600625882872105</c:v>
                </c:pt>
                <c:pt idx="200">
                  <c:v>21.507377522970312</c:v>
                </c:pt>
                <c:pt idx="201">
                  <c:v>21.411835554345213</c:v>
                </c:pt>
                <c:pt idx="202">
                  <c:v>21.313995376474377</c:v>
                </c:pt>
                <c:pt idx="203">
                  <c:v>21.213854821908132</c:v>
                </c:pt>
                <c:pt idx="204">
                  <c:v>21.111414165954567</c:v>
                </c:pt>
                <c:pt idx="205">
                  <c:v>21.006676126048887</c:v>
                </c:pt>
                <c:pt idx="206">
                  <c:v>20.899645850812732</c:v>
                </c:pt>
                <c:pt idx="207">
                  <c:v>20.790330898905985</c:v>
                </c:pt>
                <c:pt idx="208">
                  <c:v>20.678741207860135</c:v>
                </c:pt>
                <c:pt idx="209">
                  <c:v>20.564889053175218</c:v>
                </c:pt>
                <c:pt idx="210">
                  <c:v>20.448788998041366</c:v>
                </c:pt>
                <c:pt idx="211">
                  <c:v>20.330457834129049</c:v>
                </c:pt>
                <c:pt idx="212">
                  <c:v>20.209914513960797</c:v>
                </c:pt>
                <c:pt idx="213">
                  <c:v>20.087180075442696</c:v>
                </c:pt>
                <c:pt idx="214">
                  <c:v>19.962277559190536</c:v>
                </c:pt>
                <c:pt idx="215">
                  <c:v>19.835231919332202</c:v>
                </c:pt>
                <c:pt idx="216">
                  <c:v>19.706069928504967</c:v>
                </c:pt>
                <c:pt idx="217">
                  <c:v>19.574820077796915</c:v>
                </c:pt>
                <c:pt idx="218">
                  <c:v>19.441512472397626</c:v>
                </c:pt>
                <c:pt idx="219">
                  <c:v>19.306178723734828</c:v>
                </c:pt>
                <c:pt idx="220">
                  <c:v>19.168851838873174</c:v>
                </c:pt>
                <c:pt idx="221">
                  <c:v>19.0295661079412</c:v>
                </c:pt>
                <c:pt idx="222">
                  <c:v>18.888356990339112</c:v>
                </c:pt>
                <c:pt idx="223">
                  <c:v>18.745261000451606</c:v>
                </c:pt>
                <c:pt idx="224">
                  <c:v>18.600315593563423</c:v>
                </c:pt>
                <c:pt idx="225">
                  <c:v>18.453559052634819</c:v>
                </c:pt>
                <c:pt idx="226">
                  <c:v>18.305030376555489</c:v>
                </c:pt>
                <c:pt idx="227">
                  <c:v>18.154769170447928</c:v>
                </c:pt>
                <c:pt idx="228">
                  <c:v>18.002815538544187</c:v>
                </c:pt>
                <c:pt idx="229">
                  <c:v>17.849209980105229</c:v>
                </c:pt>
                <c:pt idx="230">
                  <c:v>17.693993288806713</c:v>
                </c:pt>
                <c:pt idx="231">
                  <c:v>17.5372064559532</c:v>
                </c:pt>
                <c:pt idx="232">
                  <c:v>17.37889057783768</c:v>
                </c:pt>
                <c:pt idx="233">
                  <c:v>17.219086767506703</c:v>
                </c:pt>
                <c:pt idx="234">
                  <c:v>17.057836071141764</c:v>
                </c:pt>
                <c:pt idx="235">
                  <c:v>16.895179389220875</c:v>
                </c:pt>
                <c:pt idx="236">
                  <c:v>16.731157402574834</c:v>
                </c:pt>
                <c:pt idx="237">
                  <c:v>16.565810503412234</c:v>
                </c:pt>
                <c:pt idx="238">
                  <c:v>16.399178731343905</c:v>
                </c:pt>
                <c:pt idx="239">
                  <c:v>16.231301714403081</c:v>
                </c:pt>
                <c:pt idx="240">
                  <c:v>16.062218615020747</c:v>
                </c:pt>
                <c:pt idx="241">
                  <c:v>15.891968080887814</c:v>
                </c:pt>
                <c:pt idx="242">
                  <c:v>15.720588200605688</c:v>
                </c:pt>
                <c:pt idx="243">
                  <c:v>15.548116464006858</c:v>
                </c:pt>
                <c:pt idx="244">
                  <c:v>15.374589727002126</c:v>
                </c:pt>
                <c:pt idx="245">
                  <c:v>15.200044180798857</c:v>
                </c:pt>
                <c:pt idx="246">
                  <c:v>15.024515325315853</c:v>
                </c:pt>
                <c:pt idx="247">
                  <c:v>14.848037946612784</c:v>
                </c:pt>
                <c:pt idx="248">
                  <c:v>14.670646098141418</c:v>
                </c:pt>
                <c:pt idx="249">
                  <c:v>14.49237308562007</c:v>
                </c:pt>
                <c:pt idx="250">
                  <c:v>14.313251455329883</c:v>
                </c:pt>
                <c:pt idx="251">
                  <c:v>14.133312985628359</c:v>
                </c:pt>
                <c:pt idx="252">
                  <c:v>13.95258868147655</c:v>
                </c:pt>
                <c:pt idx="253">
                  <c:v>13.771108771777312</c:v>
                </c:pt>
                <c:pt idx="254">
                  <c:v>13.588902709326243</c:v>
                </c:pt>
                <c:pt idx="255">
                  <c:v>13.405999173178913</c:v>
                </c:pt>
                <c:pt idx="256">
                  <c:v>13.22242607324725</c:v>
                </c:pt>
                <c:pt idx="257">
                  <c:v>13.038210556939259</c:v>
                </c:pt>
                <c:pt idx="258">
                  <c:v>12.853379017667814</c:v>
                </c:pt>
                <c:pt idx="259">
                  <c:v>12.667957105058921</c:v>
                </c:pt>
                <c:pt idx="260">
                  <c:v>12.481969736698797</c:v>
                </c:pt>
                <c:pt idx="261">
                  <c:v>12.29544111126723</c:v>
                </c:pt>
                <c:pt idx="262">
                  <c:v>12.1083947229135</c:v>
                </c:pt>
                <c:pt idx="263">
                  <c:v>11.920853376738997</c:v>
                </c:pt>
                <c:pt idx="264">
                  <c:v>11.732839205260099</c:v>
                </c:pt>
                <c:pt idx="265">
                  <c:v>11.54437368573287</c:v>
                </c:pt>
                <c:pt idx="266">
                  <c:v>11.355477658229498</c:v>
                </c:pt>
                <c:pt idx="267">
                  <c:v>11.166171344365432</c:v>
                </c:pt>
                <c:pt idx="268">
                  <c:v>10.976474366583211</c:v>
                </c:pt>
                <c:pt idx="269">
                  <c:v>10.786405767907269</c:v>
                </c:pt>
                <c:pt idx="270">
                  <c:v>10.595984032091771</c:v>
                </c:pt>
                <c:pt idx="271">
                  <c:v>10.40522710408996</c:v>
                </c:pt>
                <c:pt idx="272">
                  <c:v>10.214152410781949</c:v>
                </c:pt>
                <c:pt idx="273">
                  <c:v>10.022776881901361</c:v>
                </c:pt>
                <c:pt idx="274">
                  <c:v>9.8311169711120403</c:v>
                </c:pt>
                <c:pt idx="275">
                  <c:v>9.6391886771871924</c:v>
                </c:pt>
                <c:pt idx="276">
                  <c:v>9.4470075652519281</c:v>
                </c:pt>
                <c:pt idx="277">
                  <c:v>9.254588788054857</c:v>
                </c:pt>
                <c:pt idx="278">
                  <c:v>9.0619471072377173</c:v>
                </c:pt>
                <c:pt idx="279">
                  <c:v>8.8690969145785044</c:v>
                </c:pt>
                <c:pt idx="280">
                  <c:v>8.6760522531870716</c:v>
                </c:pt>
                <c:pt idx="281">
                  <c:v>8.4828268386351233</c:v>
                </c:pt>
                <c:pt idx="282">
                  <c:v>8.2894340800078314</c:v>
                </c:pt>
                <c:pt idx="283">
                  <c:v>8.0958871008660722</c:v>
                </c:pt>
                <c:pt idx="284">
                  <c:v>7.9021987601127384</c:v>
                </c:pt>
                <c:pt idx="285">
                  <c:v>7.7083816727576515</c:v>
                </c:pt>
                <c:pt idx="286">
                  <c:v>7.5144482305800064</c:v>
                </c:pt>
                <c:pt idx="287">
                  <c:v>7.3204106226880956</c:v>
                </c:pt>
                <c:pt idx="288">
                  <c:v>7.1262808559785036</c:v>
                </c:pt>
                <c:pt idx="289">
                  <c:v>6.9320707754997999</c:v>
                </c:pt>
                <c:pt idx="290">
                  <c:v>6.7377920847248873</c:v>
                </c:pt>
                <c:pt idx="291">
                  <c:v>6.5434563657411102</c:v>
                </c:pt>
                <c:pt idx="292">
                  <c:v>6.3490750993641516</c:v>
                </c:pt>
                <c:pt idx="293">
                  <c:v>6.1546596851875792</c:v>
                </c:pt>
                <c:pt idx="294">
                  <c:v>5.9602214615758307</c:v>
                </c:pt>
                <c:pt idx="295">
                  <c:v>5.7657717256127086</c:v>
                </c:pt>
                <c:pt idx="296">
                  <c:v>5.5713217530167114</c:v>
                </c:pt>
                <c:pt idx="297">
                  <c:v>5.3768828180337334</c:v>
                </c:pt>
                <c:pt idx="298">
                  <c:v>5.1824662133194055</c:v>
                </c:pt>
                <c:pt idx="299">
                  <c:v>4.9880832698227167</c:v>
                </c:pt>
                <c:pt idx="300">
                  <c:v>4.7937453766816107</c:v>
                </c:pt>
                <c:pt idx="301">
                  <c:v>4.5994640011422625</c:v>
                </c:pt>
                <c:pt idx="302">
                  <c:v>4.4052507085109731</c:v>
                </c:pt>
                <c:pt idx="303">
                  <c:v>4.2111171821499926</c:v>
                </c:pt>
                <c:pt idx="304">
                  <c:v>4.0170752435239701</c:v>
                </c:pt>
                <c:pt idx="305">
                  <c:v>3.823136872305831</c:v>
                </c:pt>
                <c:pt idx="306">
                  <c:v>3.6293142265469314</c:v>
                </c:pt>
                <c:pt idx="307">
                  <c:v>3.4356196629178597</c:v>
                </c:pt>
                <c:pt idx="308">
                  <c:v>3.2420657570191653</c:v>
                </c:pt>
                <c:pt idx="309">
                  <c:v>3.0486653237673043</c:v>
                </c:pt>
                <c:pt idx="310">
                  <c:v>2.8554314378507302</c:v>
                </c:pt>
                <c:pt idx="311">
                  <c:v>2.6623774542530203</c:v>
                </c:pt>
                <c:pt idx="312">
                  <c:v>2.4695170288376813</c:v>
                </c:pt>
                <c:pt idx="313">
                  <c:v>2.2768641389843061</c:v>
                </c:pt>
                <c:pt idx="314">
                  <c:v>2.0844331042621715</c:v>
                </c:pt>
                <c:pt idx="315">
                  <c:v>1.8922386071263055</c:v>
                </c:pt>
                <c:pt idx="316">
                  <c:v>1.7002957136161891</c:v>
                </c:pt>
                <c:pt idx="317">
                  <c:v>1.5086198940305566</c:v>
                </c:pt>
                <c:pt idx="318">
                  <c:v>1.3172270435526381</c:v>
                </c:pt>
                <c:pt idx="319">
                  <c:v>1.1261335027893269</c:v>
                </c:pt>
                <c:pt idx="320">
                  <c:v>0.93535607818765154</c:v>
                </c:pt>
                <c:pt idx="321">
                  <c:v>0.74491206228438511</c:v>
                </c:pt>
                <c:pt idx="322">
                  <c:v>0.55481925373744678</c:v>
                </c:pt>
                <c:pt idx="323">
                  <c:v>0.36509597708579822</c:v>
                </c:pt>
                <c:pt idx="324">
                  <c:v>0.17576110217168942</c:v>
                </c:pt>
                <c:pt idx="325">
                  <c:v>-1.3165936840053107E-2</c:v>
                </c:pt>
                <c:pt idx="326">
                  <c:v>-0.20166512292391317</c:v>
                </c:pt>
                <c:pt idx="327">
                  <c:v>-0.38971583822211009</c:v>
                </c:pt>
                <c:pt idx="328">
                  <c:v>-0.57729684672723713</c:v>
                </c:pt>
                <c:pt idx="329">
                  <c:v>-0.76438627772292367</c:v>
                </c:pt>
                <c:pt idx="330">
                  <c:v>-0.95096161008683122</c:v>
                </c:pt>
                <c:pt idx="331">
                  <c:v>-1.1369996575751422</c:v>
                </c:pt>
                <c:pt idx="332">
                  <c:v>-1.3224765552107152</c:v>
                </c:pt>
                <c:pt idx="333">
                  <c:v>-1.507367746911408</c:v>
                </c:pt>
                <c:pt idx="334">
                  <c:v>-1.691647974497525</c:v>
                </c:pt>
                <c:pt idx="335">
                  <c:v>-1.8752912682332279</c:v>
                </c:pt>
                <c:pt idx="336">
                  <c:v>-2.0582709390570049</c:v>
                </c:pt>
                <c:pt idx="337">
                  <c:v>-2.2405595726727636</c:v>
                </c:pt>
                <c:pt idx="338">
                  <c:v>-2.4221290256748338</c:v>
                </c:pt>
                <c:pt idx="339">
                  <c:v>-2.602950423890646</c:v>
                </c:pt>
                <c:pt idx="340">
                  <c:v>-2.7829941631302342</c:v>
                </c:pt>
                <c:pt idx="341">
                  <c:v>-2.9622299125394851</c:v>
                </c:pt>
                <c:pt idx="342">
                  <c:v>-3.1406266207564744</c:v>
                </c:pt>
                <c:pt idx="343">
                  <c:v>-3.3181525250758965</c:v>
                </c:pt>
                <c:pt idx="344">
                  <c:v>-3.4947751638294022</c:v>
                </c:pt>
                <c:pt idx="345">
                  <c:v>-3.6704613921888511</c:v>
                </c:pt>
                <c:pt idx="346">
                  <c:v>-3.845177401600917</c:v>
                </c:pt>
                <c:pt idx="347">
                  <c:v>-4.0188887430566922</c:v>
                </c:pt>
                <c:pt idx="348">
                  <c:v>-4.1915603543975468</c:v>
                </c:pt>
                <c:pt idx="349">
                  <c:v>-4.3631565918490791</c:v>
                </c:pt>
                <c:pt idx="350">
                  <c:v>-4.5336412659663079</c:v>
                </c:pt>
                <c:pt idx="351">
                  <c:v>-4.7029776821607969</c:v>
                </c:pt>
                <c:pt idx="352">
                  <c:v>-4.8711286859644725</c:v>
                </c:pt>
                <c:pt idx="353">
                  <c:v>-5.0380567131664442</c:v>
                </c:pt>
                <c:pt idx="354">
                  <c:v>-5.2037238449372056</c:v>
                </c:pt>
                <c:pt idx="355">
                  <c:v>-5.3680918680293486</c:v>
                </c:pt>
                <c:pt idx="356">
                  <c:v>-5.5311223401156262</c:v>
                </c:pt>
                <c:pt idx="357">
                  <c:v>-5.6927766602918801</c:v>
                </c:pt>
                <c:pt idx="358">
                  <c:v>-5.8530161447385076</c:v>
                </c:pt>
                <c:pt idx="359">
                  <c:v>-6.0118021074935948</c:v>
                </c:pt>
                <c:pt idx="360">
                  <c:v>-6.169095946250879</c:v>
                </c:pt>
                <c:pt idx="361">
                  <c:v>-6.3248592330479623</c:v>
                </c:pt>
                <c:pt idx="362">
                  <c:v>-6.4790538096664356</c:v>
                </c:pt>
                <c:pt idx="363">
                  <c:v>-6.6316418875117025</c:v>
                </c:pt>
                <c:pt idx="364">
                  <c:v>-6.7825861516937369</c:v>
                </c:pt>
                <c:pt idx="365">
                  <c:v>-6.9318498689720398</c:v>
                </c:pt>
                <c:pt idx="366">
                  <c:v>-7.0793969991800401</c:v>
                </c:pt>
                <c:pt idx="367">
                  <c:v>-7.2251923096882686</c:v>
                </c:pt>
                <c:pt idx="368">
                  <c:v>-7.3692014924136728</c:v>
                </c:pt>
                <c:pt idx="369">
                  <c:v>-7.5113912828346798</c:v>
                </c:pt>
                <c:pt idx="370">
                  <c:v>-7.6517295804204997</c:v>
                </c:pt>
                <c:pt idx="371">
                  <c:v>-7.7901855698427394</c:v>
                </c:pt>
                <c:pt idx="372">
                  <c:v>-7.9267298422943337</c:v>
                </c:pt>
                <c:pt idx="373">
                  <c:v>-8.0613345162096977</c:v>
                </c:pt>
                <c:pt idx="374">
                  <c:v>-8.1939733566490922</c:v>
                </c:pt>
                <c:pt idx="375">
                  <c:v>-8.3246218925908977</c:v>
                </c:pt>
                <c:pt idx="376">
                  <c:v>-8.4532575313613432</c:v>
                </c:pt>
                <c:pt idx="377">
                  <c:v>-8.5798596694263729</c:v>
                </c:pt>
                <c:pt idx="378">
                  <c:v>-8.7044097987732574</c:v>
                </c:pt>
                <c:pt idx="379">
                  <c:v>-8.8268916081246829</c:v>
                </c:pt>
                <c:pt idx="380">
                  <c:v>-8.9472910782470159</c:v>
                </c:pt>
                <c:pt idx="381">
                  <c:v>-9.0655965706508308</c:v>
                </c:pt>
                <c:pt idx="382">
                  <c:v>-9.1817989090181822</c:v>
                </c:pt>
                <c:pt idx="383">
                  <c:v>-9.2958914527455025</c:v>
                </c:pt>
                <c:pt idx="384">
                  <c:v>-9.4078701620471996</c:v>
                </c:pt>
                <c:pt idx="385">
                  <c:v>-9.5177336541317192</c:v>
                </c:pt>
                <c:pt idx="386">
                  <c:v>-9.6254832500369627</c:v>
                </c:pt>
                <c:pt idx="387">
                  <c:v>-9.7311230117887</c:v>
                </c:pt>
                <c:pt idx="388">
                  <c:v>-9.8346597696311484</c:v>
                </c:pt>
                <c:pt idx="389">
                  <c:v>-9.9361031391657946</c:v>
                </c:pt>
                <c:pt idx="390">
                  <c:v>-10.03546552832352</c:v>
                </c:pt>
                <c:pt idx="391">
                  <c:v>-10.132762134185221</c:v>
                </c:pt>
                <c:pt idx="392">
                  <c:v>-10.228010929755387</c:v>
                </c:pt>
                <c:pt idx="393">
                  <c:v>-10.321232640879543</c:v>
                </c:pt>
                <c:pt idx="394">
                  <c:v>-10.412450713579366</c:v>
                </c:pt>
                <c:pt idx="395">
                  <c:v>-10.501691272158597</c:v>
                </c:pt>
                <c:pt idx="396">
                  <c:v>-10.58898306850354</c:v>
                </c:pt>
                <c:pt idx="397">
                  <c:v>-10.674357423067633</c:v>
                </c:pt>
                <c:pt idx="398">
                  <c:v>-10.757848158086375</c:v>
                </c:pt>
                <c:pt idx="399">
                  <c:v>-10.83949152361625</c:v>
                </c:pt>
                <c:pt idx="400">
                  <c:v>-10.919326117030288</c:v>
                </c:pt>
                <c:pt idx="401">
                  <c:v>-10.997392796631789</c:v>
                </c:pt>
                <c:pt idx="402">
                  <c:v>-11.073734590066259</c:v>
                </c:pt>
                <c:pt idx="403">
                  <c:v>-11.148396598221538</c:v>
                </c:pt>
                <c:pt idx="404">
                  <c:v>-11.221425895303852</c:v>
                </c:pt>
                <c:pt idx="405">
                  <c:v>-11.292871425770157</c:v>
                </c:pt>
                <c:pt idx="406">
                  <c:v>-11.362783898775788</c:v>
                </c:pt>
                <c:pt idx="407">
                  <c:v>-11.431215680772027</c:v>
                </c:pt>
                <c:pt idx="408">
                  <c:v>-11.498220686852406</c:v>
                </c:pt>
                <c:pt idx="409">
                  <c:v>-11.563854271407081</c:v>
                </c:pt>
                <c:pt idx="410">
                  <c:v>-11.628173118597205</c:v>
                </c:pt>
                <c:pt idx="411">
                  <c:v>-11.691235133112679</c:v>
                </c:pt>
                <c:pt idx="412">
                  <c:v>-11.753099331619104</c:v>
                </c:pt>
                <c:pt idx="413">
                  <c:v>-11.813825735244842</c:v>
                </c:pt>
                <c:pt idx="414">
                  <c:v>-11.873475263400739</c:v>
                </c:pt>
                <c:pt idx="415">
                  <c:v>-11.932109629163161</c:v>
                </c:pt>
                <c:pt idx="416">
                  <c:v>-11.989791236394304</c:v>
                </c:pt>
                <c:pt idx="417">
                  <c:v>-12.04658307871407</c:v>
                </c:pt>
                <c:pt idx="418">
                  <c:v>-12.102548640381723</c:v>
                </c:pt>
                <c:pt idx="419">
                  <c:v>-12.157751799092884</c:v>
                </c:pt>
                <c:pt idx="420">
                  <c:v>-12.212256730644608</c:v>
                </c:pt>
                <c:pt idx="421">
                  <c:v>-12.266127815377729</c:v>
                </c:pt>
                <c:pt idx="422">
                  <c:v>-12.319429546260618</c:v>
                </c:pt>
                <c:pt idx="423">
                  <c:v>-12.372226438443638</c:v>
                </c:pt>
                <c:pt idx="424">
                  <c:v>-12.424582940080509</c:v>
                </c:pt>
                <c:pt idx="425">
                  <c:v>-12.47656334418528</c:v>
                </c:pt>
                <c:pt idx="426">
                  <c:v>-12.528231701276285</c:v>
                </c:pt>
                <c:pt idx="427">
                  <c:v>-12.579651732540903</c:v>
                </c:pt>
                <c:pt idx="428">
                  <c:v>-12.630886743248253</c:v>
                </c:pt>
                <c:pt idx="429">
                  <c:v>-12.681999536136219</c:v>
                </c:pt>
                <c:pt idx="430">
                  <c:v>-12.733052324502104</c:v>
                </c:pt>
                <c:pt idx="431">
                  <c:v>-12.784106644738706</c:v>
                </c:pt>
                <c:pt idx="432">
                  <c:v>-12.835223268075373</c:v>
                </c:pt>
                <c:pt idx="433">
                  <c:v>-12.886462111306113</c:v>
                </c:pt>
                <c:pt idx="434">
                  <c:v>-12.937882146320046</c:v>
                </c:pt>
                <c:pt idx="435">
                  <c:v>-12.989541308280721</c:v>
                </c:pt>
                <c:pt idx="436">
                  <c:v>-13.041496402348615</c:v>
                </c:pt>
                <c:pt idx="437">
                  <c:v>-13.093803008881739</c:v>
                </c:pt>
                <c:pt idx="438">
                  <c:v>-13.146515387108051</c:v>
                </c:pt>
                <c:pt idx="439">
                  <c:v>-13.199686377313158</c:v>
                </c:pt>
                <c:pt idx="440">
                  <c:v>-13.253367301652389</c:v>
                </c:pt>
                <c:pt idx="441">
                  <c:v>-13.307607863757715</c:v>
                </c:pt>
                <c:pt idx="442">
                  <c:v>-13.362456047375309</c:v>
                </c:pt>
                <c:pt idx="443">
                  <c:v>-13.417958014340012</c:v>
                </c:pt>
                <c:pt idx="444">
                  <c:v>-13.474158002259383</c:v>
                </c:pt>
                <c:pt idx="445">
                  <c:v>-13.531098222350437</c:v>
                </c:pt>
                <c:pt idx="446">
                  <c:v>-13.58881875793994</c:v>
                </c:pt>
                <c:pt idx="447">
                  <c:v>-13.647357464203909</c:v>
                </c:pt>
                <c:pt idx="448">
                  <c:v>-13.706749869786689</c:v>
                </c:pt>
                <c:pt idx="449">
                  <c:v>-13.7670290809964</c:v>
                </c:pt>
                <c:pt idx="450">
                  <c:v>-13.828225689329187</c:v>
                </c:pt>
                <c:pt idx="451">
                  <c:v>-13.890367683119598</c:v>
                </c:pt>
                <c:pt idx="452">
                  <c:v>-13.953480364155626</c:v>
                </c:pt>
                <c:pt idx="453">
                  <c:v>-14.017586270126866</c:v>
                </c:pt>
                <c:pt idx="454">
                  <c:v>-14.082705103796652</c:v>
                </c:pt>
                <c:pt idx="455">
                  <c:v>-14.148853669800799</c:v>
                </c:pt>
                <c:pt idx="456">
                  <c:v>-14.216045819974557</c:v>
                </c:pt>
                <c:pt idx="457">
                  <c:v>-14.284292408101658</c:v>
                </c:pt>
                <c:pt idx="458">
                  <c:v>-14.353601254953624</c:v>
                </c:pt>
                <c:pt idx="459">
                  <c:v>-14.423977124454051</c:v>
                </c:pt>
                <c:pt idx="460">
                  <c:v>-14.495421711756887</c:v>
                </c:pt>
                <c:pt idx="461">
                  <c:v>-14.56793364396594</c:v>
                </c:pt>
                <c:pt idx="462">
                  <c:v>-14.641508494155788</c:v>
                </c:pt>
                <c:pt idx="463">
                  <c:v>-14.716138809270076</c:v>
                </c:pt>
                <c:pt idx="464">
                  <c:v>-14.791814152382708</c:v>
                </c:pt>
                <c:pt idx="465">
                  <c:v>-14.868521159705629</c:v>
                </c:pt>
                <c:pt idx="466">
                  <c:v>-14.946243612616888</c:v>
                </c:pt>
                <c:pt idx="467">
                  <c:v>-15.024962524866847</c:v>
                </c:pt>
                <c:pt idx="468">
                  <c:v>-15.104656244996251</c:v>
                </c:pt>
                <c:pt idx="469">
                  <c:v>-15.185300573873462</c:v>
                </c:pt>
                <c:pt idx="470">
                  <c:v>-15.266868897128706</c:v>
                </c:pt>
                <c:pt idx="471">
                  <c:v>-15.349332332129888</c:v>
                </c:pt>
                <c:pt idx="472">
                  <c:v>-15.432659889015065</c:v>
                </c:pt>
                <c:pt idx="473">
                  <c:v>-15.516818645166389</c:v>
                </c:pt>
                <c:pt idx="474">
                  <c:v>-15.60177393238267</c:v>
                </c:pt>
                <c:pt idx="475">
                  <c:v>-15.687489535887813</c:v>
                </c:pt>
                <c:pt idx="476">
                  <c:v>-15.773927904194871</c:v>
                </c:pt>
                <c:pt idx="477">
                  <c:v>-15.861050368737855</c:v>
                </c:pt>
                <c:pt idx="478">
                  <c:v>-15.948817372081974</c:v>
                </c:pt>
                <c:pt idx="479">
                  <c:v>-16.037188703434062</c:v>
                </c:pt>
                <c:pt idx="480">
                  <c:v>-16.126123740092165</c:v>
                </c:pt>
                <c:pt idx="481">
                  <c:v>-16.215581693406754</c:v>
                </c:pt>
                <c:pt idx="482">
                  <c:v>-16.305521857766156</c:v>
                </c:pt>
                <c:pt idx="483">
                  <c:v>-16.395903861077205</c:v>
                </c:pt>
                <c:pt idx="484">
                  <c:v>-16.486687915175704</c:v>
                </c:pt>
                <c:pt idx="485">
                  <c:v>-16.577835064587894</c:v>
                </c:pt>
                <c:pt idx="486">
                  <c:v>-16.669307432055039</c:v>
                </c:pt>
                <c:pt idx="487">
                  <c:v>-16.761068459242328</c:v>
                </c:pt>
                <c:pt idx="488">
                  <c:v>-16.853083141075189</c:v>
                </c:pt>
                <c:pt idx="489">
                  <c:v>-16.945318252181249</c:v>
                </c:pt>
                <c:pt idx="490">
                  <c:v>-17.037742563961732</c:v>
                </c:pt>
                <c:pt idx="491">
                  <c:v>-17.130327050878378</c:v>
                </c:pt>
                <c:pt idx="492">
                  <c:v>-17.223045084611577</c:v>
                </c:pt>
                <c:pt idx="493">
                  <c:v>-17.315872614830788</c:v>
                </c:pt>
                <c:pt idx="494">
                  <c:v>-17.408788335407422</c:v>
                </c:pt>
                <c:pt idx="495">
                  <c:v>-17.501773835009441</c:v>
                </c:pt>
                <c:pt idx="496">
                  <c:v>-17.594813731121249</c:v>
                </c:pt>
                <c:pt idx="497">
                  <c:v>-17.687895786656064</c:v>
                </c:pt>
                <c:pt idx="498">
                  <c:v>-17.781011008450978</c:v>
                </c:pt>
                <c:pt idx="499">
                  <c:v>-17.874153727063121</c:v>
                </c:pt>
                <c:pt idx="500">
                  <c:v>-17.967321657421603</c:v>
                </c:pt>
                <c:pt idx="501">
                  <c:v>-18.060515940023361</c:v>
                </c:pt>
                <c:pt idx="502">
                  <c:v>-18.153741162497731</c:v>
                </c:pt>
                <c:pt idx="503">
                  <c:v>-18.247005361502811</c:v>
                </c:pt>
                <c:pt idx="504">
                  <c:v>-18.340320005048611</c:v>
                </c:pt>
                <c:pt idx="505">
                  <c:v>-18.433699955476065</c:v>
                </c:pt>
                <c:pt idx="506">
                  <c:v>-18.527163413448164</c:v>
                </c:pt>
                <c:pt idx="507">
                  <c:v>-18.620731843432164</c:v>
                </c:pt>
                <c:pt idx="508">
                  <c:v>-18.714429881269549</c:v>
                </c:pt>
                <c:pt idx="509">
                  <c:v>-18.808285224540377</c:v>
                </c:pt>
                <c:pt idx="510">
                  <c:v>-18.902328506531596</c:v>
                </c:pt>
                <c:pt idx="511">
                  <c:v>-18.996593154714859</c:v>
                </c:pt>
                <c:pt idx="512">
                  <c:v>-19.091115234724377</c:v>
                </c:pt>
                <c:pt idx="513">
                  <c:v>-19.185933280904898</c:v>
                </c:pt>
                <c:pt idx="514">
                  <c:v>-19.281088114569037</c:v>
                </c:pt>
                <c:pt idx="515">
                  <c:v>-19.376622651162965</c:v>
                </c:pt>
                <c:pt idx="516">
                  <c:v>-19.472581697590361</c:v>
                </c:pt>
                <c:pt idx="517">
                  <c:v>-19.569011740989399</c:v>
                </c:pt>
                <c:pt idx="518">
                  <c:v>-19.665960730288802</c:v>
                </c:pt>
                <c:pt idx="519">
                  <c:v>-19.763477851895988</c:v>
                </c:pt>
                <c:pt idx="520">
                  <c:v>-19.861613300887026</c:v>
                </c:pt>
                <c:pt idx="521">
                  <c:v>-19.960418049076203</c:v>
                </c:pt>
                <c:pt idx="522">
                  <c:v>-20.059943611344366</c:v>
                </c:pt>
                <c:pt idx="523">
                  <c:v>-20.160241811597743</c:v>
                </c:pt>
                <c:pt idx="524">
                  <c:v>-20.261364549714362</c:v>
                </c:pt>
                <c:pt idx="525">
                  <c:v>-20.363363570810332</c:v>
                </c:pt>
                <c:pt idx="526">
                  <c:v>-20.466290238130703</c:v>
                </c:pt>
                <c:pt idx="527">
                  <c:v>-20.570195310830456</c:v>
                </c:pt>
                <c:pt idx="528">
                  <c:v>-20.675128727863004</c:v>
                </c:pt>
                <c:pt idx="529">
                  <c:v>-20.78113939914639</c:v>
                </c:pt>
                <c:pt idx="530">
                  <c:v>-20.888275005110263</c:v>
                </c:pt>
                <c:pt idx="531">
                  <c:v>-20.99658180566443</c:v>
                </c:pt>
                <c:pt idx="532">
                  <c:v>-21.106104459552167</c:v>
                </c:pt>
                <c:pt idx="533">
                  <c:v>-21.216885854972325</c:v>
                </c:pt>
                <c:pt idx="534">
                  <c:v>-21.328966952264288</c:v>
                </c:pt>
                <c:pt idx="535">
                  <c:v>-21.442386639359732</c:v>
                </c:pt>
                <c:pt idx="536">
                  <c:v>-21.557181600602714</c:v>
                </c:pt>
                <c:pt idx="537">
                  <c:v>-21.673386199441257</c:v>
                </c:pt>
                <c:pt idx="538">
                  <c:v>-21.791032375382422</c:v>
                </c:pt>
                <c:pt idx="539">
                  <c:v>-21.910149555496858</c:v>
                </c:pt>
                <c:pt idx="540">
                  <c:v>-22.030764580645588</c:v>
                </c:pt>
                <c:pt idx="541">
                  <c:v>-22.152901646492818</c:v>
                </c:pt>
              </c:numCache>
            </c:numRef>
          </c:yVal>
          <c:smooth val="1"/>
          <c:extLst>
            <c:ext xmlns:c16="http://schemas.microsoft.com/office/drawing/2014/chart" uri="{C3380CC4-5D6E-409C-BE32-E72D297353CC}">
              <c16:uniqueId val="{00000000-D460-4B8F-883D-E581C837D15B}"/>
            </c:ext>
          </c:extLst>
        </c:ser>
        <c:dLbls>
          <c:showLegendKey val="0"/>
          <c:showVal val="0"/>
          <c:showCatName val="0"/>
          <c:showSerName val="0"/>
          <c:showPercent val="0"/>
          <c:showBubbleSize val="0"/>
        </c:dLbls>
        <c:axId val="178188288"/>
        <c:axId val="178190208"/>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Loop_Modeling!$AE$19:$AE$560</c:f>
              <c:numCache>
                <c:formatCode>General</c:formatCode>
                <c:ptCount val="542"/>
                <c:pt idx="0">
                  <c:v>-0.55051021932322319</c:v>
                </c:pt>
                <c:pt idx="1">
                  <c:v>-0.56333247052166591</c:v>
                </c:pt>
                <c:pt idx="2">
                  <c:v>-0.5764533346025934</c:v>
                </c:pt>
                <c:pt idx="3">
                  <c:v>-0.58987976316934843</c:v>
                </c:pt>
                <c:pt idx="4">
                  <c:v>-0.60361886946403476</c:v>
                </c:pt>
                <c:pt idx="5">
                  <c:v>-0.61767793211219402</c:v>
                </c:pt>
                <c:pt idx="6">
                  <c:v>-0.63206439895327993</c:v>
                </c:pt>
                <c:pt idx="7">
                  <c:v>-0.64678589095872407</c:v>
                </c:pt>
                <c:pt idx="8">
                  <c:v>-0.66185020623971702</c:v>
                </c:pt>
                <c:pt idx="9">
                  <c:v>-0.67726532414641705</c:v>
                </c:pt>
                <c:pt idx="10">
                  <c:v>-0.69303940946080123</c:v>
                </c:pt>
                <c:pt idx="11">
                  <c:v>-0.70918081668513611</c:v>
                </c:pt>
                <c:pt idx="12">
                  <c:v>-0.72569809442808897</c:v>
                </c:pt>
                <c:pt idx="13">
                  <c:v>-0.74259998989066711</c:v>
                </c:pt>
                <c:pt idx="14">
                  <c:v>-0.75989545345412568</c:v>
                </c:pt>
                <c:pt idx="15">
                  <c:v>-0.77759364337202375</c:v>
                </c:pt>
                <c:pt idx="16">
                  <c:v>-0.7957039305686967</c:v>
                </c:pt>
                <c:pt idx="17">
                  <c:v>-0.81423590354633446</c:v>
                </c:pt>
                <c:pt idx="18">
                  <c:v>-0.83319937340309991</c:v>
                </c:pt>
                <c:pt idx="19">
                  <c:v>-0.85260437896449259</c:v>
                </c:pt>
                <c:pt idx="20">
                  <c:v>-0.87246119203048422</c:v>
                </c:pt>
                <c:pt idx="21">
                  <c:v>-0.89278032274072294</c:v>
                </c:pt>
                <c:pt idx="22">
                  <c:v>-0.91357252506037367</c:v>
                </c:pt>
                <c:pt idx="23">
                  <c:v>-0.93484880238896795</c:v>
                </c:pt>
                <c:pt idx="24">
                  <c:v>-0.95662041329494385</c:v>
                </c:pt>
                <c:pt idx="25">
                  <c:v>-0.97889887737830628</c:v>
                </c:pt>
                <c:pt idx="26">
                  <c:v>-1.0016959812640636</c:v>
                </c:pt>
                <c:pt idx="27">
                  <c:v>-1.0250237847291575</c:v>
                </c:pt>
                <c:pt idx="28">
                  <c:v>-1.0488946269653685</c:v>
                </c:pt>
                <c:pt idx="29">
                  <c:v>-1.0733211329809933</c:v>
                </c:pt>
                <c:pt idx="30">
                  <c:v>-1.098316220144173</c:v>
                </c:pt>
                <c:pt idx="31">
                  <c:v>-1.123893104870278</c:v>
                </c:pt>
                <c:pt idx="32">
                  <c:v>-1.1500653094564668</c:v>
                </c:pt>
                <c:pt idx="33">
                  <c:v>-1.1768466690659916</c:v>
                </c:pt>
                <c:pt idx="34">
                  <c:v>-1.2042513388652294</c:v>
                </c:pt>
                <c:pt idx="35">
                  <c:v>-1.2322938013161604</c:v>
                </c:pt>
                <c:pt idx="36">
                  <c:v>-1.2609888736272359</c:v>
                </c:pt>
                <c:pt idx="37">
                  <c:v>-1.2903517153654243</c:v>
                </c:pt>
                <c:pt idx="38">
                  <c:v>-1.3203978362324684</c:v>
                </c:pt>
                <c:pt idx="39">
                  <c:v>-1.3511431040079731</c:v>
                </c:pt>
                <c:pt idx="40">
                  <c:v>-1.3826037526624644</c:v>
                </c:pt>
                <c:pt idx="41">
                  <c:v>-1.4147963906432237</c:v>
                </c:pt>
                <c:pt idx="42">
                  <c:v>-1.4477380093356345</c:v>
                </c:pt>
                <c:pt idx="43">
                  <c:v>-1.4814459917030578</c:v>
                </c:pt>
                <c:pt idx="44">
                  <c:v>-1.5159381211080705</c:v>
                </c:pt>
                <c:pt idx="45">
                  <c:v>-1.5512325903176811</c:v>
                </c:pt>
                <c:pt idx="46">
                  <c:v>-1.5873480106955722</c:v>
                </c:pt>
                <c:pt idx="47">
                  <c:v>-1.6243034215838577</c:v>
                </c:pt>
                <c:pt idx="48">
                  <c:v>-1.6621182998771631</c:v>
                </c:pt>
                <c:pt idx="49">
                  <c:v>-1.7008125697916203</c:v>
                </c:pt>
                <c:pt idx="50">
                  <c:v>-1.7404066128312941</c:v>
                </c:pt>
                <c:pt idx="51">
                  <c:v>-1.7809212779545507</c:v>
                </c:pt>
                <c:pt idx="52">
                  <c:v>-1.822377891942661</c:v>
                </c:pt>
                <c:pt idx="53">
                  <c:v>-1.8647982699730785</c:v>
                </c:pt>
                <c:pt idx="54">
                  <c:v>-1.9082047263992683</c:v>
                </c:pt>
                <c:pt idx="55">
                  <c:v>-1.9526200857393985</c:v>
                </c:pt>
                <c:pt idx="56">
                  <c:v>-1.9980676938754658</c:v>
                </c:pt>
                <c:pt idx="57">
                  <c:v>-2.0445714294648067</c:v>
                </c:pt>
                <c:pt idx="58">
                  <c:v>-2.0921557155654367</c:v>
                </c:pt>
                <c:pt idx="59">
                  <c:v>-2.1408455314763004</c:v>
                </c:pt>
                <c:pt idx="60">
                  <c:v>-2.1906664247938301</c:v>
                </c:pt>
                <c:pt idx="61">
                  <c:v>-2.2416445236855074</c:v>
                </c:pt>
                <c:pt idx="62">
                  <c:v>-2.2938065493809519</c:v>
                </c:pt>
                <c:pt idx="63">
                  <c:v>-2.3471798288807384</c:v>
                </c:pt>
                <c:pt idx="64">
                  <c:v>-2.4017923078830963</c:v>
                </c:pt>
                <c:pt idx="65">
                  <c:v>-2.4576725639277872</c:v>
                </c:pt>
                <c:pt idx="66">
                  <c:v>-2.5148498197564351</c:v>
                </c:pt>
                <c:pt idx="67">
                  <c:v>-2.5733539568881802</c:v>
                </c:pt>
                <c:pt idx="68">
                  <c:v>-2.6332155294087092</c:v>
                </c:pt>
                <c:pt idx="69">
                  <c:v>-2.6944657779705086</c:v>
                </c:pt>
                <c:pt idx="70">
                  <c:v>-2.7571366440016836</c:v>
                </c:pt>
                <c:pt idx="71">
                  <c:v>-2.8212607841198527</c:v>
                </c:pt>
                <c:pt idx="72">
                  <c:v>-2.8868715847469657</c:v>
                </c:pt>
                <c:pt idx="73">
                  <c:v>-2.9540031769207689</c:v>
                </c:pt>
                <c:pt idx="74">
                  <c:v>-3.0226904512967163</c:v>
                </c:pt>
                <c:pt idx="75">
                  <c:v>-3.0929690733349222</c:v>
                </c:pt>
                <c:pt idx="76">
                  <c:v>-3.1648754986641845</c:v>
                </c:pt>
                <c:pt idx="77">
                  <c:v>-3.2384469886154306</c:v>
                </c:pt>
                <c:pt idx="78">
                  <c:v>-3.3137216259153384</c:v>
                </c:pt>
                <c:pt idx="79">
                  <c:v>-3.3907383305297234</c:v>
                </c:pt>
                <c:pt idx="80">
                  <c:v>-3.4695368756456211</c:v>
                </c:pt>
                <c:pt idx="81">
                  <c:v>-3.550157903778921</c:v>
                </c:pt>
                <c:pt idx="82">
                  <c:v>-3.632642942993844</c:v>
                </c:pt>
                <c:pt idx="83">
                  <c:v>-3.7170344232184864</c:v>
                </c:pt>
                <c:pt idx="84">
                  <c:v>-3.8033756926397277</c:v>
                </c:pt>
                <c:pt idx="85">
                  <c:v>-3.8917110341578636</c:v>
                </c:pt>
                <c:pt idx="86">
                  <c:v>-3.9820856818815433</c:v>
                </c:pt>
                <c:pt idx="87">
                  <c:v>-4.0745458376393406</c:v>
                </c:pt>
                <c:pt idx="88">
                  <c:v>-4.1691386874841552</c:v>
                </c:pt>
                <c:pt idx="89">
                  <c:v>-4.2659124181630999</c:v>
                </c:pt>
                <c:pt idx="90">
                  <c:v>-4.36491623352424</c:v>
                </c:pt>
                <c:pt idx="91">
                  <c:v>-4.4662003708275746</c:v>
                </c:pt>
                <c:pt idx="92">
                  <c:v>-4.5698161169273117</c:v>
                </c:pt>
                <c:pt idx="93">
                  <c:v>-4.675815824286234</c:v>
                </c:pt>
                <c:pt idx="94">
                  <c:v>-4.7842529267838163</c:v>
                </c:pt>
                <c:pt idx="95">
                  <c:v>-4.8951819552730065</c:v>
                </c:pt>
                <c:pt idx="96">
                  <c:v>-5.0086585528395124</c:v>
                </c:pt>
                <c:pt idx="97">
                  <c:v>-5.1247394897121605</c:v>
                </c:pt>
                <c:pt idx="98">
                  <c:v>-5.2434826777705865</c:v>
                </c:pt>
                <c:pt idx="99">
                  <c:v>-5.3649471845905961</c:v>
                </c:pt>
                <c:pt idx="100">
                  <c:v>-5.4891932469643914</c:v>
                </c:pt>
                <c:pt idx="101">
                  <c:v>-5.6162822838280295</c:v>
                </c:pt>
                <c:pt idx="102">
                  <c:v>-5.746276908522832</c:v>
                </c:pt>
                <c:pt idx="103">
                  <c:v>-5.8792409403130987</c:v>
                </c:pt>
                <c:pt idx="104">
                  <c:v>-6.0152394150768416</c:v>
                </c:pt>
                <c:pt idx="105">
                  <c:v>-6.1543385950793246</c:v>
                </c:pt>
                <c:pt idx="106">
                  <c:v>-6.2966059777352976</c:v>
                </c:pt>
                <c:pt idx="107">
                  <c:v>-6.4421103032564533</c:v>
                </c:pt>
                <c:pt idx="108">
                  <c:v>-6.5909215610776366</c:v>
                </c:pt>
                <c:pt idx="109">
                  <c:v>-6.7431109949430725</c:v>
                </c:pt>
                <c:pt idx="110">
                  <c:v>-6.8987511065321785</c:v>
                </c:pt>
                <c:pt idx="111">
                  <c:v>-7.05791565749269</c:v>
                </c:pt>
                <c:pt idx="112">
                  <c:v>-7.2206796697409512</c:v>
                </c:pt>
                <c:pt idx="113">
                  <c:v>-7.3871194238842532</c:v>
                </c:pt>
                <c:pt idx="114">
                  <c:v>-7.5573124556051532</c:v>
                </c:pt>
                <c:pt idx="115">
                  <c:v>-7.7313375498456898</c:v>
                </c:pt>
                <c:pt idx="116">
                  <c:v>-7.9092747326127189</c:v>
                </c:pt>
                <c:pt idx="117">
                  <c:v>-8.0912052602215248</c:v>
                </c:pt>
                <c:pt idx="118">
                  <c:v>-8.2772116057816465</c:v>
                </c:pt>
                <c:pt idx="119">
                  <c:v>-8.4673774427178543</c:v>
                </c:pt>
                <c:pt idx="120">
                  <c:v>-8.6617876251110975</c:v>
                </c:pt>
                <c:pt idx="121">
                  <c:v>-8.8605281646316634</c:v>
                </c:pt>
                <c:pt idx="122">
                  <c:v>-9.0636862038234991</c:v>
                </c:pt>
                <c:pt idx="123">
                  <c:v>-9.2713499854930248</c:v>
                </c:pt>
                <c:pt idx="124">
                  <c:v>-9.4836088179373679</c:v>
                </c:pt>
                <c:pt idx="125">
                  <c:v>-9.7005530357407501</c:v>
                </c:pt>
                <c:pt idx="126">
                  <c:v>-9.9222739558541981</c:v>
                </c:pt>
                <c:pt idx="127">
                  <c:v>-10.148863828661581</c:v>
                </c:pt>
                <c:pt idx="128">
                  <c:v>-10.380415783725754</c:v>
                </c:pt>
                <c:pt idx="129">
                  <c:v>-10.617023769897751</c:v>
                </c:pt>
                <c:pt idx="130">
                  <c:v>-10.858782489457582</c:v>
                </c:pt>
                <c:pt idx="131">
                  <c:v>-11.105787325952909</c:v>
                </c:pt>
                <c:pt idx="132">
                  <c:v>-11.35813426538504</c:v>
                </c:pt>
                <c:pt idx="133">
                  <c:v>-11.615919810388394</c:v>
                </c:pt>
                <c:pt idx="134">
                  <c:v>-11.879240887042721</c:v>
                </c:pt>
                <c:pt idx="135">
                  <c:v>-12.148194743945972</c:v>
                </c:pt>
                <c:pt idx="136">
                  <c:v>-12.42287884318147</c:v>
                </c:pt>
                <c:pt idx="137">
                  <c:v>-12.703390742800293</c:v>
                </c:pt>
                <c:pt idx="138">
                  <c:v>-12.989827970445182</c:v>
                </c:pt>
                <c:pt idx="139">
                  <c:v>-13.282287887746495</c:v>
                </c:pt>
                <c:pt idx="140">
                  <c:v>-13.580867545116439</c:v>
                </c:pt>
                <c:pt idx="141">
                  <c:v>-13.885663526587503</c:v>
                </c:pt>
                <c:pt idx="142">
                  <c:v>-14.196771784340807</c:v>
                </c:pt>
                <c:pt idx="143">
                  <c:v>-14.514287462593787</c:v>
                </c:pt>
                <c:pt idx="144">
                  <c:v>-14.83830471052921</c:v>
                </c:pt>
                <c:pt idx="145">
                  <c:v>-15.168916483975496</c:v>
                </c:pt>
                <c:pt idx="146">
                  <c:v>-15.506214335574091</c:v>
                </c:pt>
                <c:pt idx="147">
                  <c:v>-15.850288193204936</c:v>
                </c:pt>
                <c:pt idx="148">
                  <c:v>-16.201226126478993</c:v>
                </c:pt>
                <c:pt idx="149">
                  <c:v>-16.559114101156215</c:v>
                </c:pt>
                <c:pt idx="150">
                  <c:v>-16.924035721395413</c:v>
                </c:pt>
                <c:pt idx="151">
                  <c:v>-17.29607195980654</c:v>
                </c:pt>
                <c:pt idx="152">
                  <c:v>-17.675300875340461</c:v>
                </c:pt>
                <c:pt idx="153">
                  <c:v>-18.06179731912675</c:v>
                </c:pt>
                <c:pt idx="154">
                  <c:v>-18.455632628454442</c:v>
                </c:pt>
                <c:pt idx="155">
                  <c:v>-18.85687430918161</c:v>
                </c:pt>
                <c:pt idx="156">
                  <c:v>-19.265585706958227</c:v>
                </c:pt>
                <c:pt idx="157">
                  <c:v>-19.681825667759174</c:v>
                </c:pt>
                <c:pt idx="158">
                  <c:v>-20.105648188337252</c:v>
                </c:pt>
                <c:pt idx="159">
                  <c:v>-20.537102057335407</c:v>
                </c:pt>
                <c:pt idx="160">
                  <c:v>-20.976230487930323</c:v>
                </c:pt>
                <c:pt idx="161">
                  <c:v>-21.423070743018531</c:v>
                </c:pt>
                <c:pt idx="162">
                  <c:v>-21.877653754111076</c:v>
                </c:pt>
                <c:pt idx="163">
                  <c:v>-22.340003735252392</c:v>
                </c:pt>
                <c:pt idx="164">
                  <c:v>-22.810137793440489</c:v>
                </c:pt>
                <c:pt idx="165">
                  <c:v>-23.288065537194363</c:v>
                </c:pt>
                <c:pt idx="166">
                  <c:v>-23.773788685075193</c:v>
                </c:pt>
                <c:pt idx="167">
                  <c:v>-24.267300676142842</c:v>
                </c:pt>
                <c:pt idx="168">
                  <c:v>-24.768586284490247</c:v>
                </c:pt>
                <c:pt idx="169">
                  <c:v>-25.277621240166376</c:v>
                </c:pt>
                <c:pt idx="170">
                  <c:v>-25.79437185895442</c:v>
                </c:pt>
                <c:pt idx="171">
                  <c:v>-26.318794683623377</c:v>
                </c:pt>
                <c:pt idx="172">
                  <c:v>-26.850836139408468</c:v>
                </c:pt>
                <c:pt idx="173">
                  <c:v>-27.390432206602192</c:v>
                </c:pt>
                <c:pt idx="174">
                  <c:v>-27.937508113240497</c:v>
                </c:pt>
                <c:pt idx="175">
                  <c:v>-28.491978050963475</c:v>
                </c:pt>
                <c:pt idx="176">
                  <c:v>-29.053744917182012</c:v>
                </c:pt>
                <c:pt idx="177">
                  <c:v>-29.622700086724709</c:v>
                </c:pt>
                <c:pt idx="178">
                  <c:v>-30.198723216141076</c:v>
                </c:pt>
                <c:pt idx="179">
                  <c:v>-30.781682083804043</c:v>
                </c:pt>
                <c:pt idx="180">
                  <c:v>-31.371432468900281</c:v>
                </c:pt>
                <c:pt idx="181">
                  <c:v>-31.967818072275428</c:v>
                </c:pt>
                <c:pt idx="182">
                  <c:v>-32.570670481973728</c:v>
                </c:pt>
                <c:pt idx="183">
                  <c:v>-33.179809186110376</c:v>
                </c:pt>
                <c:pt idx="184">
                  <c:v>-33.795041635492446</c:v>
                </c:pt>
                <c:pt idx="185">
                  <c:v>-34.416163358123285</c:v>
                </c:pt>
                <c:pt idx="186">
                  <c:v>-35.042958127414153</c:v>
                </c:pt>
                <c:pt idx="187">
                  <c:v>-35.675198185563836</c:v>
                </c:pt>
                <c:pt idx="188">
                  <c:v>-36.312644523172693</c:v>
                </c:pt>
                <c:pt idx="189">
                  <c:v>-36.955047215721059</c:v>
                </c:pt>
                <c:pt idx="190">
                  <c:v>-37.602145817081741</c:v>
                </c:pt>
                <c:pt idx="191">
                  <c:v>-38.253669809737346</c:v>
                </c:pt>
                <c:pt idx="192">
                  <c:v>-38.909339110872594</c:v>
                </c:pt>
                <c:pt idx="193">
                  <c:v>-39.5688646329709</c:v>
                </c:pt>
                <c:pt idx="194">
                  <c:v>-40.231948897026598</c:v>
                </c:pt>
                <c:pt idx="195">
                  <c:v>-40.898286695938083</c:v>
                </c:pt>
                <c:pt idx="196">
                  <c:v>-41.567565805135899</c:v>
                </c:pt>
                <c:pt idx="197">
                  <c:v>-42.239467736986917</c:v>
                </c:pt>
                <c:pt idx="198">
                  <c:v>-42.913668535039527</c:v>
                </c:pt>
                <c:pt idx="199">
                  <c:v>-43.589839603729914</c:v>
                </c:pt>
                <c:pt idx="200">
                  <c:v>-44.26764856876494</c:v>
                </c:pt>
                <c:pt idx="201">
                  <c:v>-44.946760163045177</c:v>
                </c:pt>
                <c:pt idx="202">
                  <c:v>-45.6268371326927</c:v>
                </c:pt>
                <c:pt idx="203">
                  <c:v>-46.307541157513811</c:v>
                </c:pt>
                <c:pt idx="204">
                  <c:v>-46.9885337800523</c:v>
                </c:pt>
                <c:pt idx="205">
                  <c:v>-47.669477337294182</c:v>
                </c:pt>
                <c:pt idx="206">
                  <c:v>-48.350035889047575</c:v>
                </c:pt>
                <c:pt idx="207">
                  <c:v>-49.029876137067447</c:v>
                </c:pt>
                <c:pt idx="208">
                  <c:v>-49.708668329107994</c:v>
                </c:pt>
                <c:pt idx="209">
                  <c:v>-50.386087142259221</c:v>
                </c:pt>
                <c:pt idx="210">
                  <c:v>-51.061812540182544</c:v>
                </c:pt>
                <c:pt idx="211">
                  <c:v>-51.735530599155652</c:v>
                </c:pt>
                <c:pt idx="212">
                  <c:v>-52.406934298205023</c:v>
                </c:pt>
                <c:pt idx="213">
                  <c:v>-53.075724269015538</c:v>
                </c:pt>
                <c:pt idx="214">
                  <c:v>-53.741609501750091</c:v>
                </c:pt>
                <c:pt idx="215">
                  <c:v>-54.404308003407763</c:v>
                </c:pt>
                <c:pt idx="216">
                  <c:v>-55.063547405845732</c:v>
                </c:pt>
                <c:pt idx="217">
                  <c:v>-55.719065521124726</c:v>
                </c:pt>
                <c:pt idx="218">
                  <c:v>-56.37061084236332</c:v>
                </c:pt>
                <c:pt idx="219">
                  <c:v>-57.017942988825894</c:v>
                </c:pt>
                <c:pt idx="220">
                  <c:v>-57.66083309448544</c:v>
                </c:pt>
                <c:pt idx="221">
                  <c:v>-58.299064139821851</c:v>
                </c:pt>
                <c:pt idx="222">
                  <c:v>-58.932431227091968</c:v>
                </c:pt>
                <c:pt idx="223">
                  <c:v>-59.560741799781482</c:v>
                </c:pt>
                <c:pt idx="224">
                  <c:v>-60.183815807364702</c:v>
                </c:pt>
                <c:pt idx="225">
                  <c:v>-60.801485816896417</c:v>
                </c:pt>
                <c:pt idx="226">
                  <c:v>-61.413597073312772</c:v>
                </c:pt>
                <c:pt idx="227">
                  <c:v>-62.0200075106235</c:v>
                </c:pt>
                <c:pt idx="228">
                  <c:v>-62.620587716447311</c:v>
                </c:pt>
                <c:pt idx="229">
                  <c:v>-63.215220852577204</c:v>
                </c:pt>
                <c:pt idx="230">
                  <c:v>-63.803802534419773</c:v>
                </c:pt>
                <c:pt idx="231">
                  <c:v>-64.386240672317555</c:v>
                </c:pt>
                <c:pt idx="232">
                  <c:v>-64.962455277843461</c:v>
                </c:pt>
                <c:pt idx="233">
                  <c:v>-65.53237823822505</c:v>
                </c:pt>
                <c:pt idx="234">
                  <c:v>-66.095953062076973</c:v>
                </c:pt>
                <c:pt idx="235">
                  <c:v>-66.653134599610198</c:v>
                </c:pt>
                <c:pt idx="236">
                  <c:v>-67.203888740449869</c:v>
                </c:pt>
                <c:pt idx="237">
                  <c:v>-67.748192092123062</c:v>
                </c:pt>
                <c:pt idx="238">
                  <c:v>-68.286031642191688</c:v>
                </c:pt>
                <c:pt idx="239">
                  <c:v>-68.817404406893729</c:v>
                </c:pt>
                <c:pt idx="240">
                  <c:v>-69.342317069027999</c:v>
                </c:pt>
                <c:pt idx="241">
                  <c:v>-69.860785607680484</c:v>
                </c:pt>
                <c:pt idx="242">
                  <c:v>-70.372834922234517</c:v>
                </c:pt>
                <c:pt idx="243">
                  <c:v>-70.878498452948449</c:v>
                </c:pt>
                <c:pt idx="244">
                  <c:v>-71.37781780022496</c:v>
                </c:pt>
                <c:pt idx="245">
                  <c:v>-71.870842344518579</c:v>
                </c:pt>
                <c:pt idx="246">
                  <c:v>-72.357628868670872</c:v>
                </c:pt>
                <c:pt idx="247">
                  <c:v>-72.83824118428555</c:v>
                </c:pt>
                <c:pt idx="248">
                  <c:v>-73.312749763598873</c:v>
                </c:pt>
                <c:pt idx="249">
                  <c:v>-73.781231378137093</c:v>
                </c:pt>
                <c:pt idx="250">
                  <c:v>-74.243768745298368</c:v>
                </c:pt>
                <c:pt idx="251">
                  <c:v>-74.70045018384792</c:v>
                </c:pt>
                <c:pt idx="252">
                  <c:v>-75.1513692791778</c:v>
                </c:pt>
                <c:pt idx="253">
                  <c:v>-75.596624559043718</c:v>
                </c:pt>
                <c:pt idx="254">
                  <c:v>-76.036319180371336</c:v>
                </c:pt>
                <c:pt idx="255">
                  <c:v>-76.470560627606034</c:v>
                </c:pt>
                <c:pt idx="256">
                  <c:v>-76.899460422969526</c:v>
                </c:pt>
                <c:pt idx="257">
                  <c:v>-77.323133848894187</c:v>
                </c:pt>
                <c:pt idx="258">
                  <c:v>-77.741699682806669</c:v>
                </c:pt>
                <c:pt idx="259">
                  <c:v>-78.155279944355584</c:v>
                </c:pt>
                <c:pt idx="260">
                  <c:v>-78.563999655102023</c:v>
                </c:pt>
                <c:pt idx="261">
                  <c:v>-78.967986610622901</c:v>
                </c:pt>
                <c:pt idx="262">
                  <c:v>-79.367371164919788</c:v>
                </c:pt>
                <c:pt idx="263">
                  <c:v>-79.762286026972745</c:v>
                </c:pt>
                <c:pt idx="264">
                  <c:v>-80.152866069231436</c:v>
                </c:pt>
                <c:pt idx="265">
                  <c:v>-80.539248147797423</c:v>
                </c:pt>
                <c:pt idx="266">
                  <c:v>-80.92157093401633</c:v>
                </c:pt>
                <c:pt idx="267">
                  <c:v>-81.299974757170077</c:v>
                </c:pt>
                <c:pt idx="268">
                  <c:v>-81.674601457934457</c:v>
                </c:pt>
                <c:pt idx="269">
                  <c:v>-82.045594252248165</c:v>
                </c:pt>
                <c:pt idx="270">
                  <c:v>-82.413097605223214</c:v>
                </c:pt>
                <c:pt idx="271">
                  <c:v>-82.777257114714487</c:v>
                </c:pt>
                <c:pt idx="272">
                  <c:v>-83.138219404155478</c:v>
                </c:pt>
                <c:pt idx="273">
                  <c:v>-83.496132024265052</c:v>
                </c:pt>
                <c:pt idx="274">
                  <c:v>-83.851143363219535</c:v>
                </c:pt>
                <c:pt idx="275">
                  <c:v>-84.203402564890638</c:v>
                </c:pt>
                <c:pt idx="276">
                  <c:v>-84.553059454742353</c:v>
                </c:pt>
                <c:pt idx="277">
                  <c:v>-84.900264472986322</c:v>
                </c:pt>
                <c:pt idx="278">
                  <c:v>-85.24516861459847</c:v>
                </c:pt>
                <c:pt idx="279">
                  <c:v>-85.587923375798923</c:v>
                </c:pt>
                <c:pt idx="280">
                  <c:v>-85.92868070660883</c:v>
                </c:pt>
                <c:pt idx="281">
                  <c:v>-86.267592969097606</c:v>
                </c:pt>
                <c:pt idx="282">
                  <c:v>-86.604812900944708</c:v>
                </c:pt>
                <c:pt idx="283">
                  <c:v>-86.940493583942754</c:v>
                </c:pt>
                <c:pt idx="284">
                  <c:v>-87.274788417078668</c:v>
                </c:pt>
                <c:pt idx="285">
                  <c:v>-87.607851093833773</c:v>
                </c:pt>
                <c:pt idx="286">
                  <c:v>-87.93983558335195</c:v>
                </c:pt>
                <c:pt idx="287">
                  <c:v>-88.270896115131293</c:v>
                </c:pt>
                <c:pt idx="288">
                  <c:v>-88.601187166899123</c:v>
                </c:pt>
                <c:pt idx="289">
                  <c:v>-88.930863455339122</c:v>
                </c:pt>
                <c:pt idx="290">
                  <c:v>-89.260079929342297</c:v>
                </c:pt>
                <c:pt idx="291">
                  <c:v>-89.588991765458644</c:v>
                </c:pt>
                <c:pt idx="292">
                  <c:v>-89.917754365233577</c:v>
                </c:pt>
                <c:pt idx="293">
                  <c:v>-90.246523354111645</c:v>
                </c:pt>
                <c:pt idx="294">
                  <c:v>-90.575454581599956</c:v>
                </c:pt>
                <c:pt idx="295">
                  <c:v>-90.904704122380394</c:v>
                </c:pt>
                <c:pt idx="296">
                  <c:v>-91.234428278064982</c:v>
                </c:pt>
                <c:pt idx="297">
                  <c:v>-91.564783579289511</c:v>
                </c:pt>
                <c:pt idx="298">
                  <c:v>-91.895926787839841</c:v>
                </c:pt>
                <c:pt idx="299">
                  <c:v>-92.228014898506373</c:v>
                </c:pt>
                <c:pt idx="300">
                  <c:v>-92.561205140361153</c:v>
                </c:pt>
                <c:pt idx="301">
                  <c:v>-92.895654977149277</c:v>
                </c:pt>
                <c:pt idx="302">
                  <c:v>-93.231522106485926</c:v>
                </c:pt>
                <c:pt idx="303">
                  <c:v>-93.568964457545931</c:v>
                </c:pt>
                <c:pt idx="304">
                  <c:v>-93.908140186929643</c:v>
                </c:pt>
                <c:pt idx="305">
                  <c:v>-94.249207672385452</c:v>
                </c:pt>
                <c:pt idx="306">
                  <c:v>-94.592325504063368</c:v>
                </c:pt>
                <c:pt idx="307">
                  <c:v>-94.937652472968821</c:v>
                </c:pt>
                <c:pt idx="308">
                  <c:v>-95.285347556283241</c:v>
                </c:pt>
                <c:pt idx="309">
                  <c:v>-95.635569899205862</c:v>
                </c:pt>
                <c:pt idx="310">
                  <c:v>-95.988478792971463</c:v>
                </c:pt>
                <c:pt idx="311">
                  <c:v>-96.344233648687435</c:v>
                </c:pt>
                <c:pt idx="312">
                  <c:v>-96.702993966628981</c:v>
                </c:pt>
                <c:pt idx="313">
                  <c:v>-97.064919300622975</c:v>
                </c:pt>
                <c:pt idx="314">
                  <c:v>-97.430169217147537</c:v>
                </c:pt>
                <c:pt idx="315">
                  <c:v>-97.798903248763011</c:v>
                </c:pt>
                <c:pt idx="316">
                  <c:v>-98.171280841488297</c:v>
                </c:pt>
                <c:pt idx="317">
                  <c:v>-98.547461295729406</c:v>
                </c:pt>
                <c:pt idx="318">
                  <c:v>-98.927603700361729</c:v>
                </c:pt>
                <c:pt idx="319">
                  <c:v>-99.3118668595651</c:v>
                </c:pt>
                <c:pt idx="320">
                  <c:v>-99.700409212007216</c:v>
                </c:pt>
                <c:pt idx="321">
                  <c:v>-100.09338874196986</c:v>
                </c:pt>
                <c:pt idx="322">
                  <c:v>-100.49096288201436</c:v>
                </c:pt>
                <c:pt idx="323">
                  <c:v>-100.89328840678141</c:v>
                </c:pt>
                <c:pt idx="324">
                  <c:v>-101.30052131753241</c:v>
                </c:pt>
                <c:pt idx="325">
                  <c:v>-101.71281671703736</c:v>
                </c:pt>
                <c:pt idx="326">
                  <c:v>-102.13032867443223</c:v>
                </c:pt>
                <c:pt idx="327">
                  <c:v>-102.55321007968148</c:v>
                </c:pt>
                <c:pt idx="328">
                  <c:v>-102.98161248729296</c:v>
                </c:pt>
                <c:pt idx="329">
                  <c:v>-103.41568594896428</c:v>
                </c:pt>
                <c:pt idx="330">
                  <c:v>-103.85557883485268</c:v>
                </c:pt>
                <c:pt idx="331">
                  <c:v>-104.30143764320702</c:v>
                </c:pt>
                <c:pt idx="332">
                  <c:v>-104.75340679812066</c:v>
                </c:pt>
                <c:pt idx="333">
                  <c:v>-105.21162843522202</c:v>
                </c:pt>
                <c:pt idx="334">
                  <c:v>-105.67624217515346</c:v>
                </c:pt>
                <c:pt idx="335">
                  <c:v>-106.14738488475906</c:v>
                </c:pt>
                <c:pt idx="336">
                  <c:v>-106.62519042594946</c:v>
                </c:pt>
                <c:pt idx="337">
                  <c:v>-107.10978939229616</c:v>
                </c:pt>
                <c:pt idx="338">
                  <c:v>-107.60130883347399</c:v>
                </c:pt>
                <c:pt idx="339">
                  <c:v>-108.09987196776304</c:v>
                </c:pt>
                <c:pt idx="340">
                  <c:v>-108.60559788291236</c:v>
                </c:pt>
                <c:pt idx="341">
                  <c:v>-109.11860122577312</c:v>
                </c:pt>
                <c:pt idx="342">
                  <c:v>-109.63899188121579</c:v>
                </c:pt>
                <c:pt idx="343">
                  <c:v>-110.16687464096974</c:v>
                </c:pt>
                <c:pt idx="344">
                  <c:v>-110.70234886315085</c:v>
                </c:pt>
                <c:pt idx="345">
                  <c:v>-111.24550812337392</c:v>
                </c:pt>
                <c:pt idx="346">
                  <c:v>-111.79643985849788</c:v>
                </c:pt>
                <c:pt idx="347">
                  <c:v>-112.35522500419185</c:v>
                </c:pt>
                <c:pt idx="348">
                  <c:v>-112.92193762767722</c:v>
                </c:pt>
                <c:pt idx="349">
                  <c:v>-113.49664455715093</c:v>
                </c:pt>
                <c:pt idx="350">
                  <c:v>-114.07940500956539</c:v>
                </c:pt>
                <c:pt idx="351">
                  <c:v>-114.67027021860582</c:v>
                </c:pt>
                <c:pt idx="352">
                  <c:v>-115.26928306486954</c:v>
                </c:pt>
                <c:pt idx="353">
                  <c:v>-115.87647771041776</c:v>
                </c:pt>
                <c:pt idx="354">
                  <c:v>-116.49187924003105</c:v>
                </c:pt>
                <c:pt idx="355">
                  <c:v>-117.11550331165049</c:v>
                </c:pt>
                <c:pt idx="356">
                  <c:v>-117.74735581863432</c:v>
                </c:pt>
                <c:pt idx="357">
                  <c:v>-118.38743256658618</c:v>
                </c:pt>
                <c:pt idx="358">
                  <c:v>-119.03571896763353</c:v>
                </c:pt>
                <c:pt idx="359">
                  <c:v>-119.69218975512491</c:v>
                </c:pt>
                <c:pt idx="360">
                  <c:v>-120.35680872179853</c:v>
                </c:pt>
                <c:pt idx="361">
                  <c:v>-121.02952848451488</c:v>
                </c:pt>
                <c:pt idx="362">
                  <c:v>-121.71029027867623</c:v>
                </c:pt>
                <c:pt idx="363">
                  <c:v>-122.39902378543987</c:v>
                </c:pt>
                <c:pt idx="364">
                  <c:v>-123.0956469947894</c:v>
                </c:pt>
                <c:pt idx="365">
                  <c:v>-123.80006610744076</c:v>
                </c:pt>
                <c:pt idx="366">
                  <c:v>-124.51217547844568</c:v>
                </c:pt>
                <c:pt idx="367">
                  <c:v>-125.23185760518072</c:v>
                </c:pt>
                <c:pt idx="368">
                  <c:v>-125.95898316220895</c:v>
                </c:pt>
                <c:pt idx="369">
                  <c:v>-126.6934110852504</c:v>
                </c:pt>
                <c:pt idx="370">
                  <c:v>-127.43498870619544</c:v>
                </c:pt>
                <c:pt idx="371">
                  <c:v>-128.18355194076793</c:v>
                </c:pt>
                <c:pt idx="372">
                  <c:v>-128.93892553006327</c:v>
                </c:pt>
                <c:pt idx="373">
                  <c:v>-129.70092333675859</c:v>
                </c:pt>
                <c:pt idx="374">
                  <c:v>-130.46934869636485</c:v>
                </c:pt>
                <c:pt idx="375">
                  <c:v>-131.24399482338285</c:v>
                </c:pt>
                <c:pt idx="376">
                  <c:v>-132.02464527173612</c:v>
                </c:pt>
                <c:pt idx="377">
                  <c:v>-132.81107444832165</c:v>
                </c:pt>
                <c:pt idx="378">
                  <c:v>-133.60304817798314</c:v>
                </c:pt>
                <c:pt idx="379">
                  <c:v>-134.40032431766619</c:v>
                </c:pt>
                <c:pt idx="380">
                  <c:v>-135.20265341698106</c:v>
                </c:pt>
                <c:pt idx="381">
                  <c:v>-136.00977942186989</c:v>
                </c:pt>
                <c:pt idx="382">
                  <c:v>-136.82144041756993</c:v>
                </c:pt>
                <c:pt idx="383">
                  <c:v>-137.63736940657907</c:v>
                </c:pt>
                <c:pt idx="384">
                  <c:v>-138.45729511690496</c:v>
                </c:pt>
                <c:pt idx="385">
                  <c:v>-139.28094283546307</c:v>
                </c:pt>
                <c:pt idx="386">
                  <c:v>-140.10803526115996</c:v>
                </c:pt>
                <c:pt idx="387">
                  <c:v>-140.93829337190337</c:v>
                </c:pt>
                <c:pt idx="388">
                  <c:v>-141.77143729955756</c:v>
                </c:pt>
                <c:pt idx="389">
                  <c:v>-142.60718720670764</c:v>
                </c:pt>
                <c:pt idx="390">
                  <c:v>-143.44526415901061</c:v>
                </c:pt>
                <c:pt idx="391">
                  <c:v>-144.28539098689708</c:v>
                </c:pt>
                <c:pt idx="392">
                  <c:v>-145.12729313044119</c:v>
                </c:pt>
                <c:pt idx="393">
                  <c:v>-145.9706994613517</c:v>
                </c:pt>
                <c:pt idx="394">
                  <c:v>-146.81534307623201</c:v>
                </c:pt>
                <c:pt idx="395">
                  <c:v>-147.66096205551801</c:v>
                </c:pt>
                <c:pt idx="396">
                  <c:v>-148.50730018282511</c:v>
                </c:pt>
                <c:pt idx="397">
                  <c:v>-149.35410761981774</c:v>
                </c:pt>
                <c:pt idx="398">
                  <c:v>-150.2011415321314</c:v>
                </c:pt>
                <c:pt idx="399">
                  <c:v>-151.04816666234746</c:v>
                </c:pt>
                <c:pt idx="400">
                  <c:v>-151.89495584651775</c:v>
                </c:pt>
                <c:pt idx="401">
                  <c:v>-152.74129047125203</c:v>
                </c:pt>
                <c:pt idx="402">
                  <c:v>-153.58696086892516</c:v>
                </c:pt>
                <c:pt idx="403">
                  <c:v>-154.43176664910652</c:v>
                </c:pt>
                <c:pt idx="404">
                  <c:v>-155.27551696485577</c:v>
                </c:pt>
                <c:pt idx="405">
                  <c:v>-156.11803071307338</c:v>
                </c:pt>
                <c:pt idx="406">
                  <c:v>-156.95913666862245</c:v>
                </c:pt>
                <c:pt idx="407">
                  <c:v>-157.79867355243735</c:v>
                </c:pt>
                <c:pt idx="408">
                  <c:v>-158.63649003433571</c:v>
                </c:pt>
                <c:pt idx="409">
                  <c:v>-159.47244467168497</c:v>
                </c:pt>
                <c:pt idx="410">
                  <c:v>-160.30640578551439</c:v>
                </c:pt>
                <c:pt idx="411">
                  <c:v>-161.13825127604761</c:v>
                </c:pt>
                <c:pt idx="412">
                  <c:v>-161.96786837998698</c:v>
                </c:pt>
                <c:pt idx="413">
                  <c:v>-162.79515337219559</c:v>
                </c:pt>
                <c:pt idx="414">
                  <c:v>-163.62001121471494</c:v>
                </c:pt>
                <c:pt idx="415">
                  <c:v>-164.44235515629475</c:v>
                </c:pt>
                <c:pt idx="416">
                  <c:v>-165.26210628583266</c:v>
                </c:pt>
                <c:pt idx="417">
                  <c:v>-166.07919304329985</c:v>
                </c:pt>
                <c:pt idx="418">
                  <c:v>-166.89355069188863</c:v>
                </c:pt>
                <c:pt idx="419">
                  <c:v>-167.70512075523726</c:v>
                </c:pt>
                <c:pt idx="420">
                  <c:v>-168.5138504237006</c:v>
                </c:pt>
                <c:pt idx="421">
                  <c:v>-169.31969193371179</c:v>
                </c:pt>
                <c:pt idx="422">
                  <c:v>-170.12260192434857</c:v>
                </c:pt>
                <c:pt idx="423">
                  <c:v>-170.92254077527247</c:v>
                </c:pt>
                <c:pt idx="424">
                  <c:v>-171.71947193023914</c:v>
                </c:pt>
                <c:pt idx="425">
                  <c:v>-172.51336121042161</c:v>
                </c:pt>
                <c:pt idx="426">
                  <c:v>-173.30417612179858</c:v>
                </c:pt>
                <c:pt idx="427">
                  <c:v>-174.09188516087937</c:v>
                </c:pt>
                <c:pt idx="428">
                  <c:v>-174.876457123053</c:v>
                </c:pt>
                <c:pt idx="429">
                  <c:v>-175.65786041785745</c:v>
                </c:pt>
                <c:pt idx="430">
                  <c:v>-176.43606239545537</c:v>
                </c:pt>
                <c:pt idx="431">
                  <c:v>-177.21102868862715</c:v>
                </c:pt>
                <c:pt idx="432">
                  <c:v>-177.98272257456395</c:v>
                </c:pt>
                <c:pt idx="433">
                  <c:v>-178.75110436075622</c:v>
                </c:pt>
                <c:pt idx="434">
                  <c:v>-179.51613079923013</c:v>
                </c:pt>
                <c:pt idx="435">
                  <c:v>179.72224546661096</c:v>
                </c:pt>
                <c:pt idx="436">
                  <c:v>178.9640764183535</c:v>
                </c:pt>
                <c:pt idx="437">
                  <c:v>178.2094191379928</c:v>
                </c:pt>
                <c:pt idx="438">
                  <c:v>177.45833623833474</c:v>
                </c:pt>
                <c:pt idx="439">
                  <c:v>176.71089624439603</c:v>
                </c:pt>
                <c:pt idx="440">
                  <c:v>175.96717392194441</c:v>
                </c:pt>
                <c:pt idx="441">
                  <c:v>175.22725054946108</c:v>
                </c:pt>
                <c:pt idx="442">
                  <c:v>174.49121412999577</c:v>
                </c:pt>
                <c:pt idx="443">
                  <c:v>173.75915953958977</c:v>
                </c:pt>
                <c:pt idx="444">
                  <c:v>173.03118860920088</c:v>
                </c:pt>
                <c:pt idx="445">
                  <c:v>172.30741013735528</c:v>
                </c:pt>
                <c:pt idx="446">
                  <c:v>171.58793983108762</c:v>
                </c:pt>
                <c:pt idx="447">
                  <c:v>170.8729001731032</c:v>
                </c:pt>
                <c:pt idx="448">
                  <c:v>170.16242021352704</c:v>
                </c:pt>
                <c:pt idx="449">
                  <c:v>169.45663528506407</c:v>
                </c:pt>
                <c:pt idx="450">
                  <c:v>168.75568664090343</c:v>
                </c:pt>
                <c:pt idx="451">
                  <c:v>168.05972101525199</c:v>
                </c:pt>
                <c:pt idx="452">
                  <c:v>167.36889010696351</c:v>
                </c:pt>
                <c:pt idx="453">
                  <c:v>166.68334998734841</c:v>
                </c:pt>
                <c:pt idx="454">
                  <c:v>166.00326043390044</c:v>
                </c:pt>
                <c:pt idx="455">
                  <c:v>165.32878419233387</c:v>
                </c:pt>
                <c:pt idx="456">
                  <c:v>164.66008617001987</c:v>
                </c:pt>
                <c:pt idx="457">
                  <c:v>163.99733256458799</c:v>
                </c:pt>
                <c:pt idx="458">
                  <c:v>163.34068993215561</c:v>
                </c:pt>
                <c:pt idx="459">
                  <c:v>162.69032420032505</c:v>
                </c:pt>
                <c:pt idx="460">
                  <c:v>162.04639963174088</c:v>
                </c:pt>
                <c:pt idx="461">
                  <c:v>161.40907774464253</c:v>
                </c:pt>
                <c:pt idx="462">
                  <c:v>160.77851619742989</c:v>
                </c:pt>
                <c:pt idx="463">
                  <c:v>160.15486764481025</c:v>
                </c:pt>
                <c:pt idx="464">
                  <c:v>159.53827857359178</c:v>
                </c:pt>
                <c:pt idx="465">
                  <c:v>158.92888812661056</c:v>
                </c:pt>
                <c:pt idx="466">
                  <c:v>158.32682692363736</c:v>
                </c:pt>
                <c:pt idx="467">
                  <c:v>157.7322158884019</c:v>
                </c:pt>
                <c:pt idx="468">
                  <c:v>157.14516509105601</c:v>
                </c:pt>
                <c:pt idx="469">
                  <c:v>156.56577261553173</c:v>
                </c:pt>
                <c:pt idx="470">
                  <c:v>155.99412346125692</c:v>
                </c:pt>
                <c:pt idx="471">
                  <c:v>155.43028848864077</c:v>
                </c:pt>
                <c:pt idx="472">
                  <c:v>154.87432341757952</c:v>
                </c:pt>
                <c:pt idx="473">
                  <c:v>154.32626788798521</c:v>
                </c:pt>
                <c:pt idx="474">
                  <c:v>153.78614459100751</c:v>
                </c:pt>
                <c:pt idx="475">
                  <c:v>153.25395847920336</c:v>
                </c:pt>
                <c:pt idx="476">
                  <c:v>152.72969606339845</c:v>
                </c:pt>
                <c:pt idx="477">
                  <c:v>152.21332480341428</c:v>
                </c:pt>
                <c:pt idx="478">
                  <c:v>151.70479259917926</c:v>
                </c:pt>
                <c:pt idx="479">
                  <c:v>151.20402738803585</c:v>
                </c:pt>
                <c:pt idx="480">
                  <c:v>150.71093685327583</c:v>
                </c:pt>
                <c:pt idx="481">
                  <c:v>150.22540824812529</c:v>
                </c:pt>
                <c:pt idx="482">
                  <c:v>149.74730833852072</c:v>
                </c:pt>
                <c:pt idx="483">
                  <c:v>149.2764834671417</c:v>
                </c:pt>
                <c:pt idx="484">
                  <c:v>148.81275974022205</c:v>
                </c:pt>
                <c:pt idx="485">
                  <c:v>148.35594333773184</c:v>
                </c:pt>
                <c:pt idx="486">
                  <c:v>147.90582094657299</c:v>
                </c:pt>
                <c:pt idx="487">
                  <c:v>147.46216031547206</c:v>
                </c:pt>
                <c:pt idx="488">
                  <c:v>147.02471092933422</c:v>
                </c:pt>
                <c:pt idx="489">
                  <c:v>146.59320479987102</c:v>
                </c:pt>
                <c:pt idx="490">
                  <c:v>146.16735736844277</c:v>
                </c:pt>
                <c:pt idx="491">
                  <c:v>145.74686851617886</c:v>
                </c:pt>
                <c:pt idx="492">
                  <c:v>145.3314236756199</c:v>
                </c:pt>
                <c:pt idx="493">
                  <c:v>144.92069503735163</c:v>
                </c:pt>
                <c:pt idx="494">
                  <c:v>144.5143428443881</c:v>
                </c:pt>
                <c:pt idx="495">
                  <c:v>144.11201676640059</c:v>
                </c:pt>
                <c:pt idx="496">
                  <c:v>143.71335734530729</c:v>
                </c:pt>
                <c:pt idx="497">
                  <c:v>143.31799750322466</c:v>
                </c:pt>
                <c:pt idx="498">
                  <c:v>142.92556410333924</c:v>
                </c:pt>
                <c:pt idx="499">
                  <c:v>142.5356795539212</c:v>
                </c:pt>
                <c:pt idx="500">
                  <c:v>142.14796344540557</c:v>
                </c:pt>
                <c:pt idx="501">
                  <c:v>141.76203421030033</c:v>
                </c:pt>
                <c:pt idx="502">
                  <c:v>141.37751079556821</c:v>
                </c:pt>
                <c:pt idx="503">
                  <c:v>140.99401433711276</c:v>
                </c:pt>
                <c:pt idx="504">
                  <c:v>140.61116982606444</c:v>
                </c:pt>
                <c:pt idx="505">
                  <c:v>140.22860775670517</c:v>
                </c:pt>
                <c:pt idx="506">
                  <c:v>139.84596574609003</c:v>
                </c:pt>
                <c:pt idx="507">
                  <c:v>139.46289011572082</c:v>
                </c:pt>
                <c:pt idx="508">
                  <c:v>139.07903742597577</c:v>
                </c:pt>
                <c:pt idx="509">
                  <c:v>138.69407595443025</c:v>
                </c:pt>
                <c:pt idx="510">
                  <c:v>138.30768710967226</c:v>
                </c:pt>
                <c:pt idx="511">
                  <c:v>137.91956677274504</c:v>
                </c:pt>
                <c:pt idx="512">
                  <c:v>137.52942655891511</c:v>
                </c:pt>
                <c:pt idx="513">
                  <c:v>137.136994993071</c:v>
                </c:pt>
                <c:pt idx="514">
                  <c:v>136.74201859269607</c:v>
                </c:pt>
                <c:pt idx="515">
                  <c:v>136.34426285301595</c:v>
                </c:pt>
                <c:pt idx="516">
                  <c:v>135.94351312961055</c:v>
                </c:pt>
                <c:pt idx="517">
                  <c:v>135.53957541447093</c:v>
                </c:pt>
                <c:pt idx="518">
                  <c:v>135.13227700219434</c:v>
                </c:pt>
                <c:pt idx="519">
                  <c:v>134.72146704372611</c:v>
                </c:pt>
                <c:pt idx="520">
                  <c:v>134.30701698576908</c:v>
                </c:pt>
                <c:pt idx="521">
                  <c:v>133.88882089470769</c:v>
                </c:pt>
                <c:pt idx="522">
                  <c:v>133.46679566460284</c:v>
                </c:pt>
                <c:pt idx="523">
                  <c:v>133.04088110952409</c:v>
                </c:pt>
                <c:pt idx="524">
                  <c:v>132.61103994118409</c:v>
                </c:pt>
                <c:pt idx="525">
                  <c:v>132.17725763353559</c:v>
                </c:pt>
                <c:pt idx="526">
                  <c:v>131.73954217665354</c:v>
                </c:pt>
                <c:pt idx="527">
                  <c:v>131.29792372289825</c:v>
                </c:pt>
                <c:pt idx="528">
                  <c:v>130.8524541289776</c:v>
                </c:pt>
                <c:pt idx="529">
                  <c:v>130.40320639814911</c:v>
                </c:pt>
                <c:pt idx="530">
                  <c:v>129.95027402738901</c:v>
                </c:pt>
                <c:pt idx="531">
                  <c:v>129.49377026490203</c:v>
                </c:pt>
                <c:pt idx="532">
                  <c:v>129.03382728387328</c:v>
                </c:pt>
                <c:pt idx="533">
                  <c:v>128.57059527883581</c:v>
                </c:pt>
                <c:pt idx="534">
                  <c:v>128.10424149145715</c:v>
                </c:pt>
                <c:pt idx="535">
                  <c:v>127.63494917294477</c:v>
                </c:pt>
                <c:pt idx="536">
                  <c:v>127.16291649057594</c:v>
                </c:pt>
                <c:pt idx="537">
                  <c:v>126.68835538614714</c:v>
                </c:pt>
                <c:pt idx="538">
                  <c:v>126.21149039433135</c:v>
                </c:pt>
                <c:pt idx="539">
                  <c:v>125.73255742907558</c:v>
                </c:pt>
                <c:pt idx="540">
                  <c:v>125.25180254624357</c:v>
                </c:pt>
                <c:pt idx="541">
                  <c:v>124.76948069070292</c:v>
                </c:pt>
              </c:numCache>
            </c:numRef>
          </c:yVal>
          <c:smooth val="1"/>
          <c:extLst>
            <c:ext xmlns:c16="http://schemas.microsoft.com/office/drawing/2014/chart" uri="{C3380CC4-5D6E-409C-BE32-E72D297353CC}">
              <c16:uniqueId val="{00000001-D460-4B8F-883D-E581C837D15B}"/>
            </c:ext>
          </c:extLst>
        </c:ser>
        <c:dLbls>
          <c:showLegendKey val="0"/>
          <c:showVal val="0"/>
          <c:showCatName val="0"/>
          <c:showSerName val="0"/>
          <c:showPercent val="0"/>
          <c:showBubbleSize val="0"/>
        </c:dLbls>
        <c:axId val="175511040"/>
        <c:axId val="175509504"/>
      </c:scatterChart>
      <c:valAx>
        <c:axId val="178188288"/>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8190208"/>
        <c:crosses val="autoZero"/>
        <c:crossBetween val="midCat"/>
      </c:valAx>
      <c:valAx>
        <c:axId val="178190208"/>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78188288"/>
        <c:crosses val="autoZero"/>
        <c:crossBetween val="midCat"/>
        <c:majorUnit val="20"/>
        <c:minorUnit val="10"/>
      </c:valAx>
      <c:valAx>
        <c:axId val="175509504"/>
        <c:scaling>
          <c:orientation val="minMax"/>
          <c:max val="180"/>
          <c:min val="-180"/>
        </c:scaling>
        <c:delete val="0"/>
        <c:axPos val="r"/>
        <c:numFmt formatCode="General" sourceLinked="1"/>
        <c:majorTickMark val="out"/>
        <c:minorTickMark val="none"/>
        <c:tickLblPos val="nextTo"/>
        <c:crossAx val="175511040"/>
        <c:crosses val="max"/>
        <c:crossBetween val="midCat"/>
        <c:majorUnit val="90"/>
        <c:minorUnit val="45"/>
      </c:valAx>
      <c:valAx>
        <c:axId val="175511040"/>
        <c:scaling>
          <c:logBase val="10"/>
          <c:orientation val="minMax"/>
        </c:scaling>
        <c:delete val="1"/>
        <c:axPos val="b"/>
        <c:numFmt formatCode="0.00" sourceLinked="1"/>
        <c:majorTickMark val="out"/>
        <c:minorTickMark val="none"/>
        <c:tickLblPos val="nextTo"/>
        <c:crossAx val="175509504"/>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Loop_Modeling!$BD$19:$BD$560</c:f>
              <c:numCache>
                <c:formatCode>General</c:formatCode>
                <c:ptCount val="542"/>
                <c:pt idx="0">
                  <c:v>46.25222975393109</c:v>
                </c:pt>
                <c:pt idx="1">
                  <c:v>46.052231602630485</c:v>
                </c:pt>
                <c:pt idx="2">
                  <c:v>45.852233538455593</c:v>
                </c:pt>
                <c:pt idx="3">
                  <c:v>45.652235565512342</c:v>
                </c:pt>
                <c:pt idx="4">
                  <c:v>45.452237688100318</c:v>
                </c:pt>
                <c:pt idx="5">
                  <c:v>45.252239910721684</c:v>
                </c:pt>
                <c:pt idx="6">
                  <c:v>45.052242238090791</c:v>
                </c:pt>
                <c:pt idx="7">
                  <c:v>44.852244675143986</c:v>
                </c:pt>
                <c:pt idx="8">
                  <c:v>44.65224722705058</c:v>
                </c:pt>
                <c:pt idx="9">
                  <c:v>44.452249899223197</c:v>
                </c:pt>
                <c:pt idx="10">
                  <c:v>44.252252697329588</c:v>
                </c:pt>
                <c:pt idx="11">
                  <c:v>44.052255627304731</c:v>
                </c:pt>
                <c:pt idx="12">
                  <c:v>43.85225869536329</c:v>
                </c:pt>
                <c:pt idx="13">
                  <c:v>43.652261908012605</c:v>
                </c:pt>
                <c:pt idx="14">
                  <c:v>43.452265272066882</c:v>
                </c:pt>
                <c:pt idx="15">
                  <c:v>43.252268794661354</c:v>
                </c:pt>
                <c:pt idx="16">
                  <c:v>43.05227248326748</c:v>
                </c:pt>
                <c:pt idx="17">
                  <c:v>42.852276345708908</c:v>
                </c:pt>
                <c:pt idx="18">
                  <c:v>42.652280390177914</c:v>
                </c:pt>
                <c:pt idx="19">
                  <c:v>42.452284625252823</c:v>
                </c:pt>
                <c:pt idx="20">
                  <c:v>42.25228905991613</c:v>
                </c:pt>
                <c:pt idx="21">
                  <c:v>42.052293703573859</c:v>
                </c:pt>
                <c:pt idx="22">
                  <c:v>41.852298566075063</c:v>
                </c:pt>
                <c:pt idx="23">
                  <c:v>41.652303657733043</c:v>
                </c:pt>
                <c:pt idx="24">
                  <c:v>41.452308989347046</c:v>
                </c:pt>
                <c:pt idx="25">
                  <c:v>41.252314572225274</c:v>
                </c:pt>
                <c:pt idx="26">
                  <c:v>41.052320418208694</c:v>
                </c:pt>
                <c:pt idx="27">
                  <c:v>40.85232653969625</c:v>
                </c:pt>
                <c:pt idx="28">
                  <c:v>40.652332949671433</c:v>
                </c:pt>
                <c:pt idx="29">
                  <c:v>40.452339661729191</c:v>
                </c:pt>
                <c:pt idx="30">
                  <c:v>40.252346690105405</c:v>
                </c:pt>
                <c:pt idx="31">
                  <c:v>40.052354049706452</c:v>
                </c:pt>
                <c:pt idx="32">
                  <c:v>39.852361756141377</c:v>
                </c:pt>
                <c:pt idx="33">
                  <c:v>39.652369825754732</c:v>
                </c:pt>
                <c:pt idx="34">
                  <c:v>39.45237827566104</c:v>
                </c:pt>
                <c:pt idx="35">
                  <c:v>39.252387123781467</c:v>
                </c:pt>
                <c:pt idx="36">
                  <c:v>39.052396388881547</c:v>
                </c:pt>
                <c:pt idx="37">
                  <c:v>38.852406090611112</c:v>
                </c:pt>
                <c:pt idx="38">
                  <c:v>38.652416249545666</c:v>
                </c:pt>
                <c:pt idx="39">
                  <c:v>38.452426887230551</c:v>
                </c:pt>
                <c:pt idx="40">
                  <c:v>38.252438026225953</c:v>
                </c:pt>
                <c:pt idx="41">
                  <c:v>38.052449690155314</c:v>
                </c:pt>
                <c:pt idx="42">
                  <c:v>37.852461903754943</c:v>
                </c:pt>
                <c:pt idx="43">
                  <c:v>37.652474692926845</c:v>
                </c:pt>
                <c:pt idx="44">
                  <c:v>37.452488084793252</c:v>
                </c:pt>
                <c:pt idx="45">
                  <c:v>37.252502107754438</c:v>
                </c:pt>
                <c:pt idx="46">
                  <c:v>37.052516791548605</c:v>
                </c:pt>
                <c:pt idx="47">
                  <c:v>36.852532167315253</c:v>
                </c:pt>
                <c:pt idx="48">
                  <c:v>36.652548267660812</c:v>
                </c:pt>
                <c:pt idx="49">
                  <c:v>36.452565126727976</c:v>
                </c:pt>
                <c:pt idx="50">
                  <c:v>36.25258278026805</c:v>
                </c:pt>
                <c:pt idx="51">
                  <c:v>36.052601265716511</c:v>
                </c:pt>
                <c:pt idx="52">
                  <c:v>35.852620622272639</c:v>
                </c:pt>
                <c:pt idx="53">
                  <c:v>35.652640890982219</c:v>
                </c:pt>
                <c:pt idx="54">
                  <c:v>35.452662114824726</c:v>
                </c:pt>
                <c:pt idx="55">
                  <c:v>35.252684338804436</c:v>
                </c:pt>
                <c:pt idx="56">
                  <c:v>35.052707610045587</c:v>
                </c:pt>
                <c:pt idx="57">
                  <c:v>34.852731977892205</c:v>
                </c:pt>
                <c:pt idx="58">
                  <c:v>34.652757494012853</c:v>
                </c:pt>
                <c:pt idx="59">
                  <c:v>34.452784212509741</c:v>
                </c:pt>
                <c:pt idx="60">
                  <c:v>34.252812190033531</c:v>
                </c:pt>
                <c:pt idx="61">
                  <c:v>34.052841485903322</c:v>
                </c:pt>
                <c:pt idx="62">
                  <c:v>33.852872162232089</c:v>
                </c:pt>
                <c:pt idx="63">
                  <c:v>33.652904284058309</c:v>
                </c:pt>
                <c:pt idx="64">
                  <c:v>33.452937919483688</c:v>
                </c:pt>
                <c:pt idx="65">
                  <c:v>33.252973139817279</c:v>
                </c:pt>
                <c:pt idx="66">
                  <c:v>33.053010019726472</c:v>
                </c:pt>
                <c:pt idx="67">
                  <c:v>32.853048637394906</c:v>
                </c:pt>
                <c:pt idx="68">
                  <c:v>32.653089074688168</c:v>
                </c:pt>
                <c:pt idx="69">
                  <c:v>32.453131417326865</c:v>
                </c:pt>
                <c:pt idx="70">
                  <c:v>32.253175755067993</c:v>
                </c:pt>
                <c:pt idx="71">
                  <c:v>32.053222181894981</c:v>
                </c:pt>
                <c:pt idx="72">
                  <c:v>31.853270796216488</c:v>
                </c:pt>
                <c:pt idx="73">
                  <c:v>31.65332170107423</c:v>
                </c:pt>
                <c:pt idx="74">
                  <c:v>31.453375004361416</c:v>
                </c:pt>
                <c:pt idx="75">
                  <c:v>31.253430819050607</c:v>
                </c:pt>
                <c:pt idx="76">
                  <c:v>31.053489263432471</c:v>
                </c:pt>
                <c:pt idx="77">
                  <c:v>30.853550461366133</c:v>
                </c:pt>
                <c:pt idx="78">
                  <c:v>30.653614542540847</c:v>
                </c:pt>
                <c:pt idx="79">
                  <c:v>30.453681642749988</c:v>
                </c:pt>
                <c:pt idx="80">
                  <c:v>30.253751904178007</c:v>
                </c:pt>
                <c:pt idx="81">
                  <c:v>30.053825475700901</c:v>
                </c:pt>
                <c:pt idx="82">
                  <c:v>29.853902513200566</c:v>
                </c:pt>
                <c:pt idx="83">
                  <c:v>29.653983179894034</c:v>
                </c:pt>
                <c:pt idx="84">
                  <c:v>29.454067646677991</c:v>
                </c:pt>
                <c:pt idx="85">
                  <c:v>29.254156092489584</c:v>
                </c:pt>
                <c:pt idx="86">
                  <c:v>29.05424870468396</c:v>
                </c:pt>
                <c:pt idx="87">
                  <c:v>28.854345679429713</c:v>
                </c:pt>
                <c:pt idx="88">
                  <c:v>28.654447222122347</c:v>
                </c:pt>
                <c:pt idx="89">
                  <c:v>28.454553547817717</c:v>
                </c:pt>
                <c:pt idx="90">
                  <c:v>28.254664881685315</c:v>
                </c:pt>
                <c:pt idx="91">
                  <c:v>28.054781459482648</c:v>
                </c:pt>
                <c:pt idx="92">
                  <c:v>27.854903528052191</c:v>
                </c:pt>
                <c:pt idx="93">
                  <c:v>27.655031345841067</c:v>
                </c:pt>
                <c:pt idx="94">
                  <c:v>27.45516518344543</c:v>
                </c:pt>
                <c:pt idx="95">
                  <c:v>27.25530532417983</c:v>
                </c:pt>
                <c:pt idx="96">
                  <c:v>27.055452064673375</c:v>
                </c:pt>
                <c:pt idx="97">
                  <c:v>26.855605715493699</c:v>
                </c:pt>
                <c:pt idx="98">
                  <c:v>26.655766601799698</c:v>
                </c:pt>
                <c:pt idx="99">
                  <c:v>26.455935064024963</c:v>
                </c:pt>
                <c:pt idx="100">
                  <c:v>26.256111458592834</c:v>
                </c:pt>
                <c:pt idx="101">
                  <c:v>26.056296158664694</c:v>
                </c:pt>
                <c:pt idx="102">
                  <c:v>25.8564895549234</c:v>
                </c:pt>
                <c:pt idx="103">
                  <c:v>25.656692056392053</c:v>
                </c:pt>
                <c:pt idx="104">
                  <c:v>25.456904091292245</c:v>
                </c:pt>
                <c:pt idx="105">
                  <c:v>25.257126107940778</c:v>
                </c:pt>
                <c:pt idx="106">
                  <c:v>25.057358575688617</c:v>
                </c:pt>
                <c:pt idx="107">
                  <c:v>24.857601985903045</c:v>
                </c:pt>
                <c:pt idx="108">
                  <c:v>24.65785685299544</c:v>
                </c:pt>
                <c:pt idx="109">
                  <c:v>24.458123715496214</c:v>
                </c:pt>
                <c:pt idx="110">
                  <c:v>24.258403137179727</c:v>
                </c:pt>
                <c:pt idx="111">
                  <c:v>24.058695708240748</c:v>
                </c:pt>
                <c:pt idx="112">
                  <c:v>23.859002046525344</c:v>
                </c:pt>
                <c:pt idx="113">
                  <c:v>23.659322798818259</c:v>
                </c:pt>
                <c:pt idx="114">
                  <c:v>23.459658642189439</c:v>
                </c:pt>
                <c:pt idx="115">
                  <c:v>23.260010285402526</c:v>
                </c:pt>
                <c:pt idx="116">
                  <c:v>23.0603784703878</c:v>
                </c:pt>
                <c:pt idx="117">
                  <c:v>22.86076397378249</c:v>
                </c:pt>
                <c:pt idx="118">
                  <c:v>22.661167608541533</c:v>
                </c:pt>
                <c:pt idx="119">
                  <c:v>22.461590225622121</c:v>
                </c:pt>
                <c:pt idx="120">
                  <c:v>22.262032715744411</c:v>
                </c:pt>
                <c:pt idx="121">
                  <c:v>22.062496011233272</c:v>
                </c:pt>
                <c:pt idx="122">
                  <c:v>21.862981087942739</c:v>
                </c:pt>
                <c:pt idx="123">
                  <c:v>21.663488967268222</c:v>
                </c:pt>
                <c:pt idx="124">
                  <c:v>21.464020718250097</c:v>
                </c:pt>
                <c:pt idx="125">
                  <c:v>21.264577459771242</c:v>
                </c:pt>
                <c:pt idx="126">
                  <c:v>21.065160362855096</c:v>
                </c:pt>
                <c:pt idx="127">
                  <c:v>20.865770653065738</c:v>
                </c:pt>
                <c:pt idx="128">
                  <c:v>20.666409613016505</c:v>
                </c:pt>
                <c:pt idx="129">
                  <c:v>20.467078584990613</c:v>
                </c:pt>
                <c:pt idx="130">
                  <c:v>20.267778973678858</c:v>
                </c:pt>
                <c:pt idx="131">
                  <c:v>20.068512249039145</c:v>
                </c:pt>
                <c:pt idx="132">
                  <c:v>19.869279949283023</c:v>
                </c:pt>
                <c:pt idx="133">
                  <c:v>19.670083683994847</c:v>
                </c:pt>
                <c:pt idx="134">
                  <c:v>19.470925137387741</c:v>
                </c:pt>
                <c:pt idx="135">
                  <c:v>19.271806071703931</c:v>
                </c:pt>
                <c:pt idx="136">
                  <c:v>19.072728330763191</c:v>
                </c:pt>
                <c:pt idx="137">
                  <c:v>18.873693843667031</c:v>
                </c:pt>
                <c:pt idx="138">
                  <c:v>18.674704628663466</c:v>
                </c:pt>
                <c:pt idx="139">
                  <c:v>18.475762797180035</c:v>
                </c:pt>
                <c:pt idx="140">
                  <c:v>18.276870558030033</c:v>
                </c:pt>
                <c:pt idx="141">
                  <c:v>18.07803022180045</c:v>
                </c:pt>
                <c:pt idx="142">
                  <c:v>17.879244205426623</c:v>
                </c:pt>
                <c:pt idx="143">
                  <c:v>17.680515036962284</c:v>
                </c:pt>
                <c:pt idx="144">
                  <c:v>17.481845360551244</c:v>
                </c:pt>
                <c:pt idx="145">
                  <c:v>17.283237941608107</c:v>
                </c:pt>
                <c:pt idx="146">
                  <c:v>17.084695672216483</c:v>
                </c:pt>
                <c:pt idx="147">
                  <c:v>16.886221576751048</c:v>
                </c:pt>
                <c:pt idx="148">
                  <c:v>16.687818817732083</c:v>
                </c:pt>
                <c:pt idx="149">
                  <c:v>16.489490701920648</c:v>
                </c:pt>
                <c:pt idx="150">
                  <c:v>16.29124068666135</c:v>
                </c:pt>
                <c:pt idx="151">
                  <c:v>16.093072386481882</c:v>
                </c:pt>
                <c:pt idx="152">
                  <c:v>15.894989579956999</c:v>
                </c:pt>
                <c:pt idx="153">
                  <c:v>15.696996216845021</c:v>
                </c:pt>
                <c:pt idx="154">
                  <c:v>15.499096425505511</c:v>
                </c:pt>
                <c:pt idx="155">
                  <c:v>15.301294520605602</c:v>
                </c:pt>
                <c:pt idx="156">
                  <c:v>15.103595011123803</c:v>
                </c:pt>
                <c:pt idx="157">
                  <c:v>14.906002608658833</c:v>
                </c:pt>
                <c:pt idx="158">
                  <c:v>14.708522236051396</c:v>
                </c:pt>
                <c:pt idx="159">
                  <c:v>14.511159036326548</c:v>
                </c:pt>
                <c:pt idx="160">
                  <c:v>14.313918381964205</c:v>
                </c:pt>
                <c:pt idx="161">
                  <c:v>14.116805884504593</c:v>
                </c:pt>
                <c:pt idx="162">
                  <c:v>13.919827404495365</c:v>
                </c:pt>
                <c:pt idx="163">
                  <c:v>13.722989061786874</c:v>
                </c:pt>
                <c:pt idx="164">
                  <c:v>13.526297246180691</c:v>
                </c:pt>
                <c:pt idx="165">
                  <c:v>13.329758628437158</c:v>
                </c:pt>
                <c:pt idx="166">
                  <c:v>13.133380171645229</c:v>
                </c:pt>
                <c:pt idx="167">
                  <c:v>12.937169142959178</c:v>
                </c:pt>
                <c:pt idx="168">
                  <c:v>12.741133125703621</c:v>
                </c:pt>
                <c:pt idx="169">
                  <c:v>12.545280031848758</c:v>
                </c:pt>
                <c:pt idx="170">
                  <c:v>12.349618114855796</c:v>
                </c:pt>
                <c:pt idx="171">
                  <c:v>12.154155982891409</c:v>
                </c:pt>
                <c:pt idx="172">
                  <c:v>11.958902612407904</c:v>
                </c:pt>
                <c:pt idx="173">
                  <c:v>11.763867362085442</c:v>
                </c:pt>
                <c:pt idx="174">
                  <c:v>11.569059987128929</c:v>
                </c:pt>
                <c:pt idx="175">
                  <c:v>11.374490653911453</c:v>
                </c:pt>
                <c:pt idx="176">
                  <c:v>11.180169954953508</c:v>
                </c:pt>
                <c:pt idx="177">
                  <c:v>10.986108924224048</c:v>
                </c:pt>
                <c:pt idx="178">
                  <c:v>10.792319052747416</c:v>
                </c:pt>
                <c:pt idx="179">
                  <c:v>10.598812304497118</c:v>
                </c:pt>
                <c:pt idx="180">
                  <c:v>10.405601132552968</c:v>
                </c:pt>
                <c:pt idx="181">
                  <c:v>10.212698495496317</c:v>
                </c:pt>
                <c:pt idx="182">
                  <c:v>10.020117874012582</c:v>
                </c:pt>
                <c:pt idx="183">
                  <c:v>9.8278732876670958</c:v>
                </c:pt>
                <c:pt idx="184">
                  <c:v>9.6359793118149319</c:v>
                </c:pt>
                <c:pt idx="185">
                  <c:v>9.4444510946020355</c:v>
                </c:pt>
                <c:pt idx="186">
                  <c:v>9.2533043740074401</c:v>
                </c:pt>
                <c:pt idx="187">
                  <c:v>9.0625554948732763</c:v>
                </c:pt>
                <c:pt idx="188">
                  <c:v>8.8722214258619605</c:v>
                </c:pt>
                <c:pt idx="189">
                  <c:v>8.6823197762737276</c:v>
                </c:pt>
                <c:pt idx="190">
                  <c:v>8.4928688126523522</c:v>
                </c:pt>
                <c:pt idx="191">
                  <c:v>8.3038874750984668</c:v>
                </c:pt>
                <c:pt idx="192">
                  <c:v>8.11539539320421</c:v>
                </c:pt>
                <c:pt idx="193">
                  <c:v>7.9274129015137937</c:v>
                </c:pt>
                <c:pt idx="194">
                  <c:v>7.7399610544084938</c:v>
                </c:pt>
                <c:pt idx="195">
                  <c:v>7.5530616403061215</c:v>
                </c:pt>
                <c:pt idx="196">
                  <c:v>7.3667371950555527</c:v>
                </c:pt>
                <c:pt idx="197">
                  <c:v>7.1810110144000401</c:v>
                </c:pt>
                <c:pt idx="198">
                  <c:v>6.9959071653752591</c:v>
                </c:pt>
                <c:pt idx="199">
                  <c:v>6.8114504964962173</c:v>
                </c:pt>
                <c:pt idx="200">
                  <c:v>6.6276666465832381</c:v>
                </c:pt>
                <c:pt idx="201">
                  <c:v>6.4445820520649812</c:v>
                </c:pt>
                <c:pt idx="202">
                  <c:v>6.2622239525918886</c:v>
                </c:pt>
                <c:pt idx="203">
                  <c:v>6.0806203947817199</c:v>
                </c:pt>
                <c:pt idx="204">
                  <c:v>5.8998002339170572</c:v>
                </c:pt>
                <c:pt idx="205">
                  <c:v>5.7197931334013159</c:v>
                </c:pt>
                <c:pt idx="206">
                  <c:v>5.5406295617820787</c:v>
                </c:pt>
                <c:pt idx="207">
                  <c:v>5.3623407871363904</c:v>
                </c:pt>
                <c:pt idx="208">
                  <c:v>5.1849588686186578</c:v>
                </c:pt>
                <c:pt idx="209">
                  <c:v>5.0085166449613086</c:v>
                </c:pt>
                <c:pt idx="210">
                  <c:v>4.8330477197219768</c:v>
                </c:pt>
                <c:pt idx="211">
                  <c:v>4.6585864430708392</c:v>
                </c:pt>
                <c:pt idx="212">
                  <c:v>4.4851678899131961</c:v>
                </c:pt>
                <c:pt idx="213">
                  <c:v>4.3128278341494273</c:v>
                </c:pt>
                <c:pt idx="214">
                  <c:v>4.141602718879442</c:v>
                </c:pt>
                <c:pt idx="215">
                  <c:v>3.9715296223700802</c:v>
                </c:pt>
                <c:pt idx="216">
                  <c:v>3.8026462196157294</c:v>
                </c:pt>
                <c:pt idx="217">
                  <c:v>3.6349907393381322</c:v>
                </c:pt>
                <c:pt idx="218">
                  <c:v>3.4686019162902899</c:v>
                </c:pt>
                <c:pt idx="219">
                  <c:v>3.3035189387496651</c:v>
                </c:pt>
                <c:pt idx="220">
                  <c:v>3.1397813911136359</c:v>
                </c:pt>
                <c:pt idx="221">
                  <c:v>2.9774291915365172</c:v>
                </c:pt>
                <c:pt idx="222">
                  <c:v>2.8165025245798785</c:v>
                </c:pt>
                <c:pt idx="223">
                  <c:v>2.6570417688848051</c:v>
                </c:pt>
                <c:pt idx="224">
                  <c:v>2.4990874199109325</c:v>
                </c:pt>
                <c:pt idx="225">
                  <c:v>2.3426800078316905</c:v>
                </c:pt>
                <c:pt idx="226">
                  <c:v>2.1878600107175048</c:v>
                </c:pt>
                <c:pt idx="227">
                  <c:v>2.0346677631872492</c:v>
                </c:pt>
                <c:pt idx="228">
                  <c:v>1.8831433607584522</c:v>
                </c:pt>
                <c:pt idx="229">
                  <c:v>1.7333265601752592</c:v>
                </c:pt>
                <c:pt idx="230">
                  <c:v>1.5852566760501821</c:v>
                </c:pt>
                <c:pt idx="231">
                  <c:v>1.438972474202743</c:v>
                </c:pt>
                <c:pt idx="232">
                  <c:v>1.2945120621371118</c:v>
                </c:pt>
                <c:pt idx="233">
                  <c:v>1.1519127771477813</c:v>
                </c:pt>
                <c:pt idx="234">
                  <c:v>1.0112110725948151</c:v>
                </c:pt>
                <c:pt idx="235">
                  <c:v>0.87244240293841457</c:v>
                </c:pt>
                <c:pt idx="236">
                  <c:v>0.73564110816399364</c:v>
                </c:pt>
                <c:pt idx="237">
                  <c:v>0.60084029827134577</c:v>
                </c:pt>
                <c:pt idx="238">
                  <c:v>0.46807173853350958</c:v>
                </c:pt>
                <c:pt idx="239">
                  <c:v>0.33736573626129834</c:v>
                </c:pt>
                <c:pt idx="240">
                  <c:v>0.20875102982754556</c:v>
                </c:pt>
                <c:pt idx="241">
                  <c:v>8.2254680722136431E-2</c:v>
                </c:pt>
                <c:pt idx="242">
                  <c:v>-4.2098030589868954E-2</c:v>
                </c:pt>
                <c:pt idx="243">
                  <c:v>-0.16428370423557745</c:v>
                </c:pt>
                <c:pt idx="244">
                  <c:v>-0.2842809151714058</c:v>
                </c:pt>
                <c:pt idx="245">
                  <c:v>-0.40207030135541411</c:v>
                </c:pt>
                <c:pt idx="246">
                  <c:v>-0.51763464515330548</c:v>
                </c:pt>
                <c:pt idx="247">
                  <c:v>-0.63095894731944946</c:v>
                </c:pt>
                <c:pt idx="248">
                  <c:v>-0.74203049294327028</c:v>
                </c:pt>
                <c:pt idx="249">
                  <c:v>-0.850838908813627</c:v>
                </c:pt>
                <c:pt idx="250">
                  <c:v>-0.95737621171879606</c:v>
                </c:pt>
                <c:pt idx="251">
                  <c:v>-1.0616368472779756</c:v>
                </c:pt>
                <c:pt idx="252">
                  <c:v>-1.16361771897736</c:v>
                </c:pt>
                <c:pt idx="253">
                  <c:v>-1.2633182071735249</c:v>
                </c:pt>
                <c:pt idx="254">
                  <c:v>-1.3607401779135273</c:v>
                </c:pt>
                <c:pt idx="255">
                  <c:v>-1.4558879815157297</c:v>
                </c:pt>
                <c:pt idx="256">
                  <c:v>-1.5487684409461342</c:v>
                </c:pt>
                <c:pt idx="257">
                  <c:v>-1.6393908301187903</c:v>
                </c:pt>
                <c:pt idx="258">
                  <c:v>-1.7277668423397683</c:v>
                </c:pt>
                <c:pt idx="259">
                  <c:v>-1.8139105492000875</c:v>
                </c:pt>
                <c:pt idx="260">
                  <c:v>-1.8978383503072926</c:v>
                </c:pt>
                <c:pt idx="261">
                  <c:v>-1.9795689143206021</c:v>
                </c:pt>
                <c:pt idx="262">
                  <c:v>-2.0591231118274482</c:v>
                </c:pt>
                <c:pt idx="263">
                  <c:v>-2.1365239406581149</c:v>
                </c:pt>
                <c:pt idx="264">
                  <c:v>-2.2117964442920872</c:v>
                </c:pt>
                <c:pt idx="265">
                  <c:v>-2.2849676240537606</c:v>
                </c:pt>
                <c:pt idx="266">
                  <c:v>-2.3560663458291713</c:v>
                </c:pt>
                <c:pt idx="267">
                  <c:v>-2.4251232420641062</c:v>
                </c:pt>
                <c:pt idx="268">
                  <c:v>-2.492170609818058</c:v>
                </c:pt>
                <c:pt idx="269">
                  <c:v>-2.5572423056566902</c:v>
                </c:pt>
                <c:pt idx="270">
                  <c:v>-2.6203736381624978</c:v>
                </c:pt>
                <c:pt idx="271">
                  <c:v>-2.6816012588337417</c:v>
                </c:pt>
                <c:pt idx="272">
                  <c:v>-2.740963052122662</c:v>
                </c:pt>
                <c:pt idx="273">
                  <c:v>-2.7984980253366616</c:v>
                </c:pt>
                <c:pt idx="274">
                  <c:v>-2.854246199097326</c:v>
                </c:pt>
                <c:pt idx="275">
                  <c:v>-2.9082484990101474</c:v>
                </c:pt>
                <c:pt idx="276">
                  <c:v>-2.9605466491579091</c:v>
                </c:pt>
                <c:pt idx="277">
                  <c:v>-3.0111830679833957</c:v>
                </c:pt>
                <c:pt idx="278">
                  <c:v>-3.0602007670774576</c:v>
                </c:pt>
                <c:pt idx="279">
                  <c:v>-3.1076432533376934</c:v>
                </c:pt>
                <c:pt idx="280">
                  <c:v>-3.1535544349098084</c:v>
                </c:pt>
                <c:pt idx="281">
                  <c:v>-3.1979785312711244</c:v>
                </c:pt>
                <c:pt idx="282">
                  <c:v>-3.2409599877632673</c:v>
                </c:pt>
                <c:pt idx="283">
                  <c:v>-3.2825433948286316</c:v>
                </c:pt>
                <c:pt idx="284">
                  <c:v>-3.3227734121559438</c:v>
                </c:pt>
                <c:pt idx="285">
                  <c:v>-3.3616946978914508</c:v>
                </c:pt>
                <c:pt idx="286">
                  <c:v>-3.3993518430268876</c:v>
                </c:pt>
                <c:pt idx="287">
                  <c:v>-3.4357893110328588</c:v>
                </c:pt>
                <c:pt idx="288">
                  <c:v>-3.4710513827651557</c:v>
                </c:pt>
                <c:pt idx="289">
                  <c:v>-3.505182106636775</c:v>
                </c:pt>
                <c:pt idx="290">
                  <c:v>-3.5382252540131738</c:v>
                </c:pt>
                <c:pt idx="291">
                  <c:v>-3.5702242797595591</c:v>
                </c:pt>
                <c:pt idx="292">
                  <c:v>-3.6012222878422078</c:v>
                </c:pt>
                <c:pt idx="293">
                  <c:v>-3.6312620018616393</c:v>
                </c:pt>
                <c:pt idx="294">
                  <c:v>-3.660385740376749</c:v>
                </c:pt>
                <c:pt idx="295">
                  <c:v>-3.6886353968611814</c:v>
                </c:pt>
                <c:pt idx="296">
                  <c:v>-3.7160524241186743</c:v>
                </c:pt>
                <c:pt idx="297">
                  <c:v>-3.7426778229736497</c:v>
                </c:pt>
                <c:pt idx="298">
                  <c:v>-3.7685521350441631</c:v>
                </c:pt>
                <c:pt idx="299">
                  <c:v>-3.7937154393971824</c:v>
                </c:pt>
                <c:pt idx="300">
                  <c:v>-3.8182073528818901</c:v>
                </c:pt>
                <c:pt idx="301">
                  <c:v>-3.8420670339352658</c:v>
                </c:pt>
                <c:pt idx="302">
                  <c:v>-3.8653331896504515</c:v>
                </c:pt>
                <c:pt idx="303">
                  <c:v>-3.8880440859019054</c:v>
                </c:pt>
                <c:pt idx="304">
                  <c:v>-3.910237560320585</c:v>
                </c:pt>
                <c:pt idx="305">
                  <c:v>-3.9319510379160896</c:v>
                </c:pt>
                <c:pt idx="306">
                  <c:v>-3.9532215491456748</c:v>
                </c:pt>
                <c:pt idx="307">
                  <c:v>-3.9740857502344351</c:v>
                </c:pt>
                <c:pt idx="308">
                  <c:v>-3.9945799455542326</c:v>
                </c:pt>
                <c:pt idx="309">
                  <c:v>-4.0147401118756223</c:v>
                </c:pt>
                <c:pt idx="310">
                  <c:v>-4.0346019243094293</c:v>
                </c:pt>
                <c:pt idx="311">
                  <c:v>-4.0542007837617842</c:v>
                </c:pt>
                <c:pt idx="312">
                  <c:v>-4.073571845729357</c:v>
                </c:pt>
                <c:pt idx="313">
                  <c:v>-4.092750050267111</c:v>
                </c:pt>
                <c:pt idx="314">
                  <c:v>-4.1117701529648194</c:v>
                </c:pt>
                <c:pt idx="315">
                  <c:v>-4.1306667567718502</c:v>
                </c:pt>
                <c:pt idx="316">
                  <c:v>-4.1494743445144238</c:v>
                </c:pt>
                <c:pt idx="317">
                  <c:v>-4.1682273119505533</c:v>
                </c:pt>
                <c:pt idx="318">
                  <c:v>-4.1869600012117019</c:v>
                </c:pt>
                <c:pt idx="319">
                  <c:v>-4.205706734481133</c:v>
                </c:pt>
                <c:pt idx="320">
                  <c:v>-4.2245018477597913</c:v>
                </c:pt>
                <c:pt idx="321">
                  <c:v>-4.2433797245716702</c:v>
                </c:pt>
                <c:pt idx="322">
                  <c:v>-4.2623748294595751</c:v>
                </c:pt>
                <c:pt idx="323">
                  <c:v>-4.281521741121578</c:v>
                </c:pt>
                <c:pt idx="324">
                  <c:v>-4.3008551850369807</c:v>
                </c:pt>
                <c:pt idx="325">
                  <c:v>-4.3204100654286268</c:v>
                </c:pt>
                <c:pt idx="326">
                  <c:v>-4.3402214964054497</c:v>
                </c:pt>
                <c:pt idx="327">
                  <c:v>-4.3603248321252224</c:v>
                </c:pt>
                <c:pt idx="328">
                  <c:v>-4.3807556958152372</c:v>
                </c:pt>
                <c:pt idx="329">
                  <c:v>-4.40155000748332</c:v>
                </c:pt>
                <c:pt idx="330">
                  <c:v>-4.4227440101474507</c:v>
                </c:pt>
                <c:pt idx="331">
                  <c:v>-4.444374294407897</c:v>
                </c:pt>
                <c:pt idx="332">
                  <c:v>-4.466477821180125</c:v>
                </c:pt>
                <c:pt idx="333">
                  <c:v>-4.4890919424028333</c:v>
                </c:pt>
                <c:pt idx="334">
                  <c:v>-4.5122544195306542</c:v>
                </c:pt>
                <c:pt idx="335">
                  <c:v>-4.5360034396148423</c:v>
                </c:pt>
                <c:pt idx="336">
                  <c:v>-4.5603776287749413</c:v>
                </c:pt>
                <c:pt idx="337">
                  <c:v>-4.5854160628561864</c:v>
                </c:pt>
                <c:pt idx="338">
                  <c:v>-4.6111582750689264</c:v>
                </c:pt>
                <c:pt idx="339">
                  <c:v>-4.6376442604017978</c:v>
                </c:pt>
                <c:pt idx="340">
                  <c:v>-4.6649144766014929</c:v>
                </c:pt>
                <c:pt idx="341">
                  <c:v>-4.6930098415111523</c:v>
                </c:pt>
                <c:pt idx="342">
                  <c:v>-4.7219717265634022</c:v>
                </c:pt>
                <c:pt idx="343">
                  <c:v>-4.7518419462268522</c:v>
                </c:pt>
                <c:pt idx="344">
                  <c:v>-4.7826627432122839</c:v>
                </c:pt>
                <c:pt idx="345">
                  <c:v>-4.8144767692517192</c:v>
                </c:pt>
                <c:pt idx="346">
                  <c:v>-4.8473270612761468</c:v>
                </c:pt>
                <c:pt idx="347">
                  <c:v>-4.8812570128300869</c:v>
                </c:pt>
                <c:pt idx="348">
                  <c:v>-4.9163103405781712</c:v>
                </c:pt>
                <c:pt idx="349">
                  <c:v>-4.9525310457783558</c:v>
                </c:pt>
                <c:pt idx="350">
                  <c:v>-4.9899633706192086</c:v>
                </c:pt>
                <c:pt idx="351">
                  <c:v>-5.0286517493442346</c:v>
                </c:pt>
                <c:pt idx="352">
                  <c:v>-5.0686407541168048</c:v>
                </c:pt>
                <c:pt idx="353">
                  <c:v>-5.1099750356096205</c:v>
                </c:pt>
                <c:pt idx="354">
                  <c:v>-5.1526992583417428</c:v>
                </c:pt>
                <c:pt idx="355">
                  <c:v>-5.1968580308232291</c:v>
                </c:pt>
                <c:pt idx="356">
                  <c:v>-5.2424958306100926</c:v>
                </c:pt>
                <c:pt idx="357">
                  <c:v>-5.2896569244187566</c:v>
                </c:pt>
                <c:pt idx="358">
                  <c:v>-5.3383852834956382</c:v>
                </c:pt>
                <c:pt idx="359">
                  <c:v>-5.3887244944873389</c:v>
                </c:pt>
                <c:pt idx="360">
                  <c:v>-5.4407176661093137</c:v>
                </c:pt>
                <c:pt idx="361">
                  <c:v>-5.4944073319623321</c:v>
                </c:pt>
                <c:pt idx="362">
                  <c:v>-5.5498353498996158</c:v>
                </c:pt>
                <c:pt idx="363">
                  <c:v>-5.6070427984006299</c:v>
                </c:pt>
                <c:pt idx="364">
                  <c:v>-5.6660698704574441</c:v>
                </c:pt>
                <c:pt idx="365">
                  <c:v>-5.7269557655318675</c:v>
                </c:pt>
                <c:pt idx="366">
                  <c:v>-5.7897385801865875</c:v>
                </c:pt>
                <c:pt idx="367">
                  <c:v>-5.8544551980372344</c:v>
                </c:pt>
                <c:pt idx="368">
                  <c:v>-5.9211411797130431</c:v>
                </c:pt>
                <c:pt idx="369">
                  <c:v>-5.9898306535438266</c:v>
                </c:pt>
                <c:pt idx="370">
                  <c:v>-6.0605562077216355</c:v>
                </c:pt>
                <c:pt idx="371">
                  <c:v>-6.1333487847024735</c:v>
                </c:pt>
                <c:pt idx="372">
                  <c:v>-6.2082375786281681</c:v>
                </c:pt>
                <c:pt idx="373">
                  <c:v>-6.2852499365497554</c:v>
                </c:pt>
                <c:pt idx="374">
                  <c:v>-6.3644112642307586</c:v>
                </c:pt>
                <c:pt idx="375">
                  <c:v>-6.445744937292158</c:v>
                </c:pt>
                <c:pt idx="376">
                  <c:v>-6.5292722184374163</c:v>
                </c:pt>
                <c:pt idx="377">
                  <c:v>-6.6150121814632961</c:v>
                </c:pt>
                <c:pt idx="378">
                  <c:v>-6.7029816427159519</c:v>
                </c:pt>
                <c:pt idx="379">
                  <c:v>-6.7931951006030724</c:v>
                </c:pt>
                <c:pt idx="380">
                  <c:v>-6.8856646837089936</c:v>
                </c:pt>
                <c:pt idx="381">
                  <c:v>-6.9804001079925637</c:v>
                </c:pt>
                <c:pt idx="382">
                  <c:v>-7.0774086434710659</c:v>
                </c:pt>
                <c:pt idx="383">
                  <c:v>-7.1766950907117257</c:v>
                </c:pt>
                <c:pt idx="384">
                  <c:v>-7.2782617673657413</c:v>
                </c:pt>
                <c:pt idx="385">
                  <c:v>-7.3821085048904731</c:v>
                </c:pt>
                <c:pt idx="386">
                  <c:v>-7.4882326555111822</c:v>
                </c:pt>
                <c:pt idx="387">
                  <c:v>-7.596629109383473</c:v>
                </c:pt>
                <c:pt idx="388">
                  <c:v>-7.7072903218225006</c:v>
                </c:pt>
                <c:pt idx="389">
                  <c:v>-7.8202063503768144</c:v>
                </c:pt>
                <c:pt idx="390">
                  <c:v>-7.9353649014366674</c:v>
                </c:pt>
                <c:pt idx="391">
                  <c:v>-8.0527513859858484</c:v>
                </c:pt>
                <c:pt idx="392">
                  <c:v>-8.172348984028261</c:v>
                </c:pt>
                <c:pt idx="393">
                  <c:v>-8.2941387171528209</c:v>
                </c:pt>
                <c:pt idx="394">
                  <c:v>-8.418099528639214</c:v>
                </c:pt>
                <c:pt idx="395">
                  <c:v>-8.5442083704519209</c:v>
                </c:pt>
                <c:pt idx="396">
                  <c:v>-8.6724402964297891</c:v>
                </c:pt>
                <c:pt idx="397">
                  <c:v>-8.80276856094072</c:v>
                </c:pt>
                <c:pt idx="398">
                  <c:v>-8.9351647222498212</c:v>
                </c:pt>
                <c:pt idx="399">
                  <c:v>-9.0695987498315151</c:v>
                </c:pt>
                <c:pt idx="400">
                  <c:v>-9.2060391348515207</c:v>
                </c:pt>
                <c:pt idx="401">
                  <c:v>-9.3444530030492938</c:v>
                </c:pt>
                <c:pt idx="402">
                  <c:v>-9.484806229260597</c:v>
                </c:pt>
                <c:pt idx="403">
                  <c:v>-9.6270635528422037</c:v>
                </c:pt>
                <c:pt idx="404">
                  <c:v>-9.7711886932857723</c:v>
                </c:pt>
                <c:pt idx="405">
                  <c:v>-9.9171444653429202</c:v>
                </c:pt>
                <c:pt idx="406">
                  <c:v>-10.064892893020051</c:v>
                </c:pt>
                <c:pt idx="407">
                  <c:v>-10.214395321846323</c:v>
                </c:pt>
                <c:pt idx="408">
                  <c:v>-10.365612528865721</c:v>
                </c:pt>
                <c:pt idx="409">
                  <c:v>-10.51850482985143</c:v>
                </c:pt>
                <c:pt idx="410">
                  <c:v>-10.67303218329479</c:v>
                </c:pt>
                <c:pt idx="411">
                  <c:v>-10.829154290772616</c:v>
                </c:pt>
                <c:pt idx="412">
                  <c:v>-10.986830693350601</c:v>
                </c:pt>
                <c:pt idx="413">
                  <c:v>-11.146020863730868</c:v>
                </c:pt>
                <c:pt idx="414">
                  <c:v>-11.306684293907276</c:v>
                </c:pt>
                <c:pt idx="415">
                  <c:v>-11.468780578136746</c:v>
                </c:pt>
                <c:pt idx="416">
                  <c:v>-11.632269491087976</c:v>
                </c:pt>
                <c:pt idx="417">
                  <c:v>-11.797111061070041</c:v>
                </c:pt>
                <c:pt idx="418">
                  <c:v>-11.963265638287339</c:v>
                </c:pt>
                <c:pt idx="419">
                  <c:v>-12.130693958107337</c:v>
                </c:pt>
                <c:pt idx="420">
                  <c:v>-12.299357199362673</c:v>
                </c:pt>
                <c:pt idx="421">
                  <c:v>-12.469217037740641</c:v>
                </c:pt>
                <c:pt idx="422">
                  <c:v>-12.640235694346435</c:v>
                </c:pt>
                <c:pt idx="423">
                  <c:v>-12.812375979545758</c:v>
                </c:pt>
                <c:pt idx="424">
                  <c:v>-12.985601332222284</c:v>
                </c:pt>
                <c:pt idx="425">
                  <c:v>-13.159875854598123</c:v>
                </c:pt>
                <c:pt idx="426">
                  <c:v>-13.335164342785701</c:v>
                </c:pt>
                <c:pt idx="427">
                  <c:v>-13.511432313250529</c:v>
                </c:pt>
                <c:pt idx="428">
                  <c:v>-13.688646025375279</c:v>
                </c:pt>
                <c:pt idx="429">
                  <c:v>-13.866772500323549</c:v>
                </c:pt>
                <c:pt idx="430">
                  <c:v>-14.045779536405004</c:v>
                </c:pt>
                <c:pt idx="431">
                  <c:v>-14.225635721150651</c:v>
                </c:pt>
                <c:pt idx="432">
                  <c:v>-14.40631044030323</c:v>
                </c:pt>
                <c:pt idx="433">
                  <c:v>-14.587773883931195</c:v>
                </c:pt>
                <c:pt idx="434">
                  <c:v>-14.769997049870495</c:v>
                </c:pt>
                <c:pt idx="435">
                  <c:v>-14.952951744694706</c:v>
                </c:pt>
                <c:pt idx="436">
                  <c:v>-15.136610582411301</c:v>
                </c:pt>
                <c:pt idx="437">
                  <c:v>-15.320946981073265</c:v>
                </c:pt>
                <c:pt idx="438">
                  <c:v>-15.50593515749271</c:v>
                </c:pt>
                <c:pt idx="439">
                  <c:v>-15.691550120230865</c:v>
                </c:pt>
                <c:pt idx="440">
                  <c:v>-15.877767661037549</c:v>
                </c:pt>
                <c:pt idx="441">
                  <c:v>-16.064564344899079</c:v>
                </c:pt>
                <c:pt idx="442">
                  <c:v>-16.251917498849785</c:v>
                </c:pt>
                <c:pt idx="443">
                  <c:v>-16.439805199691733</c:v>
                </c:pt>
                <c:pt idx="444">
                  <c:v>-16.628206260759548</c:v>
                </c:pt>
                <c:pt idx="445">
                  <c:v>-16.817100217858236</c:v>
                </c:pt>
                <c:pt idx="446">
                  <c:v>-17.006467314494333</c:v>
                </c:pt>
                <c:pt idx="447">
                  <c:v>-17.19628848651174</c:v>
                </c:pt>
                <c:pt idx="448">
                  <c:v>-17.386545346236336</c:v>
                </c:pt>
                <c:pt idx="449">
                  <c:v>-17.577220166224411</c:v>
                </c:pt>
                <c:pt idx="450">
                  <c:v>-17.768295862704136</c:v>
                </c:pt>
                <c:pt idx="451">
                  <c:v>-17.959755978790909</c:v>
                </c:pt>
                <c:pt idx="452">
                  <c:v>-18.151584667550001</c:v>
                </c:pt>
                <c:pt idx="453">
                  <c:v>-18.343766674975676</c:v>
                </c:pt>
                <c:pt idx="454">
                  <c:v>-18.536287322946663</c:v>
                </c:pt>
                <c:pt idx="455">
                  <c:v>-18.729132492213722</c:v>
                </c:pt>
                <c:pt idx="456">
                  <c:v>-18.922288605470332</c:v>
                </c:pt>
                <c:pt idx="457">
                  <c:v>-19.115742610548651</c:v>
                </c:pt>
                <c:pt idx="458">
                  <c:v>-19.309481963783433</c:v>
                </c:pt>
                <c:pt idx="459">
                  <c:v>-19.503494613576734</c:v>
                </c:pt>
                <c:pt idx="460">
                  <c:v>-19.697768984195417</c:v>
                </c:pt>
                <c:pt idx="461">
                  <c:v>-19.892293959827555</c:v>
                </c:pt>
                <c:pt idx="462">
                  <c:v>-20.087058868922213</c:v>
                </c:pt>
                <c:pt idx="463">
                  <c:v>-20.282053468831208</c:v>
                </c:pt>
                <c:pt idx="464">
                  <c:v>-20.477267930770587</c:v>
                </c:pt>
                <c:pt idx="465">
                  <c:v>-20.672692825115284</c:v>
                </c:pt>
                <c:pt idx="466">
                  <c:v>-20.86831910703858</c:v>
                </c:pt>
                <c:pt idx="467">
                  <c:v>-21.06413810250482</c:v>
                </c:pt>
                <c:pt idx="468">
                  <c:v>-21.260141494623145</c:v>
                </c:pt>
                <c:pt idx="469">
                  <c:v>-21.456321310366629</c:v>
                </c:pt>
                <c:pt idx="470">
                  <c:v>-21.652669907659082</c:v>
                </c:pt>
                <c:pt idx="471">
                  <c:v>-21.849179962833229</c:v>
                </c:pt>
                <c:pt idx="472">
                  <c:v>-22.04584445845807</c:v>
                </c:pt>
                <c:pt idx="473">
                  <c:v>-22.242656671535535</c:v>
                </c:pt>
                <c:pt idx="474">
                  <c:v>-22.439610162064341</c:v>
                </c:pt>
                <c:pt idx="475">
                  <c:v>-22.636698761966763</c:v>
                </c:pt>
                <c:pt idx="476">
                  <c:v>-22.833916564375357</c:v>
                </c:pt>
                <c:pt idx="477">
                  <c:v>-23.031257913274072</c:v>
                </c:pt>
                <c:pt idx="478">
                  <c:v>-23.228717393488033</c:v>
                </c:pt>
                <c:pt idx="479">
                  <c:v>-23.426289821016709</c:v>
                </c:pt>
                <c:pt idx="480">
                  <c:v>-23.623970233703208</c:v>
                </c:pt>
                <c:pt idx="481">
                  <c:v>-23.821753882232489</c:v>
                </c:pt>
                <c:pt idx="482">
                  <c:v>-24.019636221452359</c:v>
                </c:pt>
                <c:pt idx="483">
                  <c:v>-24.217612902008021</c:v>
                </c:pt>
                <c:pt idx="484">
                  <c:v>-24.415679762283588</c:v>
                </c:pt>
                <c:pt idx="485">
                  <c:v>-24.613832820642433</c:v>
                </c:pt>
                <c:pt idx="486">
                  <c:v>-24.812068267957521</c:v>
                </c:pt>
                <c:pt idx="487">
                  <c:v>-25.010382460424594</c:v>
                </c:pt>
                <c:pt idx="488">
                  <c:v>-25.208771912649052</c:v>
                </c:pt>
                <c:pt idx="489">
                  <c:v>-25.407233290999585</c:v>
                </c:pt>
                <c:pt idx="490">
                  <c:v>-25.605763407218419</c:v>
                </c:pt>
                <c:pt idx="491">
                  <c:v>-25.804359212282634</c:v>
                </c:pt>
                <c:pt idx="492">
                  <c:v>-26.003017790506348</c:v>
                </c:pt>
                <c:pt idx="493">
                  <c:v>-26.20173635387637</c:v>
                </c:pt>
                <c:pt idx="494">
                  <c:v>-26.400512236614929</c:v>
                </c:pt>
                <c:pt idx="495">
                  <c:v>-26.599342889959221</c:v>
                </c:pt>
                <c:pt idx="496">
                  <c:v>-26.798225877152568</c:v>
                </c:pt>
                <c:pt idx="497">
                  <c:v>-26.997158868638358</c:v>
                </c:pt>
                <c:pt idx="498">
                  <c:v>-27.196139637450539</c:v>
                </c:pt>
                <c:pt idx="499">
                  <c:v>-27.395166054791872</c:v>
                </c:pt>
                <c:pt idx="500">
                  <c:v>-27.594236085795501</c:v>
                </c:pt>
                <c:pt idx="501">
                  <c:v>-27.79334778546108</c:v>
                </c:pt>
                <c:pt idx="502">
                  <c:v>-27.992499294759693</c:v>
                </c:pt>
                <c:pt idx="503">
                  <c:v>-28.191688836900969</c:v>
                </c:pt>
                <c:pt idx="504">
                  <c:v>-28.390914713756889</c:v>
                </c:pt>
                <c:pt idx="505">
                  <c:v>-28.590175302435085</c:v>
                </c:pt>
                <c:pt idx="506">
                  <c:v>-28.78946905199679</c:v>
                </c:pt>
                <c:pt idx="507">
                  <c:v>-28.988794480313473</c:v>
                </c:pt>
                <c:pt idx="508">
                  <c:v>-29.188150171056577</c:v>
                </c:pt>
                <c:pt idx="509">
                  <c:v>-29.387534770815225</c:v>
                </c:pt>
                <c:pt idx="510">
                  <c:v>-29.586946986336823</c:v>
                </c:pt>
                <c:pt idx="511">
                  <c:v>-29.786385581885504</c:v>
                </c:pt>
                <c:pt idx="512">
                  <c:v>-29.98584937671361</c:v>
                </c:pt>
                <c:pt idx="513">
                  <c:v>-30.185337242641875</c:v>
                </c:pt>
                <c:pt idx="514">
                  <c:v>-30.384848101743913</c:v>
                </c:pt>
                <c:pt idx="515">
                  <c:v>-30.584380924129771</c:v>
                </c:pt>
                <c:pt idx="516">
                  <c:v>-30.783934725826263</c:v>
                </c:pt>
                <c:pt idx="517">
                  <c:v>-30.983508566748359</c:v>
                </c:pt>
                <c:pt idx="518">
                  <c:v>-31.183101548758543</c:v>
                </c:pt>
                <c:pt idx="519">
                  <c:v>-31.382712813811192</c:v>
                </c:pt>
                <c:pt idx="520">
                  <c:v>-31.582341542176589</c:v>
                </c:pt>
                <c:pt idx="521">
                  <c:v>-31.781986950743132</c:v>
                </c:pt>
                <c:pt idx="522">
                  <c:v>-31.981648291393704</c:v>
                </c:pt>
                <c:pt idx="523">
                  <c:v>-32.181324849452103</c:v>
                </c:pt>
                <c:pt idx="524">
                  <c:v>-32.381015942198729</c:v>
                </c:pt>
                <c:pt idx="525">
                  <c:v>-32.580720917450122</c:v>
                </c:pt>
                <c:pt idx="526">
                  <c:v>-32.780439152201659</c:v>
                </c:pt>
                <c:pt idx="527">
                  <c:v>-32.980170051329651</c:v>
                </c:pt>
                <c:pt idx="528">
                  <c:v>-33.179913046350222</c:v>
                </c:pt>
                <c:pt idx="529">
                  <c:v>-33.379667594233162</c:v>
                </c:pt>
                <c:pt idx="530">
                  <c:v>-33.579433176267827</c:v>
                </c:pt>
                <c:pt idx="531">
                  <c:v>-33.779209296979317</c:v>
                </c:pt>
                <c:pt idx="532">
                  <c:v>-33.978995483092447</c:v>
                </c:pt>
                <c:pt idx="533">
                  <c:v>-34.178791282540892</c:v>
                </c:pt>
                <c:pt idx="534">
                  <c:v>-34.378596263521544</c:v>
                </c:pt>
                <c:pt idx="535">
                  <c:v>-34.578410013588979</c:v>
                </c:pt>
                <c:pt idx="536">
                  <c:v>-34.778232138791623</c:v>
                </c:pt>
                <c:pt idx="537">
                  <c:v>-34.978062262844759</c:v>
                </c:pt>
                <c:pt idx="538">
                  <c:v>-35.177900026341831</c:v>
                </c:pt>
                <c:pt idx="539">
                  <c:v>-35.37774508599928</c:v>
                </c:pt>
                <c:pt idx="540">
                  <c:v>-35.577597113935532</c:v>
                </c:pt>
                <c:pt idx="541">
                  <c:v>-35.777455796982331</c:v>
                </c:pt>
              </c:numCache>
            </c:numRef>
          </c:yVal>
          <c:smooth val="1"/>
          <c:extLst>
            <c:ext xmlns:c16="http://schemas.microsoft.com/office/drawing/2014/chart" uri="{C3380CC4-5D6E-409C-BE32-E72D297353CC}">
              <c16:uniqueId val="{00000000-7D99-4B86-ACA7-6ECBF91DBBCC}"/>
            </c:ext>
          </c:extLst>
        </c:ser>
        <c:dLbls>
          <c:showLegendKey val="0"/>
          <c:showVal val="0"/>
          <c:showCatName val="0"/>
          <c:showSerName val="0"/>
          <c:showPercent val="0"/>
          <c:showBubbleSize val="0"/>
        </c:dLbls>
        <c:axId val="175558656"/>
        <c:axId val="175560576"/>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Loop_Modeling!$BE$19:$BE$560</c:f>
              <c:numCache>
                <c:formatCode>General</c:formatCode>
                <c:ptCount val="542"/>
                <c:pt idx="0">
                  <c:v>90.163933936159111</c:v>
                </c:pt>
                <c:pt idx="1">
                  <c:v>90.16775242297831</c:v>
                </c:pt>
                <c:pt idx="2">
                  <c:v>90.171659851987059</c:v>
                </c:pt>
                <c:pt idx="3">
                  <c:v>90.175658294786786</c:v>
                </c:pt>
                <c:pt idx="4">
                  <c:v>90.179749871223535</c:v>
                </c:pt>
                <c:pt idx="5">
                  <c:v>90.183936750510995</c:v>
                </c:pt>
                <c:pt idx="6">
                  <c:v>90.188221152379867</c:v>
                </c:pt>
                <c:pt idx="7">
                  <c:v>90.192605348253707</c:v>
                </c:pt>
                <c:pt idx="8">
                  <c:v>90.197091662452252</c:v>
                </c:pt>
                <c:pt idx="9">
                  <c:v>90.201682473422579</c:v>
                </c:pt>
                <c:pt idx="10">
                  <c:v>90.206380214999072</c:v>
                </c:pt>
                <c:pt idx="11">
                  <c:v>90.211187377692497</c:v>
                </c:pt>
                <c:pt idx="12">
                  <c:v>90.216106510009112</c:v>
                </c:pt>
                <c:pt idx="13">
                  <c:v>90.221140219800446</c:v>
                </c:pt>
                <c:pt idx="14">
                  <c:v>90.22629117564432</c:v>
                </c:pt>
                <c:pt idx="15">
                  <c:v>90.231562108258217</c:v>
                </c:pt>
                <c:pt idx="16">
                  <c:v>90.236955811945023</c:v>
                </c:pt>
                <c:pt idx="17">
                  <c:v>90.242475146072891</c:v>
                </c:pt>
                <c:pt idx="18">
                  <c:v>90.248123036589021</c:v>
                </c:pt>
                <c:pt idx="19">
                  <c:v>90.253902477568801</c:v>
                </c:pt>
                <c:pt idx="20">
                  <c:v>90.25981653280094</c:v>
                </c:pt>
                <c:pt idx="21">
                  <c:v>90.265868337409188</c:v>
                </c:pt>
                <c:pt idx="22">
                  <c:v>90.272061099511916</c:v>
                </c:pt>
                <c:pt idx="23">
                  <c:v>90.278398101920075</c:v>
                </c:pt>
                <c:pt idx="24">
                  <c:v>90.284882703874544</c:v>
                </c:pt>
                <c:pt idx="25">
                  <c:v>90.291518342823878</c:v>
                </c:pt>
                <c:pt idx="26">
                  <c:v>90.298308536243098</c:v>
                </c:pt>
                <c:pt idx="27">
                  <c:v>90.305256883494835</c:v>
                </c:pt>
                <c:pt idx="28">
                  <c:v>90.312367067733433</c:v>
                </c:pt>
                <c:pt idx="29">
                  <c:v>90.319642857853353</c:v>
                </c:pt>
                <c:pt idx="30">
                  <c:v>90.327088110482592</c:v>
                </c:pt>
                <c:pt idx="31">
                  <c:v>90.334706772022273</c:v>
                </c:pt>
                <c:pt idx="32">
                  <c:v>90.342502880733534</c:v>
                </c:pt>
                <c:pt idx="33">
                  <c:v>90.350480568872683</c:v>
                </c:pt>
                <c:pt idx="34">
                  <c:v>90.358644064875747</c:v>
                </c:pt>
                <c:pt idx="35">
                  <c:v>90.36699769559354</c:v>
                </c:pt>
                <c:pt idx="36">
                  <c:v>90.375545888578557</c:v>
                </c:pt>
                <c:pt idx="37">
                  <c:v>90.384293174424485</c:v>
                </c:pt>
                <c:pt idx="38">
                  <c:v>90.393244189160086</c:v>
                </c:pt>
                <c:pt idx="39">
                  <c:v>90.402403676698071</c:v>
                </c:pt>
                <c:pt idx="40">
                  <c:v>90.411776491340788</c:v>
                </c:pt>
                <c:pt idx="41">
                  <c:v>90.421367600343643</c:v>
                </c:pt>
                <c:pt idx="42">
                  <c:v>90.431182086537532</c:v>
                </c:pt>
                <c:pt idx="43">
                  <c:v>90.441225151012063</c:v>
                </c:pt>
                <c:pt idx="44">
                  <c:v>90.451502115860293</c:v>
                </c:pt>
                <c:pt idx="45">
                  <c:v>90.462018426987015</c:v>
                </c:pt>
                <c:pt idx="46">
                  <c:v>90.472779656981359</c:v>
                </c:pt>
                <c:pt idx="47">
                  <c:v>90.483791508055958</c:v>
                </c:pt>
                <c:pt idx="48">
                  <c:v>90.495059815053267</c:v>
                </c:pt>
                <c:pt idx="49">
                  <c:v>90.506590548521302</c:v>
                </c:pt>
                <c:pt idx="50">
                  <c:v>90.518389817859969</c:v>
                </c:pt>
                <c:pt idx="51">
                  <c:v>90.530463874539507</c:v>
                </c:pt>
                <c:pt idx="52">
                  <c:v>90.542819115392945</c:v>
                </c:pt>
                <c:pt idx="53">
                  <c:v>90.55546208598399</c:v>
                </c:pt>
                <c:pt idx="54">
                  <c:v>90.568399484051966</c:v>
                </c:pt>
                <c:pt idx="55">
                  <c:v>90.581638163035791</c:v>
                </c:pt>
                <c:pt idx="56">
                  <c:v>90.595185135678406</c:v>
                </c:pt>
                <c:pt idx="57">
                  <c:v>90.609047577713667</c:v>
                </c:pt>
                <c:pt idx="58">
                  <c:v>90.623232831637367</c:v>
                </c:pt>
                <c:pt idx="59">
                  <c:v>90.637748410564257</c:v>
                </c:pt>
                <c:pt idx="60">
                  <c:v>90.652602002173012</c:v>
                </c:pt>
                <c:pt idx="61">
                  <c:v>90.667801472741019</c:v>
                </c:pt>
                <c:pt idx="62">
                  <c:v>90.683354871270751</c:v>
                </c:pt>
                <c:pt idx="63">
                  <c:v>90.699270433710026</c:v>
                </c:pt>
                <c:pt idx="64">
                  <c:v>90.715556587267884</c:v>
                </c:pt>
                <c:pt idx="65">
                  <c:v>90.732221954828304</c:v>
                </c:pt>
                <c:pt idx="66">
                  <c:v>90.749275359463709</c:v>
                </c:pt>
                <c:pt idx="67">
                  <c:v>90.766725829050557</c:v>
                </c:pt>
                <c:pt idx="68">
                  <c:v>90.784582600988855</c:v>
                </c:pt>
                <c:pt idx="69">
                  <c:v>90.802855127028209</c:v>
                </c:pt>
                <c:pt idx="70">
                  <c:v>90.821553078202129</c:v>
                </c:pt>
                <c:pt idx="71">
                  <c:v>90.840686349873408</c:v>
                </c:pt>
                <c:pt idx="72">
                  <c:v>90.860265066892211</c:v>
                </c:pt>
                <c:pt idx="73">
                  <c:v>90.880299588869846</c:v>
                </c:pt>
                <c:pt idx="74">
                  <c:v>90.900800515570012</c:v>
                </c:pt>
                <c:pt idx="75">
                  <c:v>90.921778692420261</c:v>
                </c:pt>
                <c:pt idx="76">
                  <c:v>90.943245216145897</c:v>
                </c:pt>
                <c:pt idx="77">
                  <c:v>90.96521144052879</c:v>
                </c:pt>
                <c:pt idx="78">
                  <c:v>90.987688982293633</c:v>
                </c:pt>
                <c:pt idx="79">
                  <c:v>91.010689727124031</c:v>
                </c:pt>
                <c:pt idx="80">
                  <c:v>91.034225835810915</c:v>
                </c:pt>
                <c:pt idx="81">
                  <c:v>91.058309750536026</c:v>
                </c:pt>
                <c:pt idx="82">
                  <c:v>91.082954201292637</c:v>
                </c:pt>
                <c:pt idx="83">
                  <c:v>91.10817221244649</c:v>
                </c:pt>
                <c:pt idx="84">
                  <c:v>91.133977109439257</c:v>
                </c:pt>
                <c:pt idx="85">
                  <c:v>91.160382525637246</c:v>
                </c:pt>
                <c:pt idx="86">
                  <c:v>91.187402409327817</c:v>
                </c:pt>
                <c:pt idx="87">
                  <c:v>91.215051030866391</c:v>
                </c:pt>
                <c:pt idx="88">
                  <c:v>91.243342989976341</c:v>
                </c:pt>
                <c:pt idx="89">
                  <c:v>91.272293223204542</c:v>
                </c:pt>
                <c:pt idx="90">
                  <c:v>91.301917011535167</c:v>
                </c:pt>
                <c:pt idx="91">
                  <c:v>91.332229988164414</c:v>
                </c:pt>
                <c:pt idx="92">
                  <c:v>91.363248146438437</c:v>
                </c:pt>
                <c:pt idx="93">
                  <c:v>91.394987847957324</c:v>
                </c:pt>
                <c:pt idx="94">
                  <c:v>91.427465830847567</c:v>
                </c:pt>
                <c:pt idx="95">
                  <c:v>91.46069921820542</c:v>
                </c:pt>
                <c:pt idx="96">
                  <c:v>91.494705526713616</c:v>
                </c:pt>
                <c:pt idx="97">
                  <c:v>91.529502675433918</c:v>
                </c:pt>
                <c:pt idx="98">
                  <c:v>91.565108994777688</c:v>
                </c:pt>
                <c:pt idx="99">
                  <c:v>91.601543235656862</c:v>
                </c:pt>
                <c:pt idx="100">
                  <c:v>91.638824578817378</c:v>
                </c:pt>
                <c:pt idx="101">
                  <c:v>91.676972644357221</c:v>
                </c:pt>
                <c:pt idx="102">
                  <c:v>91.716007501430994</c:v>
                </c:pt>
                <c:pt idx="103">
                  <c:v>91.755949678143011</c:v>
                </c:pt>
                <c:pt idx="104">
                  <c:v>91.796820171630358</c:v>
                </c:pt>
                <c:pt idx="105">
                  <c:v>91.838640458337892</c:v>
                </c:pt>
                <c:pt idx="106">
                  <c:v>91.881432504486156</c:v>
                </c:pt>
                <c:pt idx="107">
                  <c:v>91.925218776733828</c:v>
                </c:pt>
                <c:pt idx="108">
                  <c:v>91.970022253035495</c:v>
                </c:pt>
                <c:pt idx="109">
                  <c:v>92.015866433695621</c:v>
                </c:pt>
                <c:pt idx="110">
                  <c:v>92.062775352619298</c:v>
                </c:pt>
                <c:pt idx="111">
                  <c:v>92.110773588760182</c:v>
                </c:pt>
                <c:pt idx="112">
                  <c:v>92.159886277765352</c:v>
                </c:pt>
                <c:pt idx="113">
                  <c:v>92.210139123817029</c:v>
                </c:pt>
                <c:pt idx="114">
                  <c:v>92.261558411670421</c:v>
                </c:pt>
                <c:pt idx="115">
                  <c:v>92.314171018886668</c:v>
                </c:pt>
                <c:pt idx="116">
                  <c:v>92.368004428259354</c:v>
                </c:pt>
                <c:pt idx="117">
                  <c:v>92.423086740432794</c:v>
                </c:pt>
                <c:pt idx="118">
                  <c:v>92.47944668670965</c:v>
                </c:pt>
                <c:pt idx="119">
                  <c:v>92.537113642044943</c:v>
                </c:pt>
                <c:pt idx="120">
                  <c:v>92.596117638223035</c:v>
                </c:pt>
                <c:pt idx="121">
                  <c:v>92.656489377213305</c:v>
                </c:pt>
                <c:pt idx="122">
                  <c:v>92.718260244700033</c:v>
                </c:pt>
                <c:pt idx="123">
                  <c:v>92.781462323780588</c:v>
                </c:pt>
                <c:pt idx="124">
                  <c:v>92.846128408825848</c:v>
                </c:pt>
                <c:pt idx="125">
                  <c:v>92.912292019495808</c:v>
                </c:pt>
                <c:pt idx="126">
                  <c:v>92.979987414902084</c:v>
                </c:pt>
                <c:pt idx="127">
                  <c:v>93.049249607908294</c:v>
                </c:pt>
                <c:pt idx="128">
                  <c:v>93.120114379558359</c:v>
                </c:pt>
                <c:pt idx="129">
                  <c:v>93.192618293621464</c:v>
                </c:pt>
                <c:pt idx="130">
                  <c:v>93.266798711241151</c:v>
                </c:pt>
                <c:pt idx="131">
                  <c:v>93.342693805674628</c:v>
                </c:pt>
                <c:pt idx="132">
                  <c:v>93.420342577107547</c:v>
                </c:pt>
                <c:pt idx="133">
                  <c:v>93.499784867527026</c:v>
                </c:pt>
                <c:pt idx="134">
                  <c:v>93.581061375635031</c:v>
                </c:pt>
                <c:pt idx="135">
                  <c:v>93.664213671781738</c:v>
                </c:pt>
                <c:pt idx="136">
                  <c:v>93.749284212897308</c:v>
                </c:pt>
                <c:pt idx="137">
                  <c:v>93.836316357397862</c:v>
                </c:pt>
                <c:pt idx="138">
                  <c:v>93.925354380039622</c:v>
                </c:pt>
                <c:pt idx="139">
                  <c:v>94.016443486693404</c:v>
                </c:pt>
                <c:pt idx="140">
                  <c:v>94.109629829007986</c:v>
                </c:pt>
                <c:pt idx="141">
                  <c:v>94.204960518929866</c:v>
                </c:pt>
                <c:pt idx="142">
                  <c:v>94.302483643042535</c:v>
                </c:pt>
                <c:pt idx="143">
                  <c:v>94.402248276686905</c:v>
                </c:pt>
                <c:pt idx="144">
                  <c:v>94.504304497820343</c:v>
                </c:pt>
                <c:pt idx="145">
                  <c:v>94.608703400569155</c:v>
                </c:pt>
                <c:pt idx="146">
                  <c:v>94.715497108425126</c:v>
                </c:pt>
                <c:pt idx="147">
                  <c:v>94.824738787033709</c:v>
                </c:pt>
                <c:pt idx="148">
                  <c:v>94.936482656516887</c:v>
                </c:pt>
                <c:pt idx="149">
                  <c:v>95.050784003269726</c:v>
                </c:pt>
                <c:pt idx="150">
                  <c:v>95.16769919116507</c:v>
                </c:pt>
                <c:pt idx="151">
                  <c:v>95.287285672096417</c:v>
                </c:pt>
                <c:pt idx="152">
                  <c:v>95.409601995783021</c:v>
                </c:pt>
                <c:pt idx="153">
                  <c:v>95.534707818757553</c:v>
                </c:pt>
                <c:pt idx="154">
                  <c:v>95.662663912449119</c:v>
                </c:pt>
                <c:pt idx="155">
                  <c:v>95.793532170270197</c:v>
                </c:pt>
                <c:pt idx="156">
                  <c:v>95.927375613608774</c:v>
                </c:pt>
                <c:pt idx="157">
                  <c:v>96.064258396621085</c:v>
                </c:pt>
                <c:pt idx="158">
                  <c:v>96.204245809712319</c:v>
                </c:pt>
                <c:pt idx="159">
                  <c:v>96.347404281587316</c:v>
                </c:pt>
                <c:pt idx="160">
                  <c:v>96.493801379743658</c:v>
                </c:pt>
                <c:pt idx="161">
                  <c:v>96.643505809273336</c:v>
                </c:pt>
                <c:pt idx="162">
                  <c:v>96.796587409829158</c:v>
                </c:pt>
                <c:pt idx="163">
                  <c:v>96.953117150605394</c:v>
                </c:pt>
                <c:pt idx="164">
                  <c:v>97.113167123171834</c:v>
                </c:pt>
                <c:pt idx="165">
                  <c:v>97.276810531990392</c:v>
                </c:pt>
                <c:pt idx="166">
                  <c:v>97.444121682436858</c:v>
                </c:pt>
                <c:pt idx="167">
                  <c:v>97.61517596613588</c:v>
                </c:pt>
                <c:pt idx="168">
                  <c:v>97.790049843411254</c:v>
                </c:pt>
                <c:pt idx="169">
                  <c:v>97.968820822639685</c:v>
                </c:pt>
                <c:pt idx="170">
                  <c:v>98.151567436287849</c:v>
                </c:pt>
                <c:pt idx="171">
                  <c:v>98.338369213399559</c:v>
                </c:pt>
                <c:pt idx="172">
                  <c:v>98.52930664828915</c:v>
                </c:pt>
                <c:pt idx="173">
                  <c:v>98.724461165187535</c:v>
                </c:pt>
                <c:pt idx="174">
                  <c:v>98.923915078571824</c:v>
                </c:pt>
                <c:pt idx="175">
                  <c:v>99.127751548902822</c:v>
                </c:pt>
                <c:pt idx="176">
                  <c:v>99.336054533478929</c:v>
                </c:pt>
                <c:pt idx="177">
                  <c:v>99.548908732106568</c:v>
                </c:pt>
                <c:pt idx="178">
                  <c:v>99.766399527274785</c:v>
                </c:pt>
                <c:pt idx="179">
                  <c:v>99.988612918510512</c:v>
                </c:pt>
                <c:pt idx="180">
                  <c:v>100.21563545058315</c:v>
                </c:pt>
                <c:pt idx="181">
                  <c:v>100.44755413521361</c:v>
                </c:pt>
                <c:pt idx="182">
                  <c:v>100.68445636593809</c:v>
                </c:pt>
                <c:pt idx="183">
                  <c:v>100.92642982576614</c:v>
                </c:pt>
                <c:pt idx="184">
                  <c:v>101.17356238726741</c:v>
                </c:pt>
                <c:pt idx="185">
                  <c:v>101.42594200471468</c:v>
                </c:pt>
                <c:pt idx="186">
                  <c:v>101.68365659790913</c:v>
                </c:pt>
                <c:pt idx="187">
                  <c:v>101.94679392730983</c:v>
                </c:pt>
                <c:pt idx="188">
                  <c:v>102.21544146009008</c:v>
                </c:pt>
                <c:pt idx="189">
                  <c:v>102.48968622674788</c:v>
                </c:pt>
                <c:pt idx="190">
                  <c:v>102.76961466789959</c:v>
                </c:pt>
                <c:pt idx="191">
                  <c:v>103.05531247089853</c:v>
                </c:pt>
                <c:pt idx="192">
                  <c:v>103.34686439592778</c:v>
                </c:pt>
                <c:pt idx="193">
                  <c:v>103.64435409123776</c:v>
                </c:pt>
                <c:pt idx="194">
                  <c:v>103.94786389721313</c:v>
                </c:pt>
                <c:pt idx="195">
                  <c:v>104.25747463898266</c:v>
                </c:pt>
                <c:pt idx="196">
                  <c:v>104.57326540731472</c:v>
                </c:pt>
                <c:pt idx="197">
                  <c:v>104.89531332757484</c:v>
                </c:pt>
                <c:pt idx="198">
                  <c:v>105.22369331656381</c:v>
                </c:pt>
                <c:pt idx="199">
                  <c:v>105.558477827104</c:v>
                </c:pt>
                <c:pt idx="200">
                  <c:v>105.89973658029355</c:v>
                </c:pt>
                <c:pt idx="201">
                  <c:v>106.24753628541082</c:v>
                </c:pt>
                <c:pt idx="202">
                  <c:v>106.60194034752078</c:v>
                </c:pt>
                <c:pt idx="203">
                  <c:v>106.9630085629142</c:v>
                </c:pt>
                <c:pt idx="204">
                  <c:v>107.33079680258875</c:v>
                </c:pt>
                <c:pt idx="205">
                  <c:v>107.70535668408705</c:v>
                </c:pt>
                <c:pt idx="206">
                  <c:v>108.08673523209403</c:v>
                </c:pt>
                <c:pt idx="207">
                  <c:v>108.47497452832265</c:v>
                </c:pt>
                <c:pt idx="208">
                  <c:v>108.87011135132221</c:v>
                </c:pt>
                <c:pt idx="209">
                  <c:v>109.27217680698216</c:v>
                </c:pt>
                <c:pt idx="210">
                  <c:v>109.68119595063523</c:v>
                </c:pt>
                <c:pt idx="211">
                  <c:v>110.09718740180712</c:v>
                </c:pt>
                <c:pt idx="212">
                  <c:v>110.52016295281412</c:v>
                </c:pt>
                <c:pt idx="213">
                  <c:v>110.95012717256225</c:v>
                </c:pt>
                <c:pt idx="214">
                  <c:v>111.38707700706593</c:v>
                </c:pt>
                <c:pt idx="215">
                  <c:v>111.83100137837117</c:v>
                </c:pt>
                <c:pt idx="216">
                  <c:v>112.28188078372933</c:v>
                </c:pt>
                <c:pt idx="217">
                  <c:v>112.73968689704493</c:v>
                </c:pt>
                <c:pt idx="218">
                  <c:v>113.20438217477748</c:v>
                </c:pt>
                <c:pt idx="219">
                  <c:v>113.67591946864997</c:v>
                </c:pt>
                <c:pt idx="220">
                  <c:v>114.15424164766297</c:v>
                </c:pt>
                <c:pt idx="221">
                  <c:v>114.63928123206925</c:v>
                </c:pt>
                <c:pt idx="222">
                  <c:v>115.13096004209257</c:v>
                </c:pt>
                <c:pt idx="223">
                  <c:v>115.62918886429902</c:v>
                </c:pt>
                <c:pt idx="224">
                  <c:v>116.13386713862857</c:v>
                </c:pt>
                <c:pt idx="225">
                  <c:v>116.64488266917449</c:v>
                </c:pt>
                <c:pt idx="226">
                  <c:v>117.1621113618591</c:v>
                </c:pt>
                <c:pt idx="227">
                  <c:v>117.68541699217077</c:v>
                </c:pt>
                <c:pt idx="228">
                  <c:v>118.21465100613447</c:v>
                </c:pt>
                <c:pt idx="229">
                  <c:v>118.74965235764654</c:v>
                </c:pt>
                <c:pt idx="230">
                  <c:v>119.29024738521713</c:v>
                </c:pt>
                <c:pt idx="231">
                  <c:v>119.836249731072</c:v>
                </c:pt>
                <c:pt idx="232">
                  <c:v>120.38746030538195</c:v>
                </c:pt>
                <c:pt idx="233">
                  <c:v>120.94366729821415</c:v>
                </c:pt>
                <c:pt idx="234">
                  <c:v>121.50464624153715</c:v>
                </c:pt>
                <c:pt idx="235">
                  <c:v>122.0701601233379</c:v>
                </c:pt>
                <c:pt idx="236">
                  <c:v>122.63995955557782</c:v>
                </c:pt>
                <c:pt idx="237">
                  <c:v>123.2137829973431</c:v>
                </c:pt>
                <c:pt idx="238">
                  <c:v>123.79135703414127</c:v>
                </c:pt>
                <c:pt idx="239">
                  <c:v>124.37239671385251</c:v>
                </c:pt>
                <c:pt idx="240">
                  <c:v>124.95660593936975</c:v>
                </c:pt>
                <c:pt idx="241">
                  <c:v>125.54367791747086</c:v>
                </c:pt>
                <c:pt idx="242">
                  <c:v>126.13329566294051</c:v>
                </c:pt>
                <c:pt idx="243">
                  <c:v>126.72513255643902</c:v>
                </c:pt>
                <c:pt idx="244">
                  <c:v>127.31885295407764</c:v>
                </c:pt>
                <c:pt idx="245">
                  <c:v>127.91411284613177</c:v>
                </c:pt>
                <c:pt idx="246">
                  <c:v>128.51056056180178</c:v>
                </c:pt>
                <c:pt idx="247">
                  <c:v>129.10783751643802</c:v>
                </c:pt>
                <c:pt idx="248">
                  <c:v>129.70557899716772</c:v>
                </c:pt>
                <c:pt idx="249">
                  <c:v>130.30341498243678</c:v>
                </c:pt>
                <c:pt idx="250">
                  <c:v>130.90097099058076</c:v>
                </c:pt>
                <c:pt idx="251">
                  <c:v>131.49786895220663</c:v>
                </c:pt>
                <c:pt idx="252">
                  <c:v>132.09372810088055</c:v>
                </c:pt>
                <c:pt idx="253">
                  <c:v>132.68816587640447</c:v>
                </c:pt>
                <c:pt idx="254">
                  <c:v>133.28079883480436</c:v>
                </c:pt>
                <c:pt idx="255">
                  <c:v>133.87124355907955</c:v>
                </c:pt>
                <c:pt idx="256">
                  <c:v>134.45911756474493</c:v>
                </c:pt>
                <c:pt idx="257">
                  <c:v>135.04404019426605</c:v>
                </c:pt>
                <c:pt idx="258">
                  <c:v>135.62563349461058</c:v>
                </c:pt>
                <c:pt idx="259">
                  <c:v>136.20352307234691</c:v>
                </c:pt>
                <c:pt idx="260">
                  <c:v>136.77733892098041</c:v>
                </c:pt>
                <c:pt idx="261">
                  <c:v>137.34671621554415</c:v>
                </c:pt>
                <c:pt idx="262">
                  <c:v>137.91129606983012</c:v>
                </c:pt>
                <c:pt idx="263">
                  <c:v>138.47072625208219</c:v>
                </c:pt>
                <c:pt idx="264">
                  <c:v>139.02466185542372</c:v>
                </c:pt>
                <c:pt idx="265">
                  <c:v>139.57276591978697</c:v>
                </c:pt>
                <c:pt idx="266">
                  <c:v>140.11471000263492</c:v>
                </c:pt>
                <c:pt idx="267">
                  <c:v>140.65017469628549</c:v>
                </c:pt>
                <c:pt idx="268">
                  <c:v>141.1788500901892</c:v>
                </c:pt>
                <c:pt idx="269">
                  <c:v>141.70043617704323</c:v>
                </c:pt>
                <c:pt idx="270">
                  <c:v>142.21464320215202</c:v>
                </c:pt>
                <c:pt idx="271">
                  <c:v>142.72119195594271</c:v>
                </c:pt>
                <c:pt idx="272">
                  <c:v>143.21981401003507</c:v>
                </c:pt>
                <c:pt idx="273">
                  <c:v>143.7102518977205</c:v>
                </c:pt>
                <c:pt idx="274">
                  <c:v>144.19225924011786</c:v>
                </c:pt>
                <c:pt idx="275">
                  <c:v>144.66560081966975</c:v>
                </c:pt>
                <c:pt idx="276">
                  <c:v>145.13005260297936</c:v>
                </c:pt>
                <c:pt idx="277">
                  <c:v>145.58540171529438</c:v>
                </c:pt>
                <c:pt idx="278">
                  <c:v>146.0314463692041</c:v>
                </c:pt>
                <c:pt idx="279">
                  <c:v>146.46799575033091</c:v>
                </c:pt>
                <c:pt idx="280">
                  <c:v>146.89486986297456</c:v>
                </c:pt>
                <c:pt idx="281">
                  <c:v>147.31189933879688</c:v>
                </c:pt>
                <c:pt idx="282">
                  <c:v>147.71892521172938</c:v>
                </c:pt>
                <c:pt idx="283">
                  <c:v>148.11579866233936</c:v>
                </c:pt>
                <c:pt idx="284">
                  <c:v>148.5023807349142</c:v>
                </c:pt>
                <c:pt idx="285">
                  <c:v>148.87854203050392</c:v>
                </c:pt>
                <c:pt idx="286">
                  <c:v>149.24416237913135</c:v>
                </c:pt>
                <c:pt idx="287">
                  <c:v>149.5991304943019</c:v>
                </c:pt>
                <c:pt idx="288">
                  <c:v>149.94334361286758</c:v>
                </c:pt>
                <c:pt idx="289">
                  <c:v>150.2767071231776</c:v>
                </c:pt>
                <c:pt idx="290">
                  <c:v>150.59913418434064</c:v>
                </c:pt>
                <c:pt idx="291">
                  <c:v>150.91054533927519</c:v>
                </c:pt>
                <c:pt idx="292">
                  <c:v>151.21086812408237</c:v>
                </c:pt>
                <c:pt idx="293">
                  <c:v>151.50003667612603</c:v>
                </c:pt>
                <c:pt idx="294">
                  <c:v>151.77799134304513</c:v>
                </c:pt>
                <c:pt idx="295">
                  <c:v>152.04467829476312</c:v>
                </c:pt>
                <c:pt idx="296">
                  <c:v>152.30004914040563</c:v>
                </c:pt>
                <c:pt idx="297">
                  <c:v>152.54406055187496</c:v>
                </c:pt>
                <c:pt idx="298">
                  <c:v>152.77667389568248</c:v>
                </c:pt>
                <c:pt idx="299">
                  <c:v>152.99785487448742</c:v>
                </c:pt>
                <c:pt idx="300">
                  <c:v>153.20757317965297</c:v>
                </c:pt>
                <c:pt idx="301">
                  <c:v>153.40580215599005</c:v>
                </c:pt>
                <c:pt idx="302">
                  <c:v>153.59251847973644</c:v>
                </c:pt>
                <c:pt idx="303">
                  <c:v>153.76770185069975</c:v>
                </c:pt>
                <c:pt idx="304">
                  <c:v>153.93133469937578</c:v>
                </c:pt>
                <c:pt idx="305">
                  <c:v>154.08340190975946</c:v>
                </c:pt>
                <c:pt idx="306">
                  <c:v>154.22389055846733</c:v>
                </c:pt>
                <c:pt idx="307">
                  <c:v>154.35278967070508</c:v>
                </c:pt>
                <c:pt idx="308">
                  <c:v>154.47008999354071</c:v>
                </c:pt>
                <c:pt idx="309">
                  <c:v>154.57578378687103</c:v>
                </c:pt>
                <c:pt idx="310">
                  <c:v>154.66986463240974</c:v>
                </c:pt>
                <c:pt idx="311">
                  <c:v>154.7523272609734</c:v>
                </c:pt>
                <c:pt idx="312">
                  <c:v>154.82316739829</c:v>
                </c:pt>
                <c:pt idx="313">
                  <c:v>154.88238162951922</c:v>
                </c:pt>
                <c:pt idx="314">
                  <c:v>154.92996728263148</c:v>
                </c:pt>
                <c:pt idx="315">
                  <c:v>154.96592233077033</c:v>
                </c:pt>
                <c:pt idx="316">
                  <c:v>154.99024531368684</c:v>
                </c:pt>
                <c:pt idx="317">
                  <c:v>155.00293527832093</c:v>
                </c:pt>
                <c:pt idx="318">
                  <c:v>155.00399173857761</c:v>
                </c:pt>
                <c:pt idx="319">
                  <c:v>154.99341465433335</c:v>
                </c:pt>
                <c:pt idx="320">
                  <c:v>154.97120442968759</c:v>
                </c:pt>
                <c:pt idx="321">
                  <c:v>154.93736193046263</c:v>
                </c:pt>
                <c:pt idx="322">
                  <c:v>154.89188852093571</c:v>
                </c:pt>
                <c:pt idx="323">
                  <c:v>154.83478611977603</c:v>
                </c:pt>
                <c:pt idx="324">
                  <c:v>154.76605727513598</c:v>
                </c:pt>
                <c:pt idx="325">
                  <c:v>154.68570525883237</c:v>
                </c:pt>
                <c:pt idx="326">
                  <c:v>154.59373417952673</c:v>
                </c:pt>
                <c:pt idx="327">
                  <c:v>154.49014911479091</c:v>
                </c:pt>
                <c:pt idx="328">
                  <c:v>154.37495626191225</c:v>
                </c:pt>
                <c:pt idx="329">
                  <c:v>154.24816310725893</c:v>
                </c:pt>
                <c:pt idx="330">
                  <c:v>154.10977861398874</c:v>
                </c:pt>
                <c:pt idx="331">
                  <c:v>153.95981342783006</c:v>
                </c:pt>
                <c:pt idx="332">
                  <c:v>153.79828010062457</c:v>
                </c:pt>
                <c:pt idx="333">
                  <c:v>153.62519333124715</c:v>
                </c:pt>
                <c:pt idx="334">
                  <c:v>153.44057022346115</c:v>
                </c:pt>
                <c:pt idx="335">
                  <c:v>153.24443056018984</c:v>
                </c:pt>
                <c:pt idx="336">
                  <c:v>153.03679709359631</c:v>
                </c:pt>
                <c:pt idx="337">
                  <c:v>152.81769585027965</c:v>
                </c:pt>
                <c:pt idx="338">
                  <c:v>152.58715645078792</c:v>
                </c:pt>
                <c:pt idx="339">
                  <c:v>152.34521244254515</c:v>
                </c:pt>
                <c:pt idx="340">
                  <c:v>152.09190164516494</c:v>
                </c:pt>
                <c:pt idx="341">
                  <c:v>151.82726650700343</c:v>
                </c:pt>
                <c:pt idx="342">
                  <c:v>151.55135447166856</c:v>
                </c:pt>
                <c:pt idx="343">
                  <c:v>151.26421835305922</c:v>
                </c:pt>
                <c:pt idx="344">
                  <c:v>150.96591671736488</c:v>
                </c:pt>
                <c:pt idx="345">
                  <c:v>150.65651427030102</c:v>
                </c:pt>
                <c:pt idx="346">
                  <c:v>150.33608224770211</c:v>
                </c:pt>
                <c:pt idx="347">
                  <c:v>150.00469880743341</c:v>
                </c:pt>
                <c:pt idx="348">
                  <c:v>149.66244942042397</c:v>
                </c:pt>
                <c:pt idx="349">
                  <c:v>149.30942725846924</c:v>
                </c:pt>
                <c:pt idx="350">
                  <c:v>148.94573357629258</c:v>
                </c:pt>
                <c:pt idx="351">
                  <c:v>148.57147808521279</c:v>
                </c:pt>
                <c:pt idx="352">
                  <c:v>148.18677931562425</c:v>
                </c:pt>
                <c:pt idx="353">
                  <c:v>147.79176496537002</c:v>
                </c:pt>
                <c:pt idx="354">
                  <c:v>147.38657223097763</c:v>
                </c:pt>
                <c:pt idx="355">
                  <c:v>146.97134811863597</c:v>
                </c:pt>
                <c:pt idx="356">
                  <c:v>146.54624973171894</c:v>
                </c:pt>
                <c:pt idx="357">
                  <c:v>146.11144453161523</c:v>
                </c:pt>
                <c:pt idx="358">
                  <c:v>145.66711056861013</c:v>
                </c:pt>
                <c:pt idx="359">
                  <c:v>145.21343667957299</c:v>
                </c:pt>
                <c:pt idx="360">
                  <c:v>144.75062264926086</c:v>
                </c:pt>
                <c:pt idx="361">
                  <c:v>144.27887933212145</c:v>
                </c:pt>
                <c:pt idx="362">
                  <c:v>143.7984287316213</c:v>
                </c:pt>
                <c:pt idx="363">
                  <c:v>143.30950403427499</c:v>
                </c:pt>
                <c:pt idx="364">
                  <c:v>142.81234959576912</c:v>
                </c:pt>
                <c:pt idx="365">
                  <c:v>142.30722087682707</c:v>
                </c:pt>
                <c:pt idx="366">
                  <c:v>141.79438432674797</c:v>
                </c:pt>
                <c:pt idx="367">
                  <c:v>141.27411721290341</c:v>
                </c:pt>
                <c:pt idx="368">
                  <c:v>140.74670739483938</c:v>
                </c:pt>
                <c:pt idx="369">
                  <c:v>140.21245304205453</c:v>
                </c:pt>
                <c:pt idx="370">
                  <c:v>139.67166229497326</c:v>
                </c:pt>
                <c:pt idx="371">
                  <c:v>139.12465286911115</c:v>
                </c:pt>
                <c:pt idx="372">
                  <c:v>138.57175160292778</c:v>
                </c:pt>
                <c:pt idx="373">
                  <c:v>138.01329395039539</c:v>
                </c:pt>
                <c:pt idx="374">
                  <c:v>137.44962341982819</c:v>
                </c:pt>
                <c:pt idx="375">
                  <c:v>136.88109096106621</c:v>
                </c:pt>
                <c:pt idx="376">
                  <c:v>136.30805430363102</c:v>
                </c:pt>
                <c:pt idx="377">
                  <c:v>135.7308772489923</c:v>
                </c:pt>
                <c:pt idx="378">
                  <c:v>135.14992892058163</c:v>
                </c:pt>
                <c:pt idx="379">
                  <c:v>134.56558297565613</c:v>
                </c:pt>
                <c:pt idx="380">
                  <c:v>133.97821678355112</c:v>
                </c:pt>
                <c:pt idx="381">
                  <c:v>133.38821057523663</c:v>
                </c:pt>
                <c:pt idx="382">
                  <c:v>132.79594656943689</c:v>
                </c:pt>
                <c:pt idx="383">
                  <c:v>132.20180808083779</c:v>
                </c:pt>
                <c:pt idx="384">
                  <c:v>131.60617861612587</c:v>
                </c:pt>
                <c:pt idx="385">
                  <c:v>131.00944096374289</c:v>
                </c:pt>
                <c:pt idx="386">
                  <c:v>130.41197628331483</c:v>
                </c:pt>
                <c:pt idx="387">
                  <c:v>129.8141632007173</c:v>
                </c:pt>
                <c:pt idx="388">
                  <c:v>129.21637691466989</c:v>
                </c:pt>
                <c:pt idx="389">
                  <c:v>128.61898832061411</c:v>
                </c:pt>
                <c:pt idx="390">
                  <c:v>128.02236315742078</c:v>
                </c:pt>
                <c:pt idx="391">
                  <c:v>127.42686118220242</c:v>
                </c:pt>
                <c:pt idx="392">
                  <c:v>126.83283537818023</c:v>
                </c:pt>
                <c:pt idx="393">
                  <c:v>126.2406312001708</c:v>
                </c:pt>
                <c:pt idx="394">
                  <c:v>125.65058586183095</c:v>
                </c:pt>
                <c:pt idx="395">
                  <c:v>125.06302766833656</c:v>
                </c:pt>
                <c:pt idx="396">
                  <c:v>124.47827539767782</c:v>
                </c:pt>
                <c:pt idx="397">
                  <c:v>123.89663773323196</c:v>
                </c:pt>
                <c:pt idx="398">
                  <c:v>123.31841274975059</c:v>
                </c:pt>
                <c:pt idx="399">
                  <c:v>122.74388745436661</c:v>
                </c:pt>
                <c:pt idx="400">
                  <c:v>122.17333738369121</c:v>
                </c:pt>
                <c:pt idx="401">
                  <c:v>121.60702625755522</c:v>
                </c:pt>
                <c:pt idx="402">
                  <c:v>121.04520568944797</c:v>
                </c:pt>
                <c:pt idx="403">
                  <c:v>120.48811495322492</c:v>
                </c:pt>
                <c:pt idx="404">
                  <c:v>119.93598080522059</c:v>
                </c:pt>
                <c:pt idx="405">
                  <c:v>119.38901736046788</c:v>
                </c:pt>
                <c:pt idx="406">
                  <c:v>118.84742602137311</c:v>
                </c:pt>
                <c:pt idx="407">
                  <c:v>118.31139545684141</c:v>
                </c:pt>
                <c:pt idx="408">
                  <c:v>117.78110162956271</c:v>
                </c:pt>
                <c:pt idx="409">
                  <c:v>117.25670786891702</c:v>
                </c:pt>
                <c:pt idx="410">
                  <c:v>116.7383649867528</c:v>
                </c:pt>
                <c:pt idx="411">
                  <c:v>116.22621143311771</c:v>
                </c:pt>
                <c:pt idx="412">
                  <c:v>115.7203734889162</c:v>
                </c:pt>
                <c:pt idx="413">
                  <c:v>115.22096549236993</c:v>
                </c:pt>
                <c:pt idx="414">
                  <c:v>114.72809009611849</c:v>
                </c:pt>
                <c:pt idx="415">
                  <c:v>114.24183855178998</c:v>
                </c:pt>
                <c:pt idx="416">
                  <c:v>113.76229101888858</c:v>
                </c:pt>
                <c:pt idx="417">
                  <c:v>113.2895168948951</c:v>
                </c:pt>
                <c:pt idx="418">
                  <c:v>112.82357516356402</c:v>
                </c:pt>
                <c:pt idx="419">
                  <c:v>112.3645147584797</c:v>
                </c:pt>
                <c:pt idx="420">
                  <c:v>111.91237493907219</c:v>
                </c:pt>
                <c:pt idx="421">
                  <c:v>111.46718567640842</c:v>
                </c:pt>
                <c:pt idx="422">
                  <c:v>111.02896804623398</c:v>
                </c:pt>
                <c:pt idx="423">
                  <c:v>110.59773462688362</c:v>
                </c:pt>
                <c:pt idx="424">
                  <c:v>110.17348989984833</c:v>
                </c:pt>
                <c:pt idx="425">
                  <c:v>109.75623065095041</c:v>
                </c:pt>
                <c:pt idx="426">
                  <c:v>109.34594637024385</c:v>
                </c:pt>
                <c:pt idx="427">
                  <c:v>108.94261964892796</c:v>
                </c:pt>
                <c:pt idx="428">
                  <c:v>108.54622657172862</c:v>
                </c:pt>
                <c:pt idx="429">
                  <c:v>108.15673710335719</c:v>
                </c:pt>
                <c:pt idx="430">
                  <c:v>107.77411546782666</c:v>
                </c:pt>
                <c:pt idx="431">
                  <c:v>107.3983205195448</c:v>
                </c:pt>
                <c:pt idx="432">
                  <c:v>107.02930610525642</c:v>
                </c:pt>
                <c:pt idx="433">
                  <c:v>106.66702141603942</c:v>
                </c:pt>
                <c:pt idx="434">
                  <c:v>106.31141132869429</c:v>
                </c:pt>
                <c:pt idx="435">
                  <c:v>105.96241673598288</c:v>
                </c:pt>
                <c:pt idx="436">
                  <c:v>105.61997486528608</c:v>
                </c:pt>
                <c:pt idx="437">
                  <c:v>105.28401958535575</c:v>
                </c:pt>
                <c:pt idx="438">
                  <c:v>104.95448170093023</c:v>
                </c:pt>
                <c:pt idx="439">
                  <c:v>104.63128923506879</c:v>
                </c:pt>
                <c:pt idx="440">
                  <c:v>104.31436769914232</c:v>
                </c:pt>
                <c:pt idx="441">
                  <c:v>104.00364035048109</c:v>
                </c:pt>
                <c:pt idx="442">
                  <c:v>103.69902843775463</c:v>
                </c:pt>
                <c:pt idx="443">
                  <c:v>103.40045143420235</c:v>
                </c:pt>
                <c:pt idx="444">
                  <c:v>103.10782725889153</c:v>
                </c:pt>
                <c:pt idx="445">
                  <c:v>102.82107248621627</c:v>
                </c:pt>
                <c:pt idx="446">
                  <c:v>102.54010254389102</c:v>
                </c:pt>
                <c:pt idx="447">
                  <c:v>102.26483189971931</c:v>
                </c:pt>
                <c:pt idx="448">
                  <c:v>101.99517423744857</c:v>
                </c:pt>
                <c:pt idx="449">
                  <c:v>101.73104262203726</c:v>
                </c:pt>
                <c:pt idx="450">
                  <c:v>101.47234965468324</c:v>
                </c:pt>
                <c:pt idx="451">
                  <c:v>101.21900761796854</c:v>
                </c:pt>
                <c:pt idx="452">
                  <c:v>100.97092861149152</c:v>
                </c:pt>
                <c:pt idx="453">
                  <c:v>100.72802467835676</c:v>
                </c:pt>
                <c:pt idx="454">
                  <c:v>100.49020792290152</c:v>
                </c:pt>
                <c:pt idx="455">
                  <c:v>100.25739062003483</c:v>
                </c:pt>
                <c:pt idx="456">
                  <c:v>100.02948531656638</c:v>
                </c:pt>
                <c:pt idx="457">
                  <c:v>99.806404924896</c:v>
                </c:pt>
                <c:pt idx="458">
                  <c:v>99.588062809431293</c:v>
                </c:pt>
                <c:pt idx="459">
                  <c:v>99.374372866095925</c:v>
                </c:pt>
                <c:pt idx="460">
                  <c:v>99.165249595278965</c:v>
                </c:pt>
                <c:pt idx="461">
                  <c:v>98.960608168571611</c:v>
                </c:pt>
                <c:pt idx="462">
                  <c:v>98.760364489625118</c:v>
                </c:pt>
                <c:pt idx="463">
                  <c:v>98.564435249455244</c:v>
                </c:pt>
                <c:pt idx="464">
                  <c:v>98.372737976506627</c:v>
                </c:pt>
                <c:pt idx="465">
                  <c:v>98.185191081781369</c:v>
                </c:pt>
                <c:pt idx="466">
                  <c:v>98.001713899321132</c:v>
                </c:pt>
                <c:pt idx="467">
                  <c:v>97.822226722325823</c:v>
                </c:pt>
                <c:pt idx="468">
                  <c:v>97.646650835175947</c:v>
                </c:pt>
                <c:pt idx="469">
                  <c:v>97.474908541615434</c:v>
                </c:pt>
                <c:pt idx="470">
                  <c:v>97.306923189342427</c:v>
                </c:pt>
                <c:pt idx="471">
                  <c:v>97.142619191240655</c:v>
                </c:pt>
                <c:pt idx="472">
                  <c:v>96.981922043475819</c:v>
                </c:pt>
                <c:pt idx="473">
                  <c:v>96.824758340669206</c:v>
                </c:pt>
                <c:pt idx="474">
                  <c:v>96.671055788349705</c:v>
                </c:pt>
                <c:pt idx="475">
                  <c:v>96.520743212876681</c:v>
                </c:pt>
                <c:pt idx="476">
                  <c:v>96.373750569013609</c:v>
                </c:pt>
                <c:pt idx="477">
                  <c:v>96.23000894532565</c:v>
                </c:pt>
                <c:pt idx="478">
                  <c:v>96.089450567561897</c:v>
                </c:pt>
                <c:pt idx="479">
                  <c:v>95.952008800176316</c:v>
                </c:pt>
                <c:pt idx="480">
                  <c:v>95.817618146131736</c:v>
                </c:pt>
                <c:pt idx="481">
                  <c:v>95.686214245122358</c:v>
                </c:pt>
                <c:pt idx="482">
                  <c:v>95.557733870343469</c:v>
                </c:pt>
                <c:pt idx="483">
                  <c:v>95.43211492392885</c:v>
                </c:pt>
                <c:pt idx="484">
                  <c:v>95.30929643116815</c:v>
                </c:pt>
                <c:pt idx="485">
                  <c:v>95.189218533611637</c:v>
                </c:pt>
                <c:pt idx="486">
                  <c:v>95.071822481160666</c:v>
                </c:pt>
                <c:pt idx="487">
                  <c:v>94.957050623238018</c:v>
                </c:pt>
                <c:pt idx="488">
                  <c:v>94.844846399125089</c:v>
                </c:pt>
                <c:pt idx="489">
                  <c:v>94.735154327547079</c:v>
                </c:pt>
                <c:pt idx="490">
                  <c:v>94.627919995583497</c:v>
                </c:pt>
                <c:pt idx="491">
                  <c:v>94.523090046973621</c:v>
                </c:pt>
                <c:pt idx="492">
                  <c:v>94.420612169884905</c:v>
                </c:pt>
                <c:pt idx="493">
                  <c:v>94.320435084205002</c:v>
                </c:pt>
                <c:pt idx="494">
                  <c:v>94.222508528414906</c:v>
                </c:pt>
                <c:pt idx="495">
                  <c:v>94.126783246098015</c:v>
                </c:pt>
                <c:pt idx="496">
                  <c:v>94.033210972132736</c:v>
                </c:pt>
                <c:pt idx="497">
                  <c:v>93.941744418616665</c:v>
                </c:pt>
                <c:pt idx="498">
                  <c:v>93.852337260563786</c:v>
                </c:pt>
                <c:pt idx="499">
                  <c:v>93.764944121415041</c:v>
                </c:pt>
                <c:pt idx="500">
                  <c:v>93.679520558398195</c:v>
                </c:pt>
                <c:pt idx="501">
                  <c:v>93.596023047771382</c:v>
                </c:pt>
                <c:pt idx="502">
                  <c:v>93.514408969981218</c:v>
                </c:pt>
                <c:pt idx="503">
                  <c:v>93.434636594764058</c:v>
                </c:pt>
                <c:pt idx="504">
                  <c:v>93.356665066217317</c:v>
                </c:pt>
                <c:pt idx="505">
                  <c:v>93.280454387864552</c:v>
                </c:pt>
                <c:pt idx="506">
                  <c:v>93.205965407737068</c:v>
                </c:pt>
                <c:pt idx="507">
                  <c:v>93.133159803491949</c:v>
                </c:pt>
                <c:pt idx="508">
                  <c:v>93.062000067585544</c:v>
                </c:pt>
                <c:pt idx="509">
                  <c:v>92.992449492519256</c:v>
                </c:pt>
                <c:pt idx="510">
                  <c:v>92.924472156173039</c:v>
                </c:pt>
                <c:pt idx="511">
                  <c:v>92.858032907240428</c:v>
                </c:pt>
                <c:pt idx="512">
                  <c:v>92.793097350778396</c:v>
                </c:pt>
                <c:pt idx="513">
                  <c:v>92.729631833882749</c:v>
                </c:pt>
                <c:pt idx="514">
                  <c:v>92.667603431499955</c:v>
                </c:pt>
                <c:pt idx="515">
                  <c:v>92.606979932384263</c:v>
                </c:pt>
                <c:pt idx="516">
                  <c:v>92.547729825208592</c:v>
                </c:pt>
                <c:pt idx="517">
                  <c:v>92.489822284836151</c:v>
                </c:pt>
                <c:pt idx="518">
                  <c:v>92.433227158759806</c:v>
                </c:pt>
                <c:pt idx="519">
                  <c:v>92.377914953714324</c:v>
                </c:pt>
                <c:pt idx="520">
                  <c:v>92.32385682246651</c:v>
                </c:pt>
                <c:pt idx="521">
                  <c:v>92.2710245507878</c:v>
                </c:pt>
                <c:pt idx="522">
                  <c:v>92.21939054461248</c:v>
                </c:pt>
                <c:pt idx="523">
                  <c:v>92.168927817384954</c:v>
                </c:pt>
                <c:pt idx="524">
                  <c:v>92.119609977598031</c:v>
                </c:pt>
                <c:pt idx="525">
                  <c:v>92.071411216524865</c:v>
                </c:pt>
                <c:pt idx="526">
                  <c:v>92.024306296145525</c:v>
                </c:pt>
                <c:pt idx="527">
                  <c:v>91.978270537269651</c:v>
                </c:pt>
                <c:pt idx="528">
                  <c:v>91.933279807855797</c:v>
                </c:pt>
                <c:pt idx="529">
                  <c:v>91.889310511527583</c:v>
                </c:pt>
                <c:pt idx="530">
                  <c:v>91.846339576287377</c:v>
                </c:pt>
                <c:pt idx="531">
                  <c:v>91.804344443426359</c:v>
                </c:pt>
                <c:pt idx="532">
                  <c:v>91.7633030566315</c:v>
                </c:pt>
                <c:pt idx="533">
                  <c:v>91.723193851287363</c:v>
                </c:pt>
                <c:pt idx="534">
                  <c:v>91.683995743973142</c:v>
                </c:pt>
                <c:pt idx="535">
                  <c:v>91.645688122152691</c:v>
                </c:pt>
                <c:pt idx="536">
                  <c:v>91.608250834056719</c:v>
                </c:pt>
                <c:pt idx="537">
                  <c:v>91.571664178755242</c:v>
                </c:pt>
                <c:pt idx="538">
                  <c:v>91.535908896419031</c:v>
                </c:pt>
                <c:pt idx="539">
                  <c:v>91.500966158767739</c:v>
                </c:pt>
                <c:pt idx="540">
                  <c:v>91.466817559703173</c:v>
                </c:pt>
                <c:pt idx="541">
                  <c:v>91.433445106125177</c:v>
                </c:pt>
              </c:numCache>
            </c:numRef>
          </c:yVal>
          <c:smooth val="1"/>
          <c:extLst>
            <c:ext xmlns:c16="http://schemas.microsoft.com/office/drawing/2014/chart" uri="{C3380CC4-5D6E-409C-BE32-E72D297353CC}">
              <c16:uniqueId val="{00000001-7D99-4B86-ACA7-6ECBF91DBBCC}"/>
            </c:ext>
          </c:extLst>
        </c:ser>
        <c:dLbls>
          <c:showLegendKey val="0"/>
          <c:showVal val="0"/>
          <c:showCatName val="0"/>
          <c:showSerName val="0"/>
          <c:showPercent val="0"/>
          <c:showBubbleSize val="0"/>
        </c:dLbls>
        <c:axId val="175568384"/>
        <c:axId val="175566848"/>
      </c:scatterChart>
      <c:valAx>
        <c:axId val="17555865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5560576"/>
        <c:crosses val="autoZero"/>
        <c:crossBetween val="midCat"/>
      </c:valAx>
      <c:valAx>
        <c:axId val="175560576"/>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75558656"/>
        <c:crosses val="autoZero"/>
        <c:crossBetween val="midCat"/>
        <c:majorUnit val="20"/>
        <c:minorUnit val="10"/>
      </c:valAx>
      <c:valAx>
        <c:axId val="175566848"/>
        <c:scaling>
          <c:orientation val="minMax"/>
          <c:max val="180"/>
          <c:min val="-180"/>
        </c:scaling>
        <c:delete val="0"/>
        <c:axPos val="r"/>
        <c:numFmt formatCode="General" sourceLinked="1"/>
        <c:majorTickMark val="out"/>
        <c:minorTickMark val="none"/>
        <c:tickLblPos val="nextTo"/>
        <c:crossAx val="175568384"/>
        <c:crosses val="max"/>
        <c:crossBetween val="midCat"/>
        <c:majorUnit val="90"/>
        <c:minorUnit val="45"/>
      </c:valAx>
      <c:valAx>
        <c:axId val="175568384"/>
        <c:scaling>
          <c:logBase val="10"/>
          <c:orientation val="minMax"/>
        </c:scaling>
        <c:delete val="1"/>
        <c:axPos val="b"/>
        <c:numFmt formatCode="0.00" sourceLinked="1"/>
        <c:majorTickMark val="out"/>
        <c:minorTickMark val="none"/>
        <c:tickLblPos val="nextTo"/>
        <c:crossAx val="17556684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CCM 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Loop_Modeling!$BG$19:$BG$560</c:f>
              <c:numCache>
                <c:formatCode>0.000</c:formatCode>
                <c:ptCount val="542"/>
                <c:pt idx="0">
                  <c:v>70.533328439616326</c:v>
                </c:pt>
                <c:pt idx="1">
                  <c:v>70.333311985890163</c:v>
                </c:pt>
                <c:pt idx="2">
                  <c:v>70.133294756805682</c:v>
                </c:pt>
                <c:pt idx="3">
                  <c:v>69.933276715829194</c:v>
                </c:pt>
                <c:pt idx="4">
                  <c:v>69.733257824706001</c:v>
                </c:pt>
                <c:pt idx="5">
                  <c:v>69.533238043379598</c:v>
                </c:pt>
                <c:pt idx="6">
                  <c:v>69.33321732990629</c:v>
                </c:pt>
                <c:pt idx="7">
                  <c:v>69.133195640366765</c:v>
                </c:pt>
                <c:pt idx="8">
                  <c:v>68.933172928773004</c:v>
                </c:pt>
                <c:pt idx="9">
                  <c:v>68.73314914697076</c:v>
                </c:pt>
                <c:pt idx="10">
                  <c:v>68.533124244537646</c:v>
                </c:pt>
                <c:pt idx="11">
                  <c:v>68.333098168676543</c:v>
                </c:pt>
                <c:pt idx="12">
                  <c:v>68.133070864103644</c:v>
                </c:pt>
                <c:pt idx="13">
                  <c:v>67.933042272931175</c:v>
                </c:pt>
                <c:pt idx="14">
                  <c:v>67.733012334545478</c:v>
                </c:pt>
                <c:pt idx="15">
                  <c:v>67.532980985478133</c:v>
                </c:pt>
                <c:pt idx="16">
                  <c:v>67.332948159271893</c:v>
                </c:pt>
                <c:pt idx="17">
                  <c:v>67.132913786340026</c:v>
                </c:pt>
                <c:pt idx="18">
                  <c:v>66.932877793819031</c:v>
                </c:pt>
                <c:pt idx="19">
                  <c:v>66.732840105414539</c:v>
                </c:pt>
                <c:pt idx="20">
                  <c:v>66.532800641239604</c:v>
                </c:pt>
                <c:pt idx="21">
                  <c:v>66.332759317646435</c:v>
                </c:pt>
                <c:pt idx="22">
                  <c:v>66.132716047048518</c:v>
                </c:pt>
                <c:pt idx="23">
                  <c:v>65.932670737736345</c:v>
                </c:pt>
                <c:pt idx="24">
                  <c:v>65.732623293682778</c:v>
                </c:pt>
                <c:pt idx="25">
                  <c:v>65.532573614340535</c:v>
                </c:pt>
                <c:pt idx="26">
                  <c:v>65.332521594429224</c:v>
                </c:pt>
                <c:pt idx="27">
                  <c:v>65.132467123713127</c:v>
                </c:pt>
                <c:pt idx="28">
                  <c:v>64.932410086768499</c:v>
                </c:pt>
                <c:pt idx="29">
                  <c:v>64.732350362739083</c:v>
                </c:pt>
                <c:pt idx="30">
                  <c:v>64.532287825081511</c:v>
                </c:pt>
                <c:pt idx="31">
                  <c:v>64.332222341297353</c:v>
                </c:pt>
                <c:pt idx="32">
                  <c:v>64.132153772654149</c:v>
                </c:pt>
                <c:pt idx="33">
                  <c:v>63.932081973891997</c:v>
                </c:pt>
                <c:pt idx="34">
                  <c:v>63.73200679291719</c:v>
                </c:pt>
                <c:pt idx="35">
                  <c:v>63.531928070481094</c:v>
                </c:pt>
                <c:pt idx="36">
                  <c:v>63.331845639844751</c:v>
                </c:pt>
                <c:pt idx="37">
                  <c:v>63.131759326426902</c:v>
                </c:pt>
                <c:pt idx="38">
                  <c:v>62.931668947435526</c:v>
                </c:pt>
                <c:pt idx="39">
                  <c:v>62.731574311483492</c:v>
                </c:pt>
                <c:pt idx="40">
                  <c:v>62.531475218184383</c:v>
                </c:pt>
                <c:pt idx="41">
                  <c:v>62.331371457731109</c:v>
                </c:pt>
                <c:pt idx="42">
                  <c:v>62.13126281045372</c:v>
                </c:pt>
                <c:pt idx="43">
                  <c:v>61.931149046357348</c:v>
                </c:pt>
                <c:pt idx="44">
                  <c:v>61.731029924637681</c:v>
                </c:pt>
                <c:pt idx="45">
                  <c:v>61.530905193175016</c:v>
                </c:pt>
                <c:pt idx="46">
                  <c:v>61.330774588003997</c:v>
                </c:pt>
                <c:pt idx="47">
                  <c:v>61.130637832758772</c:v>
                </c:pt>
                <c:pt idx="48">
                  <c:v>60.930494638092661</c:v>
                </c:pt>
                <c:pt idx="49">
                  <c:v>60.730344701070095</c:v>
                </c:pt>
                <c:pt idx="50">
                  <c:v>60.530187704531343</c:v>
                </c:pt>
                <c:pt idx="51">
                  <c:v>60.330023316426733</c:v>
                </c:pt>
                <c:pt idx="52">
                  <c:v>60.129851189121084</c:v>
                </c:pt>
                <c:pt idx="53">
                  <c:v>59.929670958664659</c:v>
                </c:pt>
                <c:pt idx="54">
                  <c:v>59.729482244030947</c:v>
                </c:pt>
                <c:pt idx="55">
                  <c:v>59.529284646319887</c:v>
                </c:pt>
                <c:pt idx="56">
                  <c:v>59.329077747922511</c:v>
                </c:pt>
                <c:pt idx="57">
                  <c:v>59.128861111648909</c:v>
                </c:pt>
                <c:pt idx="58">
                  <c:v>58.928634279814247</c:v>
                </c:pt>
                <c:pt idx="59">
                  <c:v>58.72839677328394</c:v>
                </c:pt>
                <c:pt idx="60">
                  <c:v>58.528148090474133</c:v>
                </c:pt>
                <c:pt idx="61">
                  <c:v>58.327887706306512</c:v>
                </c:pt>
                <c:pt idx="62">
                  <c:v>58.127615071114448</c:v>
                </c:pt>
                <c:pt idx="63">
                  <c:v>57.927329609499942</c:v>
                </c:pt>
                <c:pt idx="64">
                  <c:v>57.727030719137424</c:v>
                </c:pt>
                <c:pt idx="65">
                  <c:v>57.526717769522762</c:v>
                </c:pt>
                <c:pt idx="66">
                  <c:v>57.326390100665691</c:v>
                </c:pt>
                <c:pt idx="67">
                  <c:v>57.126047021721618</c:v>
                </c:pt>
                <c:pt idx="68">
                  <c:v>56.925687809561893</c:v>
                </c:pt>
                <c:pt idx="69">
                  <c:v>56.725311707278479</c:v>
                </c:pt>
                <c:pt idx="70">
                  <c:v>56.524917922621128</c:v>
                </c:pt>
                <c:pt idx="71">
                  <c:v>56.324505626362992</c:v>
                </c:pt>
                <c:pt idx="72">
                  <c:v>56.124073950592972</c:v>
                </c:pt>
                <c:pt idx="73">
                  <c:v>55.923621986930229</c:v>
                </c:pt>
                <c:pt idx="74">
                  <c:v>55.723148784658918</c:v>
                </c:pt>
                <c:pt idx="75">
                  <c:v>55.522653348778462</c:v>
                </c:pt>
                <c:pt idx="76">
                  <c:v>55.322134637966059</c:v>
                </c:pt>
                <c:pt idx="77">
                  <c:v>55.12159156244892</c:v>
                </c:pt>
                <c:pt idx="78">
                  <c:v>54.921022981780453</c:v>
                </c:pt>
                <c:pt idx="79">
                  <c:v>54.720427702517888</c:v>
                </c:pt>
                <c:pt idx="80">
                  <c:v>54.519804475796477</c:v>
                </c:pt>
                <c:pt idx="81">
                  <c:v>54.319151994796606</c:v>
                </c:pt>
                <c:pt idx="82">
                  <c:v>54.118468892098434</c:v>
                </c:pt>
                <c:pt idx="83">
                  <c:v>53.917753736920695</c:v>
                </c:pt>
                <c:pt idx="84">
                  <c:v>53.717005032238028</c:v>
                </c:pt>
                <c:pt idx="85">
                  <c:v>53.516221211772397</c:v>
                </c:pt>
                <c:pt idx="86">
                  <c:v>53.315400636853376</c:v>
                </c:pt>
                <c:pt idx="87">
                  <c:v>53.114541593142512</c:v>
                </c:pt>
                <c:pt idx="88">
                  <c:v>52.913642287215993</c:v>
                </c:pt>
                <c:pt idx="89">
                  <c:v>52.712700843000505</c:v>
                </c:pt>
                <c:pt idx="90">
                  <c:v>52.511715298056465</c:v>
                </c:pt>
                <c:pt idx="91">
                  <c:v>52.310683599703225</c:v>
                </c:pt>
                <c:pt idx="92">
                  <c:v>52.10960360097971</c:v>
                </c:pt>
                <c:pt idx="93">
                  <c:v>51.908473056435412</c:v>
                </c:pt>
                <c:pt idx="94">
                  <c:v>51.707289617744685</c:v>
                </c:pt>
                <c:pt idx="95">
                  <c:v>51.506050829139021</c:v>
                </c:pt>
                <c:pt idx="96">
                  <c:v>51.304754122649577</c:v>
                </c:pt>
                <c:pt idx="97">
                  <c:v>51.103396813155726</c:v>
                </c:pt>
                <c:pt idx="98">
                  <c:v>50.901976093230445</c:v>
                </c:pt>
                <c:pt idx="99">
                  <c:v>50.700489027778097</c:v>
                </c:pt>
                <c:pt idx="100">
                  <c:v>50.498932548456892</c:v>
                </c:pt>
                <c:pt idx="101">
                  <c:v>50.297303447879784</c:v>
                </c:pt>
                <c:pt idx="102">
                  <c:v>50.095598373586903</c:v>
                </c:pt>
                <c:pt idx="103">
                  <c:v>49.893813821782793</c:v>
                </c:pt>
                <c:pt idx="104">
                  <c:v>49.691946130832548</c:v>
                </c:pt>
                <c:pt idx="105">
                  <c:v>49.489991474509779</c:v>
                </c:pt>
                <c:pt idx="106">
                  <c:v>49.287945854989601</c:v>
                </c:pt>
                <c:pt idx="107">
                  <c:v>49.085805095582003</c:v>
                </c:pt>
                <c:pt idx="108">
                  <c:v>48.883564833197973</c:v>
                </c:pt>
                <c:pt idx="109">
                  <c:v>48.681220510543483</c:v>
                </c:pt>
                <c:pt idx="110">
                  <c:v>48.478767368036337</c:v>
                </c:pt>
                <c:pt idx="111">
                  <c:v>48.27620043543979</c:v>
                </c:pt>
                <c:pt idx="112">
                  <c:v>48.073514523209873</c:v>
                </c:pt>
                <c:pt idx="113">
                  <c:v>47.87070421355088</c:v>
                </c:pt>
                <c:pt idx="114">
                  <c:v>47.667763851177128</c:v>
                </c:pt>
                <c:pt idx="115">
                  <c:v>47.464687533777607</c:v>
                </c:pt>
                <c:pt idx="116">
                  <c:v>47.261469102181806</c:v>
                </c:pt>
                <c:pt idx="117">
                  <c:v>47.058102130225919</c:v>
                </c:pt>
                <c:pt idx="118">
                  <c:v>46.854579914319899</c:v>
                </c:pt>
                <c:pt idx="119">
                  <c:v>46.650895462716107</c:v>
                </c:pt>
                <c:pt idx="120">
                  <c:v>46.447041484482902</c:v>
                </c:pt>
                <c:pt idx="121">
                  <c:v>46.243010378187194</c:v>
                </c:pt>
                <c:pt idx="122">
                  <c:v>46.038794220291514</c:v>
                </c:pt>
                <c:pt idx="123">
                  <c:v>45.834384753273042</c:v>
                </c:pt>
                <c:pt idx="124">
                  <c:v>45.629773373475615</c:v>
                </c:pt>
                <c:pt idx="125">
                  <c:v>45.424951118704023</c:v>
                </c:pt>
                <c:pt idx="126">
                  <c:v>45.219908655577974</c:v>
                </c:pt>
                <c:pt idx="127">
                  <c:v>45.014636266659593</c:v>
                </c:pt>
                <c:pt idx="128">
                  <c:v>44.809123837376525</c:v>
                </c:pt>
                <c:pt idx="129">
                  <c:v>44.603360842762115</c:v>
                </c:pt>
                <c:pt idx="130">
                  <c:v>44.397336334040105</c:v>
                </c:pt>
                <c:pt idx="131">
                  <c:v>44.191038925082921</c:v>
                </c:pt>
                <c:pt idx="132">
                  <c:v>43.984456778777755</c:v>
                </c:pt>
                <c:pt idx="133">
                  <c:v>43.777577593340183</c:v>
                </c:pt>
                <c:pt idx="134">
                  <c:v>43.570388588614634</c:v>
                </c:pt>
                <c:pt idx="135">
                  <c:v>43.36287649241487</c:v>
                </c:pt>
                <c:pt idx="136">
                  <c:v>43.155027526951969</c:v>
                </c:pt>
                <c:pt idx="137">
                  <c:v>42.946827395412434</c:v>
                </c:pt>
                <c:pt idx="138">
                  <c:v>42.738261268749859</c:v>
                </c:pt>
                <c:pt idx="139">
                  <c:v>42.529313772759977</c:v>
                </c:pt>
                <c:pt idx="140">
                  <c:v>42.319968975518506</c:v>
                </c:pt>
                <c:pt idx="141">
                  <c:v>42.110210375265034</c:v>
                </c:pt>
                <c:pt idx="142">
                  <c:v>41.90002088882477</c:v>
                </c:pt>
                <c:pt idx="143">
                  <c:v>41.689382840668031</c:v>
                </c:pt>
                <c:pt idx="144">
                  <c:v>41.478277952714038</c:v>
                </c:pt>
                <c:pt idx="145">
                  <c:v>41.266687334993989</c:v>
                </c:pt>
                <c:pt idx="146">
                  <c:v>41.054591477298771</c:v>
                </c:pt>
                <c:pt idx="147">
                  <c:v>40.841970241939684</c:v>
                </c:pt>
                <c:pt idx="148">
                  <c:v>40.628802857766104</c:v>
                </c:pt>
                <c:pt idx="149">
                  <c:v>40.415067915587748</c:v>
                </c:pt>
                <c:pt idx="150">
                  <c:v>40.200743365157919</c:v>
                </c:pt>
                <c:pt idx="151">
                  <c:v>39.985806513885997</c:v>
                </c:pt>
                <c:pt idx="152">
                  <c:v>39.770234027450769</c:v>
                </c:pt>
                <c:pt idx="153">
                  <c:v>39.554001932498267</c:v>
                </c:pt>
                <c:pt idx="154">
                  <c:v>39.337085621612729</c:v>
                </c:pt>
                <c:pt idx="155">
                  <c:v>39.119459860755804</c:v>
                </c:pt>
                <c:pt idx="156">
                  <c:v>38.901098799377031</c:v>
                </c:pt>
                <c:pt idx="157">
                  <c:v>38.681975983401216</c:v>
                </c:pt>
                <c:pt idx="158">
                  <c:v>38.462064371304407</c:v>
                </c:pt>
                <c:pt idx="159">
                  <c:v>38.241336353490695</c:v>
                </c:pt>
                <c:pt idx="160">
                  <c:v>38.019763775184792</c:v>
                </c:pt>
                <c:pt idx="161">
                  <c:v>37.797317963053715</c:v>
                </c:pt>
                <c:pt idx="162">
                  <c:v>37.573969755768502</c:v>
                </c:pt>
                <c:pt idx="163">
                  <c:v>37.34968953871207</c:v>
                </c:pt>
                <c:pt idx="164">
                  <c:v>37.12444728303295</c:v>
                </c:pt>
                <c:pt idx="165">
                  <c:v>36.89821258923314</c:v>
                </c:pt>
                <c:pt idx="166">
                  <c:v>36.670954735467532</c:v>
                </c:pt>
                <c:pt idx="167">
                  <c:v>36.442642730716123</c:v>
                </c:pt>
                <c:pt idx="168">
                  <c:v>36.213245372971087</c:v>
                </c:pt>
                <c:pt idx="169">
                  <c:v>35.982731312559217</c:v>
                </c:pt>
                <c:pt idx="170">
                  <c:v>35.751069120694716</c:v>
                </c:pt>
                <c:pt idx="171">
                  <c:v>35.518227363327789</c:v>
                </c:pt>
                <c:pt idx="172">
                  <c:v>35.284174680322138</c:v>
                </c:pt>
                <c:pt idx="173">
                  <c:v>35.048879869957943</c:v>
                </c:pt>
                <c:pt idx="174">
                  <c:v>34.812311978717901</c:v>
                </c:pt>
                <c:pt idx="175">
                  <c:v>34.574440396268812</c:v>
                </c:pt>
                <c:pt idx="176">
                  <c:v>34.335234955507374</c:v>
                </c:pt>
                <c:pt idx="177">
                  <c:v>34.094666037487627</c:v>
                </c:pt>
                <c:pt idx="178">
                  <c:v>33.852704680996162</c:v>
                </c:pt>
                <c:pt idx="179">
                  <c:v>33.609322696488341</c:v>
                </c:pt>
                <c:pt idx="180">
                  <c:v>33.364492784040543</c:v>
                </c:pt>
                <c:pt idx="181">
                  <c:v>33.118188654920758</c:v>
                </c:pt>
                <c:pt idx="182">
                  <c:v>32.870385156319621</c:v>
                </c:pt>
                <c:pt idx="183">
                  <c:v>32.621058398728707</c:v>
                </c:pt>
                <c:pt idx="184">
                  <c:v>32.370185885397525</c:v>
                </c:pt>
                <c:pt idx="185">
                  <c:v>32.117746643249191</c:v>
                </c:pt>
                <c:pt idx="186">
                  <c:v>31.863721354580463</c:v>
                </c:pt>
                <c:pt idx="187">
                  <c:v>31.608092488829197</c:v>
                </c:pt>
                <c:pt idx="188">
                  <c:v>31.35084443364935</c:v>
                </c:pt>
                <c:pt idx="189">
                  <c:v>31.091963624496074</c:v>
                </c:pt>
                <c:pt idx="190">
                  <c:v>30.831438671896521</c:v>
                </c:pt>
                <c:pt idx="191">
                  <c:v>30.569260485557415</c:v>
                </c:pt>
                <c:pt idx="192">
                  <c:v>30.305422394447024</c:v>
                </c:pt>
                <c:pt idx="193">
                  <c:v>30.039920261982651</c:v>
                </c:pt>
                <c:pt idx="194">
                  <c:v>29.772752595458137</c:v>
                </c:pt>
                <c:pt idx="195">
                  <c:v>29.503920648858681</c:v>
                </c:pt>
                <c:pt idx="196">
                  <c:v>29.233428518229942</c:v>
                </c:pt>
                <c:pt idx="197">
                  <c:v>28.96128322880136</c:v>
                </c:pt>
                <c:pt idx="198">
                  <c:v>28.687494813103747</c:v>
                </c:pt>
                <c:pt idx="199">
                  <c:v>28.412076379368326</c:v>
                </c:pt>
                <c:pt idx="200">
                  <c:v>28.135044169553534</c:v>
                </c:pt>
                <c:pt idx="201">
                  <c:v>27.856417606410201</c:v>
                </c:pt>
                <c:pt idx="202">
                  <c:v>27.576219329066284</c:v>
                </c:pt>
                <c:pt idx="203">
                  <c:v>27.294475216689857</c:v>
                </c:pt>
                <c:pt idx="204">
                  <c:v>27.011214399871619</c:v>
                </c:pt>
                <c:pt idx="205">
                  <c:v>26.726469259450187</c:v>
                </c:pt>
                <c:pt idx="206">
                  <c:v>26.440275412594822</c:v>
                </c:pt>
                <c:pt idx="207">
                  <c:v>26.152671686042375</c:v>
                </c:pt>
                <c:pt idx="208">
                  <c:v>25.863700076478796</c:v>
                </c:pt>
                <c:pt idx="209">
                  <c:v>25.573405698136519</c:v>
                </c:pt>
                <c:pt idx="210">
                  <c:v>25.281836717763355</c:v>
                </c:pt>
                <c:pt idx="211">
                  <c:v>24.989044277199891</c:v>
                </c:pt>
                <c:pt idx="212">
                  <c:v>24.69508240387399</c:v>
                </c:pt>
                <c:pt idx="213">
                  <c:v>24.400007909592134</c:v>
                </c:pt>
                <c:pt idx="214">
                  <c:v>24.103880278069994</c:v>
                </c:pt>
                <c:pt idx="215">
                  <c:v>23.806761541702301</c:v>
                </c:pt>
                <c:pt idx="216">
                  <c:v>23.508716148120715</c:v>
                </c:pt>
                <c:pt idx="217">
                  <c:v>23.209810817135068</c:v>
                </c:pt>
                <c:pt idx="218">
                  <c:v>22.91011438868793</c:v>
                </c:pt>
                <c:pt idx="219">
                  <c:v>22.609697662484471</c:v>
                </c:pt>
                <c:pt idx="220">
                  <c:v>22.308633229986793</c:v>
                </c:pt>
                <c:pt idx="221">
                  <c:v>22.006995299477694</c:v>
                </c:pt>
                <c:pt idx="222">
                  <c:v>21.704859514919011</c:v>
                </c:pt>
                <c:pt idx="223">
                  <c:v>21.402302769336409</c:v>
                </c:pt>
                <c:pt idx="224">
                  <c:v>21.099403013474358</c:v>
                </c:pt>
                <c:pt idx="225">
                  <c:v>20.796239060466508</c:v>
                </c:pt>
                <c:pt idx="226">
                  <c:v>20.492890387273</c:v>
                </c:pt>
                <c:pt idx="227">
                  <c:v>20.189436933635179</c:v>
                </c:pt>
                <c:pt idx="228">
                  <c:v>19.88595889930264</c:v>
                </c:pt>
                <c:pt idx="229">
                  <c:v>19.58253654028049</c:v>
                </c:pt>
                <c:pt idx="230">
                  <c:v>19.279249964856898</c:v>
                </c:pt>
                <c:pt idx="231">
                  <c:v>18.976178930155946</c:v>
                </c:pt>
                <c:pt idx="232">
                  <c:v>18.673402639974789</c:v>
                </c:pt>
                <c:pt idx="233">
                  <c:v>18.370999544654484</c:v>
                </c:pt>
                <c:pt idx="234">
                  <c:v>18.069047143736586</c:v>
                </c:pt>
                <c:pt idx="235">
                  <c:v>17.767621792159286</c:v>
                </c:pt>
                <c:pt idx="236">
                  <c:v>17.466798510738833</c:v>
                </c:pt>
                <c:pt idx="237">
                  <c:v>17.166650801683584</c:v>
                </c:pt>
                <c:pt idx="238">
                  <c:v>16.867250469877419</c:v>
                </c:pt>
                <c:pt idx="239">
                  <c:v>16.568667450664378</c:v>
                </c:pt>
                <c:pt idx="240">
                  <c:v>16.270969644848286</c:v>
                </c:pt>
                <c:pt idx="241">
                  <c:v>15.974222761609955</c:v>
                </c:pt>
                <c:pt idx="242">
                  <c:v>15.678490170015822</c:v>
                </c:pt>
                <c:pt idx="243">
                  <c:v>15.383832759771284</c:v>
                </c:pt>
                <c:pt idx="244">
                  <c:v>15.090308811830717</c:v>
                </c:pt>
                <c:pt idx="245">
                  <c:v>14.797973879443449</c:v>
                </c:pt>
                <c:pt idx="246">
                  <c:v>14.506880680162542</c:v>
                </c:pt>
                <c:pt idx="247">
                  <c:v>14.217078999293328</c:v>
                </c:pt>
                <c:pt idx="248">
                  <c:v>13.928615605198154</c:v>
                </c:pt>
                <c:pt idx="249">
                  <c:v>13.641534176806454</c:v>
                </c:pt>
                <c:pt idx="250">
                  <c:v>13.355875243611091</c:v>
                </c:pt>
                <c:pt idx="251">
                  <c:v>13.071676138350384</c:v>
                </c:pt>
                <c:pt idx="252">
                  <c:v>12.788970962499189</c:v>
                </c:pt>
                <c:pt idx="253">
                  <c:v>12.507790564603782</c:v>
                </c:pt>
                <c:pt idx="254">
                  <c:v>12.228162531412721</c:v>
                </c:pt>
                <c:pt idx="255">
                  <c:v>11.950111191663193</c:v>
                </c:pt>
                <c:pt idx="256">
                  <c:v>11.673657632301119</c:v>
                </c:pt>
                <c:pt idx="257">
                  <c:v>11.398819726820463</c:v>
                </c:pt>
                <c:pt idx="258">
                  <c:v>11.125612175328058</c:v>
                </c:pt>
                <c:pt idx="259">
                  <c:v>10.854046555858838</c:v>
                </c:pt>
                <c:pt idx="260">
                  <c:v>10.584131386391514</c:v>
                </c:pt>
                <c:pt idx="261">
                  <c:v>10.315872196946625</c:v>
                </c:pt>
                <c:pt idx="262">
                  <c:v>10.049271611086068</c:v>
                </c:pt>
                <c:pt idx="263">
                  <c:v>9.7843294360808777</c:v>
                </c:pt>
                <c:pt idx="264">
                  <c:v>9.5210427609680277</c:v>
                </c:pt>
                <c:pt idx="265">
                  <c:v>9.2594060616791136</c:v>
                </c:pt>
                <c:pt idx="266">
                  <c:v>8.999411312400337</c:v>
                </c:pt>
                <c:pt idx="267">
                  <c:v>8.7410481023013347</c:v>
                </c:pt>
                <c:pt idx="268">
                  <c:v>8.4843037567651596</c:v>
                </c:pt>
                <c:pt idx="269">
                  <c:v>8.2291634622505772</c:v>
                </c:pt>
                <c:pt idx="270">
                  <c:v>7.9756103939292657</c:v>
                </c:pt>
                <c:pt idx="271">
                  <c:v>7.7236258452562137</c:v>
                </c:pt>
                <c:pt idx="272">
                  <c:v>7.4731893586592788</c:v>
                </c:pt>
                <c:pt idx="273">
                  <c:v>7.2242788565647054</c:v>
                </c:pt>
                <c:pt idx="274">
                  <c:v>6.9768707720147303</c:v>
                </c:pt>
                <c:pt idx="275">
                  <c:v>6.7309401781770459</c:v>
                </c:pt>
                <c:pt idx="276">
                  <c:v>6.4864609160940301</c:v>
                </c:pt>
                <c:pt idx="277">
                  <c:v>6.2434057200714541</c:v>
                </c:pt>
                <c:pt idx="278">
                  <c:v>6.0017463401602713</c:v>
                </c:pt>
                <c:pt idx="279">
                  <c:v>5.7614536612408003</c:v>
                </c:pt>
                <c:pt idx="280">
                  <c:v>5.5224978182772597</c:v>
                </c:pt>
                <c:pt idx="281">
                  <c:v>5.2848483073640082</c:v>
                </c:pt>
                <c:pt idx="282">
                  <c:v>5.0484740922445583</c:v>
                </c:pt>
                <c:pt idx="283">
                  <c:v>4.8133437060374371</c:v>
                </c:pt>
                <c:pt idx="284">
                  <c:v>4.5794253479567821</c:v>
                </c:pt>
                <c:pt idx="285">
                  <c:v>4.3466869748661843</c:v>
                </c:pt>
                <c:pt idx="286">
                  <c:v>4.1150963875531081</c:v>
                </c:pt>
                <c:pt idx="287">
                  <c:v>3.8846213116552191</c:v>
                </c:pt>
                <c:pt idx="288">
                  <c:v>3.6552294732133368</c:v>
                </c:pt>
                <c:pt idx="289">
                  <c:v>3.4268886688630258</c:v>
                </c:pt>
                <c:pt idx="290">
                  <c:v>3.1995668307116993</c:v>
                </c:pt>
                <c:pt idx="291">
                  <c:v>2.9732320859815404</c:v>
                </c:pt>
                <c:pt idx="292">
                  <c:v>2.7478528115219421</c:v>
                </c:pt>
                <c:pt idx="293">
                  <c:v>2.5233976833259524</c:v>
                </c:pt>
                <c:pt idx="294">
                  <c:v>2.2998357211990998</c:v>
                </c:pt>
                <c:pt idx="295">
                  <c:v>2.0771363287515343</c:v>
                </c:pt>
                <c:pt idx="296">
                  <c:v>1.855269328898044</c:v>
                </c:pt>
                <c:pt idx="297">
                  <c:v>1.6342049950600537</c:v>
                </c:pt>
                <c:pt idx="298">
                  <c:v>1.4139140782752397</c:v>
                </c:pt>
                <c:pt idx="299">
                  <c:v>1.1943678304255472</c:v>
                </c:pt>
                <c:pt idx="300">
                  <c:v>0.9755380237997181</c:v>
                </c:pt>
                <c:pt idx="301">
                  <c:v>0.75739696720700034</c:v>
                </c:pt>
                <c:pt idx="302">
                  <c:v>0.53991751886051831</c:v>
                </c:pt>
                <c:pt idx="303">
                  <c:v>0.32307309624808811</c:v>
                </c:pt>
                <c:pt idx="304">
                  <c:v>0.1068376832033861</c:v>
                </c:pt>
                <c:pt idx="305">
                  <c:v>-0.10881416561025954</c:v>
                </c:pt>
                <c:pt idx="306">
                  <c:v>-0.32390732259874655</c:v>
                </c:pt>
                <c:pt idx="307">
                  <c:v>-0.53846608731657764</c:v>
                </c:pt>
                <c:pt idx="308">
                  <c:v>-0.75251418853507235</c:v>
                </c:pt>
                <c:pt idx="309">
                  <c:v>-0.96607478810831604</c:v>
                </c:pt>
                <c:pt idx="310">
                  <c:v>-1.1791704864586985</c:v>
                </c:pt>
                <c:pt idx="311">
                  <c:v>-1.3918233295087661</c:v>
                </c:pt>
                <c:pt idx="312">
                  <c:v>-1.6040548168916695</c:v>
                </c:pt>
                <c:pt idx="313">
                  <c:v>-1.8158859112828027</c:v>
                </c:pt>
                <c:pt idx="314">
                  <c:v>-2.0273370487026461</c:v>
                </c:pt>
                <c:pt idx="315">
                  <c:v>-2.2384281496455491</c:v>
                </c:pt>
                <c:pt idx="316">
                  <c:v>-2.4491786308982331</c:v>
                </c:pt>
                <c:pt idx="317">
                  <c:v>-2.6596074179199931</c:v>
                </c:pt>
                <c:pt idx="318">
                  <c:v>-2.8697329576590631</c:v>
                </c:pt>
                <c:pt idx="319">
                  <c:v>-3.0795732316918119</c:v>
                </c:pt>
                <c:pt idx="320">
                  <c:v>-3.2891457695721362</c:v>
                </c:pt>
                <c:pt idx="321">
                  <c:v>-3.4984676622872843</c:v>
                </c:pt>
                <c:pt idx="322">
                  <c:v>-3.7075555757221279</c:v>
                </c:pt>
                <c:pt idx="323">
                  <c:v>-3.9164257640357736</c:v>
                </c:pt>
                <c:pt idx="324">
                  <c:v>-4.1250940828652896</c:v>
                </c:pt>
                <c:pt idx="325">
                  <c:v>-4.3335760022686829</c:v>
                </c:pt>
                <c:pt idx="326">
                  <c:v>-4.5418866193293699</c:v>
                </c:pt>
                <c:pt idx="327">
                  <c:v>-4.7500406703473343</c:v>
                </c:pt>
                <c:pt idx="328">
                  <c:v>-4.958052542542478</c:v>
                </c:pt>
                <c:pt idx="329">
                  <c:v>-5.1659362852062349</c:v>
                </c:pt>
                <c:pt idx="330">
                  <c:v>-5.3737056202342863</c:v>
                </c:pt>
                <c:pt idx="331">
                  <c:v>-5.581373951983033</c:v>
                </c:pt>
                <c:pt idx="332">
                  <c:v>-5.788954376390838</c:v>
                </c:pt>
                <c:pt idx="333">
                  <c:v>-5.9964596893142295</c:v>
                </c:pt>
                <c:pt idx="334">
                  <c:v>-6.2039023940281695</c:v>
                </c:pt>
                <c:pt idx="335">
                  <c:v>-6.4112947078480769</c:v>
                </c:pt>
                <c:pt idx="336">
                  <c:v>-6.6186485678319409</c:v>
                </c:pt>
                <c:pt idx="337">
                  <c:v>-6.8259756355289491</c:v>
                </c:pt>
                <c:pt idx="338">
                  <c:v>-7.0332873007437549</c:v>
                </c:pt>
                <c:pt idx="339">
                  <c:v>-7.2405946842924438</c:v>
                </c:pt>
                <c:pt idx="340">
                  <c:v>-7.4479086397317227</c:v>
                </c:pt>
                <c:pt idx="341">
                  <c:v>-7.6552397540506432</c:v>
                </c:pt>
                <c:pt idx="342">
                  <c:v>-7.862598347319862</c:v>
                </c:pt>
                <c:pt idx="343">
                  <c:v>-8.0699944713027421</c:v>
                </c:pt>
                <c:pt idx="344">
                  <c:v>-8.277437907041687</c:v>
                </c:pt>
                <c:pt idx="345">
                  <c:v>-8.4849381614405832</c:v>
                </c:pt>
                <c:pt idx="346">
                  <c:v>-8.6925044628770642</c:v>
                </c:pt>
                <c:pt idx="347">
                  <c:v>-8.9001457558867809</c:v>
                </c:pt>
                <c:pt idx="348">
                  <c:v>-9.1078706949757091</c:v>
                </c:pt>
                <c:pt idx="349">
                  <c:v>-9.3156876376274447</c:v>
                </c:pt>
                <c:pt idx="350">
                  <c:v>-9.5236046365855191</c:v>
                </c:pt>
                <c:pt idx="351">
                  <c:v>-9.7316294315050413</c:v>
                </c:pt>
                <c:pt idx="352">
                  <c:v>-9.9397694400812657</c:v>
                </c:pt>
                <c:pt idx="353">
                  <c:v>-10.148031748776079</c:v>
                </c:pt>
                <c:pt idx="354">
                  <c:v>-10.356423103278964</c:v>
                </c:pt>
                <c:pt idx="355">
                  <c:v>-10.56494989885257</c:v>
                </c:pt>
                <c:pt idx="356">
                  <c:v>-10.773618170725722</c:v>
                </c:pt>
                <c:pt idx="357">
                  <c:v>-10.982433584710643</c:v>
                </c:pt>
                <c:pt idx="358">
                  <c:v>-11.191401428234162</c:v>
                </c:pt>
                <c:pt idx="359">
                  <c:v>-11.400526601980939</c:v>
                </c:pt>
                <c:pt idx="360">
                  <c:v>-11.609813612360199</c:v>
                </c:pt>
                <c:pt idx="361">
                  <c:v>-11.819266565010293</c:v>
                </c:pt>
                <c:pt idx="362">
                  <c:v>-12.028889159566036</c:v>
                </c:pt>
                <c:pt idx="363">
                  <c:v>-12.238684685912339</c:v>
                </c:pt>
                <c:pt idx="364">
                  <c:v>-12.448656022151185</c:v>
                </c:pt>
                <c:pt idx="365">
                  <c:v>-12.658805634503903</c:v>
                </c:pt>
                <c:pt idx="366">
                  <c:v>-12.869135579366628</c:v>
                </c:pt>
                <c:pt idx="367">
                  <c:v>-13.079647507725484</c:v>
                </c:pt>
                <c:pt idx="368">
                  <c:v>-13.290342672126716</c:v>
                </c:pt>
                <c:pt idx="369">
                  <c:v>-13.501221936378512</c:v>
                </c:pt>
                <c:pt idx="370">
                  <c:v>-13.71228578814214</c:v>
                </c:pt>
                <c:pt idx="371">
                  <c:v>-13.923534354545223</c:v>
                </c:pt>
                <c:pt idx="372">
                  <c:v>-14.134967420922502</c:v>
                </c:pt>
                <c:pt idx="373">
                  <c:v>-14.346584452759444</c:v>
                </c:pt>
                <c:pt idx="374">
                  <c:v>-14.558384620879872</c:v>
                </c:pt>
                <c:pt idx="375">
                  <c:v>-14.770366829883038</c:v>
                </c:pt>
                <c:pt idx="376">
                  <c:v>-14.982529749798772</c:v>
                </c:pt>
                <c:pt idx="377">
                  <c:v>-15.194871850889681</c:v>
                </c:pt>
                <c:pt idx="378">
                  <c:v>-15.407391441489207</c:v>
                </c:pt>
                <c:pt idx="379">
                  <c:v>-15.620086708727746</c:v>
                </c:pt>
                <c:pt idx="380">
                  <c:v>-15.832955761955992</c:v>
                </c:pt>
                <c:pt idx="381">
                  <c:v>-16.045996678643423</c:v>
                </c:pt>
                <c:pt idx="382">
                  <c:v>-16.259207552489233</c:v>
                </c:pt>
                <c:pt idx="383">
                  <c:v>-16.472586543457254</c:v>
                </c:pt>
                <c:pt idx="384">
                  <c:v>-16.686131929412916</c:v>
                </c:pt>
                <c:pt idx="385">
                  <c:v>-16.89984215902221</c:v>
                </c:pt>
                <c:pt idx="386">
                  <c:v>-17.113715905548116</c:v>
                </c:pt>
                <c:pt idx="387">
                  <c:v>-17.327752121172168</c:v>
                </c:pt>
                <c:pt idx="388">
                  <c:v>-17.541950091453636</c:v>
                </c:pt>
                <c:pt idx="389">
                  <c:v>-17.756309489542616</c:v>
                </c:pt>
                <c:pt idx="390">
                  <c:v>-17.970830429760213</c:v>
                </c:pt>
                <c:pt idx="391">
                  <c:v>-18.185513520171071</c:v>
                </c:pt>
                <c:pt idx="392">
                  <c:v>-18.400359913783678</c:v>
                </c:pt>
                <c:pt idx="393">
                  <c:v>-18.615371358032352</c:v>
                </c:pt>
                <c:pt idx="394">
                  <c:v>-18.830550242218589</c:v>
                </c:pt>
                <c:pt idx="395">
                  <c:v>-19.045899642610511</c:v>
                </c:pt>
                <c:pt idx="396">
                  <c:v>-19.261423364933325</c:v>
                </c:pt>
                <c:pt idx="397">
                  <c:v>-19.477125984008353</c:v>
                </c:pt>
                <c:pt idx="398">
                  <c:v>-19.693012880336202</c:v>
                </c:pt>
                <c:pt idx="399">
                  <c:v>-19.909090273447774</c:v>
                </c:pt>
                <c:pt idx="400">
                  <c:v>-20.125365251881803</c:v>
                </c:pt>
                <c:pt idx="401">
                  <c:v>-20.341845799681082</c:v>
                </c:pt>
                <c:pt idx="402">
                  <c:v>-20.558540819326851</c:v>
                </c:pt>
                <c:pt idx="403">
                  <c:v>-20.77546015106374</c:v>
                </c:pt>
                <c:pt idx="404">
                  <c:v>-20.992614588589621</c:v>
                </c:pt>
                <c:pt idx="405">
                  <c:v>-21.210015891113073</c:v>
                </c:pt>
                <c:pt idx="406">
                  <c:v>-21.42767679179584</c:v>
                </c:pt>
                <c:pt idx="407">
                  <c:v>-21.645611002618345</c:v>
                </c:pt>
                <c:pt idx="408">
                  <c:v>-21.863833215718135</c:v>
                </c:pt>
                <c:pt idx="409">
                  <c:v>-22.082359101258511</c:v>
                </c:pt>
                <c:pt idx="410">
                  <c:v>-22.301205301892001</c:v>
                </c:pt>
                <c:pt idx="411">
                  <c:v>-22.520389423885291</c:v>
                </c:pt>
                <c:pt idx="412">
                  <c:v>-22.739930024969709</c:v>
                </c:pt>
                <c:pt idx="413">
                  <c:v>-22.959846598975709</c:v>
                </c:pt>
                <c:pt idx="414">
                  <c:v>-23.180159557308016</c:v>
                </c:pt>
                <c:pt idx="415">
                  <c:v>-23.400890207299906</c:v>
                </c:pt>
                <c:pt idx="416">
                  <c:v>-23.622060727482275</c:v>
                </c:pt>
                <c:pt idx="417">
                  <c:v>-23.843694139784102</c:v>
                </c:pt>
                <c:pt idx="418">
                  <c:v>-24.065814278669055</c:v>
                </c:pt>
                <c:pt idx="419">
                  <c:v>-24.288445757200215</c:v>
                </c:pt>
                <c:pt idx="420">
                  <c:v>-24.511613930007279</c:v>
                </c:pt>
                <c:pt idx="421">
                  <c:v>-24.735344853118377</c:v>
                </c:pt>
                <c:pt idx="422">
                  <c:v>-24.959665240607055</c:v>
                </c:pt>
                <c:pt idx="423">
                  <c:v>-25.184602417989392</c:v>
                </c:pt>
                <c:pt idx="424">
                  <c:v>-25.410184272302789</c:v>
                </c:pt>
                <c:pt idx="425">
                  <c:v>-25.636439198783414</c:v>
                </c:pt>
                <c:pt idx="426">
                  <c:v>-25.863396044061979</c:v>
                </c:pt>
                <c:pt idx="427">
                  <c:v>-26.09108404579143</c:v>
                </c:pt>
                <c:pt idx="428">
                  <c:v>-26.319532768623539</c:v>
                </c:pt>
                <c:pt idx="429">
                  <c:v>-26.548772036459773</c:v>
                </c:pt>
                <c:pt idx="430">
                  <c:v>-26.778831860907108</c:v>
                </c:pt>
                <c:pt idx="431">
                  <c:v>-27.009742365889366</c:v>
                </c:pt>
                <c:pt idx="432">
                  <c:v>-27.241533708378604</c:v>
                </c:pt>
                <c:pt idx="433">
                  <c:v>-27.474235995237308</c:v>
                </c:pt>
                <c:pt idx="434">
                  <c:v>-27.707879196190536</c:v>
                </c:pt>
                <c:pt idx="435">
                  <c:v>-27.942493052975422</c:v>
                </c:pt>
                <c:pt idx="436">
                  <c:v>-28.178106984759911</c:v>
                </c:pt>
                <c:pt idx="437">
                  <c:v>-28.414749989955013</c:v>
                </c:pt>
                <c:pt idx="438">
                  <c:v>-28.652450544600772</c:v>
                </c:pt>
                <c:pt idx="439">
                  <c:v>-28.891236497544028</c:v>
                </c:pt>
                <c:pt idx="440">
                  <c:v>-29.131134962689931</c:v>
                </c:pt>
                <c:pt idx="441">
                  <c:v>-29.372172208656799</c:v>
                </c:pt>
                <c:pt idx="442">
                  <c:v>-29.614373546225078</c:v>
                </c:pt>
                <c:pt idx="443">
                  <c:v>-29.857763214031753</c:v>
                </c:pt>
                <c:pt idx="444">
                  <c:v>-30.102364263018924</c:v>
                </c:pt>
                <c:pt idx="445">
                  <c:v>-30.348198440208666</c:v>
                </c:pt>
                <c:pt idx="446">
                  <c:v>-30.59528607243427</c:v>
                </c:pt>
                <c:pt idx="447">
                  <c:v>-30.843645950715654</c:v>
                </c:pt>
                <c:pt idx="448">
                  <c:v>-31.093295216023016</c:v>
                </c:pt>
                <c:pt idx="449">
                  <c:v>-31.344249247220823</c:v>
                </c:pt>
                <c:pt idx="450">
                  <c:v>-31.59652155203333</c:v>
                </c:pt>
                <c:pt idx="451">
                  <c:v>-31.850123661910501</c:v>
                </c:pt>
                <c:pt idx="452">
                  <c:v>-32.105065031705628</c:v>
                </c:pt>
                <c:pt idx="453">
                  <c:v>-32.361352945102539</c:v>
                </c:pt>
                <c:pt idx="454">
                  <c:v>-32.618992426743304</c:v>
                </c:pt>
                <c:pt idx="455">
                  <c:v>-32.87798616201453</c:v>
                </c:pt>
                <c:pt idx="456">
                  <c:v>-33.138334425444882</c:v>
                </c:pt>
                <c:pt idx="457">
                  <c:v>-33.400035018650293</c:v>
                </c:pt>
                <c:pt idx="458">
                  <c:v>-33.663083218737043</c:v>
                </c:pt>
                <c:pt idx="459">
                  <c:v>-33.927471738030789</c:v>
                </c:pt>
                <c:pt idx="460">
                  <c:v>-34.19319069595231</c:v>
                </c:pt>
                <c:pt idx="461">
                  <c:v>-34.460227603793484</c:v>
                </c:pt>
                <c:pt idx="462">
                  <c:v>-34.728567363077993</c:v>
                </c:pt>
                <c:pt idx="463">
                  <c:v>-34.998192278101278</c:v>
                </c:pt>
                <c:pt idx="464">
                  <c:v>-35.269082083153279</c:v>
                </c:pt>
                <c:pt idx="465">
                  <c:v>-35.541213984820892</c:v>
                </c:pt>
                <c:pt idx="466">
                  <c:v>-35.814562719655456</c:v>
                </c:pt>
                <c:pt idx="467">
                  <c:v>-36.089100627371678</c:v>
                </c:pt>
                <c:pt idx="468">
                  <c:v>-36.364797739619384</c:v>
                </c:pt>
                <c:pt idx="469">
                  <c:v>-36.641621884240074</c:v>
                </c:pt>
                <c:pt idx="470">
                  <c:v>-36.919538804787784</c:v>
                </c:pt>
                <c:pt idx="471">
                  <c:v>-37.198512294963088</c:v>
                </c:pt>
                <c:pt idx="472">
                  <c:v>-37.478504347473162</c:v>
                </c:pt>
                <c:pt idx="473">
                  <c:v>-37.759475316701902</c:v>
                </c:pt>
                <c:pt idx="474">
                  <c:v>-38.041384094446997</c:v>
                </c:pt>
                <c:pt idx="475">
                  <c:v>-38.324188297854597</c:v>
                </c:pt>
                <c:pt idx="476">
                  <c:v>-38.607844468570242</c:v>
                </c:pt>
                <c:pt idx="477">
                  <c:v>-38.892308282011911</c:v>
                </c:pt>
                <c:pt idx="478">
                  <c:v>-39.177534765569987</c:v>
                </c:pt>
                <c:pt idx="479">
                  <c:v>-39.463478524450764</c:v>
                </c:pt>
                <c:pt idx="480">
                  <c:v>-39.75009397379538</c:v>
                </c:pt>
                <c:pt idx="481">
                  <c:v>-40.037335575639247</c:v>
                </c:pt>
                <c:pt idx="482">
                  <c:v>-40.325158079218525</c:v>
                </c:pt>
                <c:pt idx="483">
                  <c:v>-40.613516763085222</c:v>
                </c:pt>
                <c:pt idx="484">
                  <c:v>-40.902367677459289</c:v>
                </c:pt>
                <c:pt idx="485">
                  <c:v>-41.191667885230324</c:v>
                </c:pt>
                <c:pt idx="486">
                  <c:v>-41.481375700012563</c:v>
                </c:pt>
                <c:pt idx="487">
                  <c:v>-41.771450919666925</c:v>
                </c:pt>
                <c:pt idx="488">
                  <c:v>-42.061855053724244</c:v>
                </c:pt>
                <c:pt idx="489">
                  <c:v>-42.35255154318083</c:v>
                </c:pt>
                <c:pt idx="490">
                  <c:v>-42.643505971180147</c:v>
                </c:pt>
                <c:pt idx="491">
                  <c:v>-42.934686263161019</c:v>
                </c:pt>
                <c:pt idx="492">
                  <c:v>-43.226062875117925</c:v>
                </c:pt>
                <c:pt idx="493">
                  <c:v>-43.517608968707151</c:v>
                </c:pt>
                <c:pt idx="494">
                  <c:v>-43.809300572022352</c:v>
                </c:pt>
                <c:pt idx="495">
                  <c:v>-44.101116724968669</c:v>
                </c:pt>
                <c:pt idx="496">
                  <c:v>-44.393039608273817</c:v>
                </c:pt>
                <c:pt idx="497">
                  <c:v>-44.685054655294429</c:v>
                </c:pt>
                <c:pt idx="498">
                  <c:v>-44.977150645901517</c:v>
                </c:pt>
                <c:pt idx="499">
                  <c:v>-45.269319781854989</c:v>
                </c:pt>
                <c:pt idx="500">
                  <c:v>-45.561557743217108</c:v>
                </c:pt>
                <c:pt idx="501">
                  <c:v>-45.853863725484452</c:v>
                </c:pt>
                <c:pt idx="502">
                  <c:v>-46.146240457257434</c:v>
                </c:pt>
                <c:pt idx="503">
                  <c:v>-46.438694198403788</c:v>
                </c:pt>
                <c:pt idx="504">
                  <c:v>-46.731234718805503</c:v>
                </c:pt>
                <c:pt idx="505">
                  <c:v>-47.023875257911158</c:v>
                </c:pt>
                <c:pt idx="506">
                  <c:v>-47.316632465444954</c:v>
                </c:pt>
                <c:pt idx="507">
                  <c:v>-47.609526323745619</c:v>
                </c:pt>
                <c:pt idx="508">
                  <c:v>-47.902580052326122</c:v>
                </c:pt>
                <c:pt idx="509">
                  <c:v>-48.195819995355613</c:v>
                </c:pt>
                <c:pt idx="510">
                  <c:v>-48.489275492868416</c:v>
                </c:pt>
                <c:pt idx="511">
                  <c:v>-48.78297873660037</c:v>
                </c:pt>
                <c:pt idx="512">
                  <c:v>-49.076964611437987</c:v>
                </c:pt>
                <c:pt idx="513">
                  <c:v>-49.371270523546784</c:v>
                </c:pt>
                <c:pt idx="514">
                  <c:v>-49.665936216312936</c:v>
                </c:pt>
                <c:pt idx="515">
                  <c:v>-49.961003575292736</c:v>
                </c:pt>
                <c:pt idx="516">
                  <c:v>-50.256516423416635</c:v>
                </c:pt>
                <c:pt idx="517">
                  <c:v>-50.552520307737758</c:v>
                </c:pt>
                <c:pt idx="518">
                  <c:v>-50.849062279047345</c:v>
                </c:pt>
                <c:pt idx="519">
                  <c:v>-51.146190665707167</c:v>
                </c:pt>
                <c:pt idx="520">
                  <c:v>-51.443954843063608</c:v>
                </c:pt>
                <c:pt idx="521">
                  <c:v>-51.742404999819314</c:v>
                </c:pt>
                <c:pt idx="522">
                  <c:v>-52.041591902738055</c:v>
                </c:pt>
                <c:pt idx="523">
                  <c:v>-52.341566661049853</c:v>
                </c:pt>
                <c:pt idx="524">
                  <c:v>-52.642380491913073</c:v>
                </c:pt>
                <c:pt idx="525">
                  <c:v>-52.944084488260437</c:v>
                </c:pt>
                <c:pt idx="526">
                  <c:v>-53.246729390332362</c:v>
                </c:pt>
                <c:pt idx="527">
                  <c:v>-53.550365362160107</c:v>
                </c:pt>
                <c:pt idx="528">
                  <c:v>-53.855041774213241</c:v>
                </c:pt>
                <c:pt idx="529">
                  <c:v>-54.160806993379573</c:v>
                </c:pt>
                <c:pt idx="530">
                  <c:v>-54.4677081813781</c:v>
                </c:pt>
                <c:pt idx="531">
                  <c:v>-54.775791102643751</c:v>
                </c:pt>
                <c:pt idx="532">
                  <c:v>-55.085099942644604</c:v>
                </c:pt>
                <c:pt idx="533">
                  <c:v>-55.395677137513189</c:v>
                </c:pt>
                <c:pt idx="534">
                  <c:v>-55.707563215785825</c:v>
                </c:pt>
                <c:pt idx="535">
                  <c:v>-56.020796652948668</c:v>
                </c:pt>
                <c:pt idx="536">
                  <c:v>-56.335413739394326</c:v>
                </c:pt>
                <c:pt idx="537">
                  <c:v>-56.651448462286005</c:v>
                </c:pt>
                <c:pt idx="538">
                  <c:v>-56.968932401724231</c:v>
                </c:pt>
                <c:pt idx="539">
                  <c:v>-57.287894641496138</c:v>
                </c:pt>
                <c:pt idx="540">
                  <c:v>-57.608361694581099</c:v>
                </c:pt>
                <c:pt idx="541">
                  <c:v>-57.93035744347516</c:v>
                </c:pt>
              </c:numCache>
            </c:numRef>
          </c:yVal>
          <c:smooth val="1"/>
          <c:extLst>
            <c:ext xmlns:c16="http://schemas.microsoft.com/office/drawing/2014/chart" uri="{C3380CC4-5D6E-409C-BE32-E72D297353CC}">
              <c16:uniqueId val="{00000000-BF6B-439E-8FA0-9CCCDD9102C5}"/>
            </c:ext>
          </c:extLst>
        </c:ser>
        <c:dLbls>
          <c:showLegendKey val="0"/>
          <c:showVal val="0"/>
          <c:showCatName val="0"/>
          <c:showSerName val="0"/>
          <c:showPercent val="0"/>
          <c:showBubbleSize val="0"/>
        </c:dLbls>
        <c:axId val="175885696"/>
        <c:axId val="175887872"/>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Loop_Modeling!$BH$19:$BH$560</c:f>
              <c:numCache>
                <c:formatCode>General</c:formatCode>
                <c:ptCount val="542"/>
                <c:pt idx="0">
                  <c:v>89.613423716835911</c:v>
                </c:pt>
                <c:pt idx="1">
                  <c:v>89.604419952456638</c:v>
                </c:pt>
                <c:pt idx="2">
                  <c:v>89.595206517384483</c:v>
                </c:pt>
                <c:pt idx="3">
                  <c:v>89.585778531617464</c:v>
                </c:pt>
                <c:pt idx="4">
                  <c:v>89.576131001759506</c:v>
                </c:pt>
                <c:pt idx="5">
                  <c:v>89.566258818398808</c:v>
                </c:pt>
                <c:pt idx="6">
                  <c:v>89.556156753426592</c:v>
                </c:pt>
                <c:pt idx="7">
                  <c:v>89.545819457294996</c:v>
                </c:pt>
                <c:pt idx="8">
                  <c:v>89.535241456212546</c:v>
                </c:pt>
                <c:pt idx="9">
                  <c:v>89.524417149276161</c:v>
                </c:pt>
                <c:pt idx="10">
                  <c:v>89.513340805538277</c:v>
                </c:pt>
                <c:pt idx="11">
                  <c:v>89.502006561007363</c:v>
                </c:pt>
                <c:pt idx="12">
                  <c:v>89.49040841558103</c:v>
                </c:pt>
                <c:pt idx="13">
                  <c:v>89.478540229909783</c:v>
                </c:pt>
                <c:pt idx="14">
                  <c:v>89.466395722190214</c:v>
                </c:pt>
                <c:pt idx="15">
                  <c:v>89.453968464886188</c:v>
                </c:pt>
                <c:pt idx="16">
                  <c:v>89.441251881376331</c:v>
                </c:pt>
                <c:pt idx="17">
                  <c:v>89.428239242526558</c:v>
                </c:pt>
                <c:pt idx="18">
                  <c:v>89.414923663185917</c:v>
                </c:pt>
                <c:pt idx="19">
                  <c:v>89.401298098604329</c:v>
                </c:pt>
                <c:pt idx="20">
                  <c:v>89.387355340770469</c:v>
                </c:pt>
                <c:pt idx="21">
                  <c:v>89.373088014668468</c:v>
                </c:pt>
                <c:pt idx="22">
                  <c:v>89.358488574451542</c:v>
                </c:pt>
                <c:pt idx="23">
                  <c:v>89.343549299531105</c:v>
                </c:pt>
                <c:pt idx="24">
                  <c:v>89.328262290579616</c:v>
                </c:pt>
                <c:pt idx="25">
                  <c:v>89.312619465445579</c:v>
                </c:pt>
                <c:pt idx="26">
                  <c:v>89.296612554979049</c:v>
                </c:pt>
                <c:pt idx="27">
                  <c:v>89.280233098765692</c:v>
                </c:pt>
                <c:pt idx="28">
                  <c:v>89.263472440768069</c:v>
                </c:pt>
                <c:pt idx="29">
                  <c:v>89.246321724872374</c:v>
                </c:pt>
                <c:pt idx="30">
                  <c:v>89.228771890338422</c:v>
                </c:pt>
                <c:pt idx="31">
                  <c:v>89.210813667151996</c:v>
                </c:pt>
                <c:pt idx="32">
                  <c:v>89.192437571277068</c:v>
                </c:pt>
                <c:pt idx="33">
                  <c:v>89.173633899806688</c:v>
                </c:pt>
                <c:pt idx="34">
                  <c:v>89.154392726010528</c:v>
                </c:pt>
                <c:pt idx="35">
                  <c:v>89.134703894277393</c:v>
                </c:pt>
                <c:pt idx="36">
                  <c:v>89.11455701495133</c:v>
                </c:pt>
                <c:pt idx="37">
                  <c:v>89.093941459059067</c:v>
                </c:pt>
                <c:pt idx="38">
                  <c:v>89.072846352927613</c:v>
                </c:pt>
                <c:pt idx="39">
                  <c:v>89.051260572690111</c:v>
                </c:pt>
                <c:pt idx="40">
                  <c:v>89.029172738678326</c:v>
                </c:pt>
                <c:pt idx="41">
                  <c:v>89.006571209700411</c:v>
                </c:pt>
                <c:pt idx="42">
                  <c:v>88.983444077201895</c:v>
                </c:pt>
                <c:pt idx="43">
                  <c:v>88.959779159309008</c:v>
                </c:pt>
                <c:pt idx="44">
                  <c:v>88.935563994752243</c:v>
                </c:pt>
                <c:pt idx="45">
                  <c:v>88.910785836669334</c:v>
                </c:pt>
                <c:pt idx="46">
                  <c:v>88.885431646285809</c:v>
                </c:pt>
                <c:pt idx="47">
                  <c:v>88.859488086472098</c:v>
                </c:pt>
                <c:pt idx="48">
                  <c:v>88.832941515176103</c:v>
                </c:pt>
                <c:pt idx="49">
                  <c:v>88.805777978729694</c:v>
                </c:pt>
                <c:pt idx="50">
                  <c:v>88.777983205028676</c:v>
                </c:pt>
                <c:pt idx="51">
                  <c:v>88.749542596584959</c:v>
                </c:pt>
                <c:pt idx="52">
                  <c:v>88.720441223450294</c:v>
                </c:pt>
                <c:pt idx="53">
                  <c:v>88.690663816010911</c:v>
                </c:pt>
                <c:pt idx="54">
                  <c:v>88.660194757652718</c:v>
                </c:pt>
                <c:pt idx="55">
                  <c:v>88.629018077296422</c:v>
                </c:pt>
                <c:pt idx="56">
                  <c:v>88.597117441802965</c:v>
                </c:pt>
                <c:pt idx="57">
                  <c:v>88.564476148248872</c:v>
                </c:pt>
                <c:pt idx="58">
                  <c:v>88.531077116071941</c:v>
                </c:pt>
                <c:pt idx="59">
                  <c:v>88.496902879087955</c:v>
                </c:pt>
                <c:pt idx="60">
                  <c:v>88.461935577379194</c:v>
                </c:pt>
                <c:pt idx="61">
                  <c:v>88.426156949055539</c:v>
                </c:pt>
                <c:pt idx="62">
                  <c:v>88.389548321889805</c:v>
                </c:pt>
                <c:pt idx="63">
                  <c:v>88.3520906048293</c:v>
                </c:pt>
                <c:pt idx="64">
                  <c:v>88.313764279384799</c:v>
                </c:pt>
                <c:pt idx="65">
                  <c:v>88.274549390900518</c:v>
                </c:pt>
                <c:pt idx="66">
                  <c:v>88.234425539707274</c:v>
                </c:pt>
                <c:pt idx="67">
                  <c:v>88.193371872162373</c:v>
                </c:pt>
                <c:pt idx="68">
                  <c:v>88.151367071580168</c:v>
                </c:pt>
                <c:pt idx="69">
                  <c:v>88.108389349057703</c:v>
                </c:pt>
                <c:pt idx="70">
                  <c:v>88.064416434200453</c:v>
                </c:pt>
                <c:pt idx="71">
                  <c:v>88.019425565753565</c:v>
                </c:pt>
                <c:pt idx="72">
                  <c:v>87.973393482145241</c:v>
                </c:pt>
                <c:pt idx="73">
                  <c:v>87.926296411949096</c:v>
                </c:pt>
                <c:pt idx="74">
                  <c:v>87.878110064273315</c:v>
                </c:pt>
                <c:pt idx="75">
                  <c:v>87.828809619085348</c:v>
                </c:pt>
                <c:pt idx="76">
                  <c:v>87.778369717481709</c:v>
                </c:pt>
                <c:pt idx="77">
                  <c:v>87.726764451913368</c:v>
                </c:pt>
                <c:pt idx="78">
                  <c:v>87.673967356378313</c:v>
                </c:pt>
                <c:pt idx="79">
                  <c:v>87.619951396594303</c:v>
                </c:pt>
                <c:pt idx="80">
                  <c:v>87.564688960165313</c:v>
                </c:pt>
                <c:pt idx="81">
                  <c:v>87.508151846757116</c:v>
                </c:pt>
                <c:pt idx="82">
                  <c:v>87.450311258298797</c:v>
                </c:pt>
                <c:pt idx="83">
                  <c:v>87.391137789228011</c:v>
                </c:pt>
                <c:pt idx="84">
                  <c:v>87.330601416799539</c:v>
                </c:pt>
                <c:pt idx="85">
                  <c:v>87.268671491479395</c:v>
                </c:pt>
                <c:pt idx="86">
                  <c:v>87.205316727446274</c:v>
                </c:pt>
                <c:pt idx="87">
                  <c:v>87.140505193227057</c:v>
                </c:pt>
                <c:pt idx="88">
                  <c:v>87.074204302492191</c:v>
                </c:pt>
                <c:pt idx="89">
                  <c:v>87.006380805041431</c:v>
                </c:pt>
                <c:pt idx="90">
                  <c:v>86.937000778010926</c:v>
                </c:pt>
                <c:pt idx="91">
                  <c:v>86.866029617336849</c:v>
                </c:pt>
                <c:pt idx="92">
                  <c:v>86.793432029511138</c:v>
                </c:pt>
                <c:pt idx="93">
                  <c:v>86.719172023671092</c:v>
                </c:pt>
                <c:pt idx="94">
                  <c:v>86.643212904063773</c:v>
                </c:pt>
                <c:pt idx="95">
                  <c:v>86.565517262932431</c:v>
                </c:pt>
                <c:pt idx="96">
                  <c:v>86.48604697387411</c:v>
                </c:pt>
                <c:pt idx="97">
                  <c:v>86.404763185721762</c:v>
                </c:pt>
                <c:pt idx="98">
                  <c:v>86.321626317007116</c:v>
                </c:pt>
                <c:pt idx="99">
                  <c:v>86.236596051066272</c:v>
                </c:pt>
                <c:pt idx="100">
                  <c:v>86.149631331852987</c:v>
                </c:pt>
                <c:pt idx="101">
                  <c:v>86.060690360529193</c:v>
                </c:pt>
                <c:pt idx="102">
                  <c:v>85.969730592908164</c:v>
                </c:pt>
                <c:pt idx="103">
                  <c:v>85.876708737829915</c:v>
                </c:pt>
                <c:pt idx="104">
                  <c:v>85.781580756553538</c:v>
                </c:pt>
                <c:pt idx="105">
                  <c:v>85.684301863258582</c:v>
                </c:pt>
                <c:pt idx="106">
                  <c:v>85.584826526750874</c:v>
                </c:pt>
                <c:pt idx="107">
                  <c:v>85.483108473477401</c:v>
                </c:pt>
                <c:pt idx="108">
                  <c:v>85.379100691957873</c:v>
                </c:pt>
                <c:pt idx="109">
                  <c:v>85.27275543875254</c:v>
                </c:pt>
                <c:pt idx="110">
                  <c:v>85.164024246087138</c:v>
                </c:pt>
                <c:pt idx="111">
                  <c:v>85.052857931267511</c:v>
                </c:pt>
                <c:pt idx="112">
                  <c:v>84.939206608024392</c:v>
                </c:pt>
                <c:pt idx="113">
                  <c:v>84.8230196999328</c:v>
                </c:pt>
                <c:pt idx="114">
                  <c:v>84.704245956065265</c:v>
                </c:pt>
                <c:pt idx="115">
                  <c:v>84.582833469040992</c:v>
                </c:pt>
                <c:pt idx="116">
                  <c:v>84.458729695646653</c:v>
                </c:pt>
                <c:pt idx="117">
                  <c:v>84.331881480211251</c:v>
                </c:pt>
                <c:pt idx="118">
                  <c:v>84.202235080928006</c:v>
                </c:pt>
                <c:pt idx="119">
                  <c:v>84.069736199327082</c:v>
                </c:pt>
                <c:pt idx="120">
                  <c:v>83.934330013111975</c:v>
                </c:pt>
                <c:pt idx="121">
                  <c:v>83.795961212581659</c:v>
                </c:pt>
                <c:pt idx="122">
                  <c:v>83.654574040876554</c:v>
                </c:pt>
                <c:pt idx="123">
                  <c:v>83.51011233828757</c:v>
                </c:pt>
                <c:pt idx="124">
                  <c:v>83.36251959088851</c:v>
                </c:pt>
                <c:pt idx="125">
                  <c:v>83.211738983755083</c:v>
                </c:pt>
                <c:pt idx="126">
                  <c:v>83.057713459047903</c:v>
                </c:pt>
                <c:pt idx="127">
                  <c:v>82.900385779246704</c:v>
                </c:pt>
                <c:pt idx="128">
                  <c:v>82.739698595832621</c:v>
                </c:pt>
                <c:pt idx="129">
                  <c:v>82.575594523723751</c:v>
                </c:pt>
                <c:pt idx="130">
                  <c:v>82.408016221783555</c:v>
                </c:pt>
                <c:pt idx="131">
                  <c:v>82.236906479721725</c:v>
                </c:pt>
                <c:pt idx="132">
                  <c:v>82.062208311722515</c:v>
                </c:pt>
                <c:pt idx="133">
                  <c:v>81.883865057138664</c:v>
                </c:pt>
                <c:pt idx="134">
                  <c:v>81.70182048859229</c:v>
                </c:pt>
                <c:pt idx="135">
                  <c:v>81.516018927835759</c:v>
                </c:pt>
                <c:pt idx="136">
                  <c:v>81.326405369715843</c:v>
                </c:pt>
                <c:pt idx="137">
                  <c:v>81.132925614597568</c:v>
                </c:pt>
                <c:pt idx="138">
                  <c:v>80.935526409594416</c:v>
                </c:pt>
                <c:pt idx="139">
                  <c:v>80.734155598946913</c:v>
                </c:pt>
                <c:pt idx="140">
                  <c:v>80.528762283891581</c:v>
                </c:pt>
                <c:pt idx="141">
                  <c:v>80.319296992342373</c:v>
                </c:pt>
                <c:pt idx="142">
                  <c:v>80.105711858701696</c:v>
                </c:pt>
                <c:pt idx="143">
                  <c:v>79.88796081409312</c:v>
                </c:pt>
                <c:pt idx="144">
                  <c:v>79.665999787291142</c:v>
                </c:pt>
                <c:pt idx="145">
                  <c:v>79.43978691659359</c:v>
                </c:pt>
                <c:pt idx="146">
                  <c:v>79.20928277285104</c:v>
                </c:pt>
                <c:pt idx="147">
                  <c:v>78.97445059382882</c:v>
                </c:pt>
                <c:pt idx="148">
                  <c:v>78.735256530037901</c:v>
                </c:pt>
                <c:pt idx="149">
                  <c:v>78.491669902113543</c:v>
                </c:pt>
                <c:pt idx="150">
                  <c:v>78.243663469769714</c:v>
                </c:pt>
                <c:pt idx="151">
                  <c:v>77.991213712289891</c:v>
                </c:pt>
                <c:pt idx="152">
                  <c:v>77.734301120442595</c:v>
                </c:pt>
                <c:pt idx="153">
                  <c:v>77.472910499630785</c:v>
                </c:pt>
                <c:pt idx="154">
                  <c:v>77.207031283994681</c:v>
                </c:pt>
                <c:pt idx="155">
                  <c:v>76.936657861088577</c:v>
                </c:pt>
                <c:pt idx="156">
                  <c:v>76.66178990665054</c:v>
                </c:pt>
                <c:pt idx="157">
                  <c:v>76.3824327288619</c:v>
                </c:pt>
                <c:pt idx="158">
                  <c:v>76.098597621375063</c:v>
                </c:pt>
                <c:pt idx="159">
                  <c:v>75.810302224251913</c:v>
                </c:pt>
                <c:pt idx="160">
                  <c:v>75.517570891813349</c:v>
                </c:pt>
                <c:pt idx="161">
                  <c:v>75.22043506625478</c:v>
                </c:pt>
                <c:pt idx="162">
                  <c:v>74.918933655718078</c:v>
                </c:pt>
                <c:pt idx="163">
                  <c:v>74.613113415352998</c:v>
                </c:pt>
                <c:pt idx="164">
                  <c:v>74.303029329731331</c:v>
                </c:pt>
                <c:pt idx="165">
                  <c:v>73.98874499479605</c:v>
                </c:pt>
                <c:pt idx="166">
                  <c:v>73.670332997361697</c:v>
                </c:pt>
                <c:pt idx="167">
                  <c:v>73.347875289993084</c:v>
                </c:pt>
                <c:pt idx="168">
                  <c:v>73.021463558920999</c:v>
                </c:pt>
                <c:pt idx="169">
                  <c:v>72.691199582473331</c:v>
                </c:pt>
                <c:pt idx="170">
                  <c:v>72.357195577333414</c:v>
                </c:pt>
                <c:pt idx="171">
                  <c:v>72.019574529776207</c:v>
                </c:pt>
                <c:pt idx="172">
                  <c:v>71.678470508880665</c:v>
                </c:pt>
                <c:pt idx="173">
                  <c:v>71.334028958585407</c:v>
                </c:pt>
                <c:pt idx="174">
                  <c:v>70.986406965331341</c:v>
                </c:pt>
                <c:pt idx="175">
                  <c:v>70.635773497939311</c:v>
                </c:pt>
                <c:pt idx="176">
                  <c:v>70.282309616296914</c:v>
                </c:pt>
                <c:pt idx="177">
                  <c:v>69.926208645381891</c:v>
                </c:pt>
                <c:pt idx="178">
                  <c:v>69.567676311133781</c:v>
                </c:pt>
                <c:pt idx="179">
                  <c:v>69.206930834706498</c:v>
                </c:pt>
                <c:pt idx="180">
                  <c:v>68.844202981682869</c:v>
                </c:pt>
                <c:pt idx="181">
                  <c:v>68.479736062938201</c:v>
                </c:pt>
                <c:pt idx="182">
                  <c:v>68.113785883964397</c:v>
                </c:pt>
                <c:pt idx="183">
                  <c:v>67.746620639655802</c:v>
                </c:pt>
                <c:pt idx="184">
                  <c:v>67.378520751774985</c:v>
                </c:pt>
                <c:pt idx="185">
                  <c:v>67.009778646591414</c:v>
                </c:pt>
                <c:pt idx="186">
                  <c:v>66.640698470494996</c:v>
                </c:pt>
                <c:pt idx="187">
                  <c:v>66.271595741746026</c:v>
                </c:pt>
                <c:pt idx="188">
                  <c:v>65.902796936917369</c:v>
                </c:pt>
                <c:pt idx="189">
                  <c:v>65.534639011026798</c:v>
                </c:pt>
                <c:pt idx="190">
                  <c:v>65.167468850817926</c:v>
                </c:pt>
                <c:pt idx="191">
                  <c:v>64.80164266116121</c:v>
                </c:pt>
                <c:pt idx="192">
                  <c:v>64.437525285055131</c:v>
                </c:pt>
                <c:pt idx="193">
                  <c:v>64.075489458266915</c:v>
                </c:pt>
                <c:pt idx="194">
                  <c:v>63.715915000186492</c:v>
                </c:pt>
                <c:pt idx="195">
                  <c:v>63.359187943044574</c:v>
                </c:pt>
                <c:pt idx="196">
                  <c:v>63.005699602178808</c:v>
                </c:pt>
                <c:pt idx="197">
                  <c:v>62.65584559058788</c:v>
                </c:pt>
                <c:pt idx="198">
                  <c:v>62.310024781524255</c:v>
                </c:pt>
                <c:pt idx="199">
                  <c:v>61.968638223373993</c:v>
                </c:pt>
                <c:pt idx="200">
                  <c:v>61.632088011528666</c:v>
                </c:pt>
                <c:pt idx="201">
                  <c:v>61.30077612236574</c:v>
                </c:pt>
                <c:pt idx="202">
                  <c:v>60.97510321482801</c:v>
                </c:pt>
                <c:pt idx="203">
                  <c:v>60.655467405400415</c:v>
                </c:pt>
                <c:pt idx="204">
                  <c:v>60.342263022536372</c:v>
                </c:pt>
                <c:pt idx="205">
                  <c:v>60.035879346792797</c:v>
                </c:pt>
                <c:pt idx="206">
                  <c:v>59.736699343046496</c:v>
                </c:pt>
                <c:pt idx="207">
                  <c:v>59.445098391255222</c:v>
                </c:pt>
                <c:pt idx="208">
                  <c:v>59.161443022214179</c:v>
                </c:pt>
                <c:pt idx="209">
                  <c:v>58.886089664722931</c:v>
                </c:pt>
                <c:pt idx="210">
                  <c:v>58.619383410452699</c:v>
                </c:pt>
                <c:pt idx="211">
                  <c:v>58.361656802651517</c:v>
                </c:pt>
                <c:pt idx="212">
                  <c:v>58.113228654609067</c:v>
                </c:pt>
                <c:pt idx="213">
                  <c:v>57.874402903546745</c:v>
                </c:pt>
                <c:pt idx="214">
                  <c:v>57.645467505315906</c:v>
                </c:pt>
                <c:pt idx="215">
                  <c:v>57.426693374963456</c:v>
                </c:pt>
                <c:pt idx="216">
                  <c:v>57.218333377883695</c:v>
                </c:pt>
                <c:pt idx="217">
                  <c:v>57.0206213759203</c:v>
                </c:pt>
                <c:pt idx="218">
                  <c:v>56.833771332414237</c:v>
                </c:pt>
                <c:pt idx="219">
                  <c:v>56.657976479823994</c:v>
                </c:pt>
                <c:pt idx="220">
                  <c:v>56.493408553177467</c:v>
                </c:pt>
                <c:pt idx="221">
                  <c:v>56.340217092247286</c:v>
                </c:pt>
                <c:pt idx="222">
                  <c:v>56.198528815000707</c:v>
                </c:pt>
                <c:pt idx="223">
                  <c:v>56.068447064517507</c:v>
                </c:pt>
                <c:pt idx="224">
                  <c:v>55.950051331263836</c:v>
                </c:pt>
                <c:pt idx="225">
                  <c:v>55.84339685227809</c:v>
                </c:pt>
                <c:pt idx="226">
                  <c:v>55.748514288546346</c:v>
                </c:pt>
                <c:pt idx="227">
                  <c:v>55.665409481547321</c:v>
                </c:pt>
                <c:pt idx="228">
                  <c:v>55.59406328968717</c:v>
                </c:pt>
                <c:pt idx="229">
                  <c:v>55.534431505069342</c:v>
                </c:pt>
                <c:pt idx="230">
                  <c:v>55.486444850797369</c:v>
                </c:pt>
                <c:pt idx="231">
                  <c:v>55.450009058754482</c:v>
                </c:pt>
                <c:pt idx="232">
                  <c:v>55.425005027538504</c:v>
                </c:pt>
                <c:pt idx="233">
                  <c:v>55.411289059989087</c:v>
                </c:pt>
                <c:pt idx="234">
                  <c:v>55.408693179460201</c:v>
                </c:pt>
                <c:pt idx="235">
                  <c:v>55.417025523727716</c:v>
                </c:pt>
                <c:pt idx="236">
                  <c:v>55.436070815127948</c:v>
                </c:pt>
                <c:pt idx="237">
                  <c:v>55.465590905220097</c:v>
                </c:pt>
                <c:pt idx="238">
                  <c:v>55.505325391949611</c:v>
                </c:pt>
                <c:pt idx="239">
                  <c:v>55.554992306958816</c:v>
                </c:pt>
                <c:pt idx="240">
                  <c:v>55.61428887034176</c:v>
                </c:pt>
                <c:pt idx="241">
                  <c:v>55.682892309790397</c:v>
                </c:pt>
                <c:pt idx="242">
                  <c:v>55.760460740705959</c:v>
                </c:pt>
                <c:pt idx="243">
                  <c:v>55.846634103490615</c:v>
                </c:pt>
                <c:pt idx="244">
                  <c:v>55.941035153852738</c:v>
                </c:pt>
                <c:pt idx="245">
                  <c:v>56.043270501613186</c:v>
                </c:pt>
                <c:pt idx="246">
                  <c:v>56.15293169313091</c:v>
                </c:pt>
                <c:pt idx="247">
                  <c:v>56.269596332152467</c:v>
                </c:pt>
                <c:pt idx="248">
                  <c:v>56.392829233568904</c:v>
                </c:pt>
                <c:pt idx="249">
                  <c:v>56.522183604299656</c:v>
                </c:pt>
                <c:pt idx="250">
                  <c:v>56.657202245282392</c:v>
                </c:pt>
                <c:pt idx="251">
                  <c:v>56.797418768358675</c:v>
                </c:pt>
                <c:pt idx="252">
                  <c:v>56.942358821702733</c:v>
                </c:pt>
                <c:pt idx="253">
                  <c:v>57.091541317360758</c:v>
                </c:pt>
                <c:pt idx="254">
                  <c:v>57.2444796544331</c:v>
                </c:pt>
                <c:pt idx="255">
                  <c:v>57.400682931473561</c:v>
                </c:pt>
                <c:pt idx="256">
                  <c:v>57.559657141775403</c:v>
                </c:pt>
                <c:pt idx="257">
                  <c:v>57.720906345371894</c:v>
                </c:pt>
                <c:pt idx="258">
                  <c:v>57.883933811803907</c:v>
                </c:pt>
                <c:pt idx="259">
                  <c:v>58.04824312799132</c:v>
                </c:pt>
                <c:pt idx="260">
                  <c:v>58.21333926587846</c:v>
                </c:pt>
                <c:pt idx="261">
                  <c:v>58.378729604921254</c:v>
                </c:pt>
                <c:pt idx="262">
                  <c:v>58.543924904910327</c:v>
                </c:pt>
                <c:pt idx="263">
                  <c:v>58.708440225109513</c:v>
                </c:pt>
                <c:pt idx="264">
                  <c:v>58.871795786192251</c:v>
                </c:pt>
                <c:pt idx="265">
                  <c:v>59.033517771989686</c:v>
                </c:pt>
                <c:pt idx="266">
                  <c:v>59.193139068618521</c:v>
                </c:pt>
                <c:pt idx="267">
                  <c:v>59.350199939115491</c:v>
                </c:pt>
                <c:pt idx="268">
                  <c:v>59.504248632254821</c:v>
                </c:pt>
                <c:pt idx="269">
                  <c:v>59.654841924794972</c:v>
                </c:pt>
                <c:pt idx="270">
                  <c:v>59.801545596928868</c:v>
                </c:pt>
                <c:pt idx="271">
                  <c:v>59.943934841228199</c:v>
                </c:pt>
                <c:pt idx="272">
                  <c:v>60.081594605879431</c:v>
                </c:pt>
                <c:pt idx="273">
                  <c:v>60.214119873455374</c:v>
                </c:pt>
                <c:pt idx="274">
                  <c:v>60.341115876898371</c:v>
                </c:pt>
                <c:pt idx="275">
                  <c:v>60.462198254779231</c:v>
                </c:pt>
                <c:pt idx="276">
                  <c:v>60.576993148237158</c:v>
                </c:pt>
                <c:pt idx="277">
                  <c:v>60.685137242308066</c:v>
                </c:pt>
                <c:pt idx="278">
                  <c:v>60.786277754605706</c:v>
                </c:pt>
                <c:pt idx="279">
                  <c:v>60.880072374531977</c:v>
                </c:pt>
                <c:pt idx="280">
                  <c:v>60.966189156365715</c:v>
                </c:pt>
                <c:pt idx="281">
                  <c:v>61.044306369699314</c:v>
                </c:pt>
                <c:pt idx="282">
                  <c:v>61.11411231078467</c:v>
                </c:pt>
                <c:pt idx="283">
                  <c:v>61.175305078396612</c:v>
                </c:pt>
                <c:pt idx="284">
                  <c:v>61.22759231783548</c:v>
                </c:pt>
                <c:pt idx="285">
                  <c:v>61.270690936670121</c:v>
                </c:pt>
                <c:pt idx="286">
                  <c:v>61.304326795779382</c:v>
                </c:pt>
                <c:pt idx="287">
                  <c:v>61.328234379170553</c:v>
                </c:pt>
                <c:pt idx="288">
                  <c:v>61.342156445968385</c:v>
                </c:pt>
                <c:pt idx="289">
                  <c:v>61.345843667838494</c:v>
                </c:pt>
                <c:pt idx="290">
                  <c:v>61.339054254998288</c:v>
                </c:pt>
                <c:pt idx="291">
                  <c:v>61.321553573816502</c:v>
                </c:pt>
                <c:pt idx="292">
                  <c:v>61.293113758848797</c:v>
                </c:pt>
                <c:pt idx="293">
                  <c:v>61.253513322014435</c:v>
                </c:pt>
                <c:pt idx="294">
                  <c:v>61.202536761445238</c:v>
                </c:pt>
                <c:pt idx="295">
                  <c:v>61.139974172382743</c:v>
                </c:pt>
                <c:pt idx="296">
                  <c:v>61.065620862340666</c:v>
                </c:pt>
                <c:pt idx="297">
                  <c:v>60.979276972585374</c:v>
                </c:pt>
                <c:pt idx="298">
                  <c:v>60.880747107842645</c:v>
                </c:pt>
                <c:pt idx="299">
                  <c:v>60.7698399759811</c:v>
                </c:pt>
                <c:pt idx="300">
                  <c:v>60.646368039291829</c:v>
                </c:pt>
                <c:pt idx="301">
                  <c:v>60.510147178840768</c:v>
                </c:pt>
                <c:pt idx="302">
                  <c:v>60.360996373250465</c:v>
                </c:pt>
                <c:pt idx="303">
                  <c:v>60.198737393153863</c:v>
                </c:pt>
                <c:pt idx="304">
                  <c:v>60.023194512446139</c:v>
                </c:pt>
                <c:pt idx="305">
                  <c:v>59.834194237374042</c:v>
                </c:pt>
                <c:pt idx="306">
                  <c:v>59.631565054403971</c:v>
                </c:pt>
                <c:pt idx="307">
                  <c:v>59.415137197736229</c:v>
                </c:pt>
                <c:pt idx="308">
                  <c:v>59.184742437257469</c:v>
                </c:pt>
                <c:pt idx="309">
                  <c:v>58.940213887665202</c:v>
                </c:pt>
                <c:pt idx="310">
                  <c:v>58.681385839438292</c:v>
                </c:pt>
                <c:pt idx="311">
                  <c:v>58.408093612285946</c:v>
                </c:pt>
                <c:pt idx="312">
                  <c:v>58.120173431661009</c:v>
                </c:pt>
                <c:pt idx="313">
                  <c:v>57.817462328896241</c:v>
                </c:pt>
                <c:pt idx="314">
                  <c:v>57.499798065483922</c:v>
                </c:pt>
                <c:pt idx="315">
                  <c:v>57.167019082007322</c:v>
                </c:pt>
                <c:pt idx="316">
                  <c:v>56.81896447219853</c:v>
                </c:pt>
                <c:pt idx="317">
                  <c:v>56.455473982591521</c:v>
                </c:pt>
                <c:pt idx="318">
                  <c:v>56.076388038215875</c:v>
                </c:pt>
                <c:pt idx="319">
                  <c:v>55.681547794768235</c:v>
                </c:pt>
                <c:pt idx="320">
                  <c:v>55.270795217680401</c:v>
                </c:pt>
                <c:pt idx="321">
                  <c:v>54.843973188492754</c:v>
                </c:pt>
                <c:pt idx="322">
                  <c:v>54.400925638921336</c:v>
                </c:pt>
                <c:pt idx="323">
                  <c:v>53.941497712994597</c:v>
                </c:pt>
                <c:pt idx="324">
                  <c:v>53.465535957603528</c:v>
                </c:pt>
                <c:pt idx="325">
                  <c:v>52.972888541795029</c:v>
                </c:pt>
                <c:pt idx="326">
                  <c:v>52.463405505094507</c:v>
                </c:pt>
                <c:pt idx="327">
                  <c:v>51.936939035109418</c:v>
                </c:pt>
                <c:pt idx="328">
                  <c:v>51.393343774619261</c:v>
                </c:pt>
                <c:pt idx="329">
                  <c:v>50.832477158294672</c:v>
                </c:pt>
                <c:pt idx="330">
                  <c:v>50.254199779136059</c:v>
                </c:pt>
                <c:pt idx="331">
                  <c:v>49.65837578462299</c:v>
                </c:pt>
                <c:pt idx="332">
                  <c:v>49.044873302503937</c:v>
                </c:pt>
                <c:pt idx="333">
                  <c:v>48.413564896025122</c:v>
                </c:pt>
                <c:pt idx="334">
                  <c:v>47.764328048307704</c:v>
                </c:pt>
                <c:pt idx="335">
                  <c:v>47.097045675430785</c:v>
                </c:pt>
                <c:pt idx="336">
                  <c:v>46.411606667646836</c:v>
                </c:pt>
                <c:pt idx="337">
                  <c:v>45.707906457983519</c:v>
                </c:pt>
                <c:pt idx="338">
                  <c:v>44.985847617313944</c:v>
                </c:pt>
                <c:pt idx="339">
                  <c:v>44.245340474782033</c:v>
                </c:pt>
                <c:pt idx="340">
                  <c:v>43.486303762252497</c:v>
                </c:pt>
                <c:pt idx="341">
                  <c:v>42.708665281230253</c:v>
                </c:pt>
                <c:pt idx="342">
                  <c:v>41.912362590452766</c:v>
                </c:pt>
                <c:pt idx="343">
                  <c:v>41.097343712089426</c:v>
                </c:pt>
                <c:pt idx="344">
                  <c:v>40.263567854214095</c:v>
                </c:pt>
                <c:pt idx="345">
                  <c:v>39.411006146927065</c:v>
                </c:pt>
                <c:pt idx="346">
                  <c:v>38.539642389204325</c:v>
                </c:pt>
                <c:pt idx="347">
                  <c:v>37.649473803241506</c:v>
                </c:pt>
                <c:pt idx="348">
                  <c:v>36.740511792746773</c:v>
                </c:pt>
                <c:pt idx="349">
                  <c:v>35.812782701318376</c:v>
                </c:pt>
                <c:pt idx="350">
                  <c:v>34.86632856672729</c:v>
                </c:pt>
                <c:pt idx="351">
                  <c:v>33.901207866606946</c:v>
                </c:pt>
                <c:pt idx="352">
                  <c:v>32.917496250754731</c:v>
                </c:pt>
                <c:pt idx="353">
                  <c:v>31.915287254952247</c:v>
                </c:pt>
                <c:pt idx="354">
                  <c:v>30.894692990946588</c:v>
                </c:pt>
                <c:pt idx="355">
                  <c:v>29.85584480698558</c:v>
                </c:pt>
                <c:pt idx="356">
                  <c:v>28.798893913084733</c:v>
                </c:pt>
                <c:pt idx="357">
                  <c:v>27.724011965029153</c:v>
                </c:pt>
                <c:pt idx="358">
                  <c:v>26.631391600976542</c:v>
                </c:pt>
                <c:pt idx="359">
                  <c:v>25.521246924448121</c:v>
                </c:pt>
                <c:pt idx="360">
                  <c:v>24.393813927462411</c:v>
                </c:pt>
                <c:pt idx="361">
                  <c:v>23.249350847606607</c:v>
                </c:pt>
                <c:pt idx="362">
                  <c:v>22.088138452945039</c:v>
                </c:pt>
                <c:pt idx="363">
                  <c:v>20.910480248835157</c:v>
                </c:pt>
                <c:pt idx="364">
                  <c:v>19.716702600979705</c:v>
                </c:pt>
                <c:pt idx="365">
                  <c:v>18.507154769386293</c:v>
                </c:pt>
                <c:pt idx="366">
                  <c:v>17.282208848302286</c:v>
                </c:pt>
                <c:pt idx="367">
                  <c:v>16.042259607722698</c:v>
                </c:pt>
                <c:pt idx="368">
                  <c:v>14.787724232630413</c:v>
                </c:pt>
                <c:pt idx="369">
                  <c:v>13.519041956804129</c:v>
                </c:pt>
                <c:pt idx="370">
                  <c:v>12.236673588777835</c:v>
                </c:pt>
                <c:pt idx="371">
                  <c:v>10.941100928343216</c:v>
                </c:pt>
                <c:pt idx="372">
                  <c:v>9.6328260728644999</c:v>
                </c:pt>
                <c:pt idx="373">
                  <c:v>8.3123706136367801</c:v>
                </c:pt>
                <c:pt idx="374">
                  <c:v>6.9802747234633236</c:v>
                </c:pt>
                <c:pt idx="375">
                  <c:v>5.6370961376833462</c:v>
                </c:pt>
                <c:pt idx="376">
                  <c:v>4.2834090318949212</c:v>
                </c:pt>
                <c:pt idx="377">
                  <c:v>2.9198028006706584</c:v>
                </c:pt>
                <c:pt idx="378">
                  <c:v>1.5468807425984576</c:v>
                </c:pt>
                <c:pt idx="379">
                  <c:v>0.16525865798995307</c:v>
                </c:pt>
                <c:pt idx="380">
                  <c:v>-1.2244366334299337</c:v>
                </c:pt>
                <c:pt idx="381">
                  <c:v>-2.6215688466332647</c:v>
                </c:pt>
                <c:pt idx="382">
                  <c:v>-4.0254938481330482</c:v>
                </c:pt>
                <c:pt idx="383">
                  <c:v>-5.4355613257412854</c:v>
                </c:pt>
                <c:pt idx="384">
                  <c:v>-6.8511165007790469</c:v>
                </c:pt>
                <c:pt idx="385">
                  <c:v>-8.271501871720206</c:v>
                </c:pt>
                <c:pt idx="386">
                  <c:v>-9.6960589778450768</c:v>
                </c:pt>
                <c:pt idx="387">
                  <c:v>-11.124130171186074</c:v>
                </c:pt>
                <c:pt idx="388">
                  <c:v>-12.555060384887653</c:v>
                </c:pt>
                <c:pt idx="389">
                  <c:v>-13.988198886093549</c:v>
                </c:pt>
                <c:pt idx="390">
                  <c:v>-15.422901001589873</c:v>
                </c:pt>
                <c:pt idx="391">
                  <c:v>-16.858529804694697</c:v>
                </c:pt>
                <c:pt idx="392">
                  <c:v>-18.294457752261039</c:v>
                </c:pt>
                <c:pt idx="393">
                  <c:v>-19.730068261180886</c:v>
                </c:pt>
                <c:pt idx="394">
                  <c:v>-21.164757214401074</c:v>
                </c:pt>
                <c:pt idx="395">
                  <c:v>-22.597934387181461</c:v>
                </c:pt>
                <c:pt idx="396">
                  <c:v>-24.029024785147264</c:v>
                </c:pt>
                <c:pt idx="397">
                  <c:v>-25.457469886585748</c:v>
                </c:pt>
                <c:pt idx="398">
                  <c:v>-26.882728782380827</c:v>
                </c:pt>
                <c:pt idx="399">
                  <c:v>-28.30427920798083</c:v>
                </c:pt>
                <c:pt idx="400">
                  <c:v>-29.721618462826559</c:v>
                </c:pt>
                <c:pt idx="401">
                  <c:v>-31.134264213696813</c:v>
                </c:pt>
                <c:pt idx="402">
                  <c:v>-32.5417551794772</c:v>
                </c:pt>
                <c:pt idx="403">
                  <c:v>-33.943651695881606</c:v>
                </c:pt>
                <c:pt idx="404">
                  <c:v>-35.339536159635195</c:v>
                </c:pt>
                <c:pt idx="405">
                  <c:v>-36.729013352605556</c:v>
                </c:pt>
                <c:pt idx="406">
                  <c:v>-38.111710647249296</c:v>
                </c:pt>
                <c:pt idx="407">
                  <c:v>-39.487278095595954</c:v>
                </c:pt>
                <c:pt idx="408">
                  <c:v>-40.855388404773024</c:v>
                </c:pt>
                <c:pt idx="409">
                  <c:v>-42.215736802767935</c:v>
                </c:pt>
                <c:pt idx="410">
                  <c:v>-43.568040798761558</c:v>
                </c:pt>
                <c:pt idx="411">
                  <c:v>-44.91203984292995</c:v>
                </c:pt>
                <c:pt idx="412">
                  <c:v>-46.247494891070772</c:v>
                </c:pt>
                <c:pt idx="413">
                  <c:v>-47.574187879825686</c:v>
                </c:pt>
                <c:pt idx="414">
                  <c:v>-48.8919211185964</c:v>
                </c:pt>
                <c:pt idx="415">
                  <c:v>-50.200516604504777</c:v>
                </c:pt>
                <c:pt idx="416">
                  <c:v>-51.499815266944097</c:v>
                </c:pt>
                <c:pt idx="417">
                  <c:v>-52.789676148404759</c:v>
                </c:pt>
                <c:pt idx="418">
                  <c:v>-54.069975528324605</c:v>
                </c:pt>
                <c:pt idx="419">
                  <c:v>-55.340605996757525</c:v>
                </c:pt>
                <c:pt idx="420">
                  <c:v>-56.601475484628402</c:v>
                </c:pt>
                <c:pt idx="421">
                  <c:v>-57.852506257303375</c:v>
                </c:pt>
                <c:pt idx="422">
                  <c:v>-59.093633878114602</c:v>
                </c:pt>
                <c:pt idx="423">
                  <c:v>-60.324806148388866</c:v>
                </c:pt>
                <c:pt idx="424">
                  <c:v>-61.545982030390789</c:v>
                </c:pt>
                <c:pt idx="425">
                  <c:v>-62.757130559471236</c:v>
                </c:pt>
                <c:pt idx="426">
                  <c:v>-63.958229751554711</c:v>
                </c:pt>
                <c:pt idx="427">
                  <c:v>-65.149265511951384</c:v>
                </c:pt>
                <c:pt idx="428">
                  <c:v>-66.330230551324306</c:v>
                </c:pt>
                <c:pt idx="429">
                  <c:v>-67.501123314500262</c:v>
                </c:pt>
                <c:pt idx="430">
                  <c:v>-68.661946927628748</c:v>
                </c:pt>
                <c:pt idx="431">
                  <c:v>-69.81270816908237</c:v>
                </c:pt>
                <c:pt idx="432">
                  <c:v>-70.953416469307555</c:v>
                </c:pt>
                <c:pt idx="433">
                  <c:v>-72.084082944716869</c:v>
                </c:pt>
                <c:pt idx="434">
                  <c:v>-73.204719470535821</c:v>
                </c:pt>
                <c:pt idx="435">
                  <c:v>-74.31533779740613</c:v>
                </c:pt>
                <c:pt idx="436">
                  <c:v>-75.415948716360433</c:v>
                </c:pt>
                <c:pt idx="437">
                  <c:v>-76.506561276651425</c:v>
                </c:pt>
                <c:pt idx="438">
                  <c:v>-77.587182060735017</c:v>
                </c:pt>
                <c:pt idx="439">
                  <c:v>-78.657814520535183</c:v>
                </c:pt>
                <c:pt idx="440">
                  <c:v>-79.718458378913269</c:v>
                </c:pt>
                <c:pt idx="441">
                  <c:v>-80.769109100057818</c:v>
                </c:pt>
                <c:pt idx="442">
                  <c:v>-81.809757432249611</c:v>
                </c:pt>
                <c:pt idx="443">
                  <c:v>-82.840389026207873</c:v>
                </c:pt>
                <c:pt idx="444">
                  <c:v>-83.860984131907571</c:v>
                </c:pt>
                <c:pt idx="445">
                  <c:v>-84.871517376428471</c:v>
                </c:pt>
                <c:pt idx="446">
                  <c:v>-85.871957625021338</c:v>
                </c:pt>
                <c:pt idx="447">
                  <c:v>-86.862267927177456</c:v>
                </c:pt>
                <c:pt idx="448">
                  <c:v>-87.842405549024392</c:v>
                </c:pt>
                <c:pt idx="449">
                  <c:v>-88.812322092898668</c:v>
                </c:pt>
                <c:pt idx="450">
                  <c:v>-89.771963704413338</c:v>
                </c:pt>
                <c:pt idx="451">
                  <c:v>-90.721271366779447</c:v>
                </c:pt>
                <c:pt idx="452">
                  <c:v>-91.660181281544951</c:v>
                </c:pt>
                <c:pt idx="453">
                  <c:v>-92.588625334294818</c:v>
                </c:pt>
                <c:pt idx="454">
                  <c:v>-93.506531643198045</c:v>
                </c:pt>
                <c:pt idx="455">
                  <c:v>-94.413825187631289</c:v>
                </c:pt>
                <c:pt idx="456">
                  <c:v>-95.310428513413768</c:v>
                </c:pt>
                <c:pt idx="457">
                  <c:v>-96.196262510515993</c:v>
                </c:pt>
                <c:pt idx="458">
                  <c:v>-97.071247258413081</c:v>
                </c:pt>
                <c:pt idx="459">
                  <c:v>-97.935302933578996</c:v>
                </c:pt>
                <c:pt idx="460">
                  <c:v>-98.788350772980152</c:v>
                </c:pt>
                <c:pt idx="461">
                  <c:v>-99.63031408678583</c:v>
                </c:pt>
                <c:pt idx="462">
                  <c:v>-100.46111931294496</c:v>
                </c:pt>
                <c:pt idx="463">
                  <c:v>-101.28069710573446</c:v>
                </c:pt>
                <c:pt idx="464">
                  <c:v>-102.08898344990153</c:v>
                </c:pt>
                <c:pt idx="465">
                  <c:v>-102.88592079160806</c:v>
                </c:pt>
                <c:pt idx="466">
                  <c:v>-103.6714591770415</c:v>
                </c:pt>
                <c:pt idx="467">
                  <c:v>-104.44555738927231</c:v>
                </c:pt>
                <c:pt idx="468">
                  <c:v>-105.20818407376802</c:v>
                </c:pt>
                <c:pt idx="469">
                  <c:v>-105.95931884285282</c:v>
                </c:pt>
                <c:pt idx="470">
                  <c:v>-106.69895334940063</c:v>
                </c:pt>
                <c:pt idx="471">
                  <c:v>-107.42709232011852</c:v>
                </c:pt>
                <c:pt idx="472">
                  <c:v>-108.14375453894471</c:v>
                </c:pt>
                <c:pt idx="473">
                  <c:v>-108.84897377134553</c:v>
                </c:pt>
                <c:pt idx="474">
                  <c:v>-109.54279962064274</c:v>
                </c:pt>
                <c:pt idx="475">
                  <c:v>-110.22529830791999</c:v>
                </c:pt>
                <c:pt idx="476">
                  <c:v>-110.89655336758796</c:v>
                </c:pt>
                <c:pt idx="477">
                  <c:v>-111.55666625126004</c:v>
                </c:pt>
                <c:pt idx="478">
                  <c:v>-112.20575683325882</c:v>
                </c:pt>
                <c:pt idx="479">
                  <c:v>-112.84396381178784</c:v>
                </c:pt>
                <c:pt idx="480">
                  <c:v>-113.47144500059242</c:v>
                </c:pt>
                <c:pt idx="481">
                  <c:v>-114.08837750675235</c:v>
                </c:pt>
                <c:pt idx="482">
                  <c:v>-114.69495779113582</c:v>
                </c:pt>
                <c:pt idx="483">
                  <c:v>-115.29140160892943</c:v>
                </c:pt>
                <c:pt idx="484">
                  <c:v>-115.87794382860979</c:v>
                </c:pt>
                <c:pt idx="485">
                  <c:v>-116.45483812865646</c:v>
                </c:pt>
                <c:pt idx="486">
                  <c:v>-117.02235657226636</c:v>
                </c:pt>
                <c:pt idx="487">
                  <c:v>-117.58078906128991</c:v>
                </c:pt>
                <c:pt idx="488">
                  <c:v>-118.13044267154068</c:v>
                </c:pt>
                <c:pt idx="489">
                  <c:v>-118.67164087258189</c:v>
                </c:pt>
                <c:pt idx="490">
                  <c:v>-119.20472263597378</c:v>
                </c:pt>
                <c:pt idx="491">
                  <c:v>-119.73004143684753</c:v>
                </c:pt>
                <c:pt idx="492">
                  <c:v>-120.24796415449521</c:v>
                </c:pt>
                <c:pt idx="493">
                  <c:v>-120.75886987844331</c:v>
                </c:pt>
                <c:pt idx="494">
                  <c:v>-121.26314862719701</c:v>
                </c:pt>
                <c:pt idx="495">
                  <c:v>-121.76119998750141</c:v>
                </c:pt>
                <c:pt idx="496">
                  <c:v>-122.25343168256002</c:v>
                </c:pt>
                <c:pt idx="497">
                  <c:v>-122.74025807815865</c:v>
                </c:pt>
                <c:pt idx="498">
                  <c:v>-123.22209863609702</c:v>
                </c:pt>
                <c:pt idx="499">
                  <c:v>-123.6993763246637</c:v>
                </c:pt>
                <c:pt idx="500">
                  <c:v>-124.17251599619627</c:v>
                </c:pt>
                <c:pt idx="501">
                  <c:v>-124.64194274192825</c:v>
                </c:pt>
                <c:pt idx="502">
                  <c:v>-125.10808023445058</c:v>
                </c:pt>
                <c:pt idx="503">
                  <c:v>-125.57134906812313</c:v>
                </c:pt>
                <c:pt idx="504">
                  <c:v>-126.0321651077182</c:v>
                </c:pt>
                <c:pt idx="505">
                  <c:v>-126.49093785543035</c:v>
                </c:pt>
                <c:pt idx="506">
                  <c:v>-126.94806884617297</c:v>
                </c:pt>
                <c:pt idx="507">
                  <c:v>-127.40395008078727</c:v>
                </c:pt>
                <c:pt idx="508">
                  <c:v>-127.8589625064387</c:v>
                </c:pt>
                <c:pt idx="509">
                  <c:v>-128.31347455305044</c:v>
                </c:pt>
                <c:pt idx="510">
                  <c:v>-128.76784073415473</c:v>
                </c:pt>
                <c:pt idx="511">
                  <c:v>-129.22240032001463</c:v>
                </c:pt>
                <c:pt idx="512">
                  <c:v>-129.6774760903065</c:v>
                </c:pt>
                <c:pt idx="513">
                  <c:v>-130.13337317304624</c:v>
                </c:pt>
                <c:pt idx="514">
                  <c:v>-130.59037797580399</c:v>
                </c:pt>
                <c:pt idx="515">
                  <c:v>-131.04875721459982</c:v>
                </c:pt>
                <c:pt idx="516">
                  <c:v>-131.50875704518091</c:v>
                </c:pt>
                <c:pt idx="517">
                  <c:v>-131.97060230069283</c:v>
                </c:pt>
                <c:pt idx="518">
                  <c:v>-132.43449583904581</c:v>
                </c:pt>
                <c:pt idx="519">
                  <c:v>-132.90061800255953</c:v>
                </c:pt>
                <c:pt idx="520">
                  <c:v>-133.36912619176451</c:v>
                </c:pt>
                <c:pt idx="521">
                  <c:v>-133.84015455450449</c:v>
                </c:pt>
                <c:pt idx="522">
                  <c:v>-134.31381379078459</c:v>
                </c:pt>
                <c:pt idx="523">
                  <c:v>-134.7901910730908</c:v>
                </c:pt>
                <c:pt idx="524">
                  <c:v>-135.26935008121788</c:v>
                </c:pt>
                <c:pt idx="525">
                  <c:v>-135.7513311499396</c:v>
                </c:pt>
                <c:pt idx="526">
                  <c:v>-136.23615152720103</c:v>
                </c:pt>
                <c:pt idx="527">
                  <c:v>-136.72380573983204</c:v>
                </c:pt>
                <c:pt idx="528">
                  <c:v>-137.2142660631666</c:v>
                </c:pt>
                <c:pt idx="529">
                  <c:v>-137.70748309032325</c:v>
                </c:pt>
                <c:pt idx="530">
                  <c:v>-138.20338639632342</c:v>
                </c:pt>
                <c:pt idx="531">
                  <c:v>-138.70188529167163</c:v>
                </c:pt>
                <c:pt idx="532">
                  <c:v>-139.20286965949529</c:v>
                </c:pt>
                <c:pt idx="533">
                  <c:v>-139.70621086987688</c:v>
                </c:pt>
                <c:pt idx="534">
                  <c:v>-140.21176276456987</c:v>
                </c:pt>
                <c:pt idx="535">
                  <c:v>-140.71936270490252</c:v>
                </c:pt>
                <c:pt idx="536">
                  <c:v>-141.22883267536739</c:v>
                </c:pt>
                <c:pt idx="537">
                  <c:v>-141.73998043509766</c:v>
                </c:pt>
                <c:pt idx="538">
                  <c:v>-142.25260070924966</c:v>
                </c:pt>
                <c:pt idx="539">
                  <c:v>-142.76647641215663</c:v>
                </c:pt>
                <c:pt idx="540">
                  <c:v>-143.2813798940534</c:v>
                </c:pt>
                <c:pt idx="541">
                  <c:v>-143.7970742031718</c:v>
                </c:pt>
              </c:numCache>
            </c:numRef>
          </c:yVal>
          <c:smooth val="1"/>
          <c:extLst>
            <c:ext xmlns:c16="http://schemas.microsoft.com/office/drawing/2014/chart" uri="{C3380CC4-5D6E-409C-BE32-E72D297353CC}">
              <c16:uniqueId val="{00000001-BF6B-439E-8FA0-9CCCDD9102C5}"/>
            </c:ext>
          </c:extLst>
        </c:ser>
        <c:dLbls>
          <c:showLegendKey val="0"/>
          <c:showVal val="0"/>
          <c:showCatName val="0"/>
          <c:showSerName val="0"/>
          <c:showPercent val="0"/>
          <c:showBubbleSize val="0"/>
        </c:dLbls>
        <c:axId val="175891584"/>
        <c:axId val="175889792"/>
      </c:scatterChart>
      <c:valAx>
        <c:axId val="17588569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5887872"/>
        <c:crosses val="autoZero"/>
        <c:crossBetween val="midCat"/>
      </c:valAx>
      <c:valAx>
        <c:axId val="175887872"/>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75885696"/>
        <c:crosses val="autoZero"/>
        <c:crossBetween val="midCat"/>
        <c:majorUnit val="20"/>
        <c:minorUnit val="10"/>
      </c:valAx>
      <c:valAx>
        <c:axId val="175889792"/>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75891584"/>
        <c:crosses val="max"/>
        <c:crossBetween val="midCat"/>
        <c:majorUnit val="90"/>
        <c:minorUnit val="45"/>
      </c:valAx>
      <c:valAx>
        <c:axId val="175891584"/>
        <c:scaling>
          <c:logBase val="10"/>
          <c:orientation val="minMax"/>
        </c:scaling>
        <c:delete val="1"/>
        <c:axPos val="b"/>
        <c:numFmt formatCode="0.00" sourceLinked="1"/>
        <c:majorTickMark val="out"/>
        <c:minorTickMark val="none"/>
        <c:tickLblPos val="nextTo"/>
        <c:crossAx val="175889792"/>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DCM Plant Transfer</a:t>
            </a:r>
            <a:r>
              <a:rPr lang="en-US" baseline="0"/>
              <a:t> Function</a:t>
            </a:r>
            <a:endParaRPr lang="en-US"/>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Loop_Modeling!$AQ$19:$AQ$560</c:f>
              <c:numCache>
                <c:formatCode>General</c:formatCode>
                <c:ptCount val="542"/>
                <c:pt idx="0">
                  <c:v>33.246003284308465</c:v>
                </c:pt>
                <c:pt idx="1">
                  <c:v>33.245999068603609</c:v>
                </c:pt>
                <c:pt idx="2">
                  <c:v>33.245994654223068</c:v>
                </c:pt>
                <c:pt idx="3">
                  <c:v>33.245990031804006</c:v>
                </c:pt>
                <c:pt idx="4">
                  <c:v>33.245985191542289</c:v>
                </c:pt>
                <c:pt idx="5">
                  <c:v>33.245980123171869</c:v>
                </c:pt>
                <c:pt idx="6">
                  <c:v>33.24597481594283</c:v>
                </c:pt>
                <c:pt idx="7">
                  <c:v>33.24596925859877</c:v>
                </c:pt>
                <c:pt idx="8">
                  <c:v>33.245963439352757</c:v>
                </c:pt>
                <c:pt idx="9">
                  <c:v>33.245957345862479</c:v>
                </c:pt>
                <c:pt idx="10">
                  <c:v>33.245950965204017</c:v>
                </c:pt>
                <c:pt idx="11">
                  <c:v>33.245944283844466</c:v>
                </c:pt>
                <c:pt idx="12">
                  <c:v>33.245937287613138</c:v>
                </c:pt>
                <c:pt idx="13">
                  <c:v>33.245929961671678</c:v>
                </c:pt>
                <c:pt idx="14">
                  <c:v>33.245922290482468</c:v>
                </c:pt>
                <c:pt idx="15">
                  <c:v>33.245914257775752</c:v>
                </c:pt>
                <c:pt idx="16">
                  <c:v>33.245905846515193</c:v>
                </c:pt>
                <c:pt idx="17">
                  <c:v>33.245897038861585</c:v>
                </c:pt>
                <c:pt idx="18">
                  <c:v>33.245887816135173</c:v>
                </c:pt>
                <c:pt idx="19">
                  <c:v>33.24587815877608</c:v>
                </c:pt>
                <c:pt idx="20">
                  <c:v>33.245868046302682</c:v>
                </c:pt>
                <c:pt idx="21">
                  <c:v>33.245857457268329</c:v>
                </c:pt>
                <c:pt idx="22">
                  <c:v>33.245846369215862</c:v>
                </c:pt>
                <c:pt idx="23">
                  <c:v>33.245834758629904</c:v>
                </c:pt>
                <c:pt idx="24">
                  <c:v>33.245822600887173</c:v>
                </c:pt>
                <c:pt idx="25">
                  <c:v>33.245809870204127</c:v>
                </c:pt>
                <c:pt idx="26">
                  <c:v>33.2457965395825</c:v>
                </c:pt>
                <c:pt idx="27">
                  <c:v>33.245782580751872</c:v>
                </c:pt>
                <c:pt idx="28">
                  <c:v>33.245767964109945</c:v>
                </c:pt>
                <c:pt idx="29">
                  <c:v>33.245752658659605</c:v>
                </c:pt>
                <c:pt idx="30">
                  <c:v>33.245736631943444</c:v>
                </c:pt>
                <c:pt idx="31">
                  <c:v>33.245719849974812</c:v>
                </c:pt>
                <c:pt idx="32">
                  <c:v>33.245702277165883</c:v>
                </c:pt>
                <c:pt idx="33">
                  <c:v>33.24568387625218</c:v>
                </c:pt>
                <c:pt idx="34">
                  <c:v>33.245664608213715</c:v>
                </c:pt>
                <c:pt idx="35">
                  <c:v>33.245644432192179</c:v>
                </c:pt>
                <c:pt idx="36">
                  <c:v>33.245623305404528</c:v>
                </c:pt>
                <c:pt idx="37">
                  <c:v>33.245601183052202</c:v>
                </c:pt>
                <c:pt idx="38">
                  <c:v>33.24557801822634</c:v>
                </c:pt>
                <c:pt idx="39">
                  <c:v>33.24555376180826</c:v>
                </c:pt>
                <c:pt idx="40">
                  <c:v>33.24552836236569</c:v>
                </c:pt>
                <c:pt idx="41">
                  <c:v>33.245501766043446</c:v>
                </c:pt>
                <c:pt idx="42">
                  <c:v>33.245473916449761</c:v>
                </c:pt>
                <c:pt idx="43">
                  <c:v>33.245444754536557</c:v>
                </c:pt>
                <c:pt idx="44">
                  <c:v>33.245414218474629</c:v>
                </c:pt>
                <c:pt idx="45">
                  <c:v>33.24538224352257</c:v>
                </c:pt>
                <c:pt idx="46">
                  <c:v>33.245348761889787</c:v>
                </c:pt>
                <c:pt idx="47">
                  <c:v>33.245313702592924</c:v>
                </c:pt>
                <c:pt idx="48">
                  <c:v>33.245276991305658</c:v>
                </c:pt>
                <c:pt idx="49">
                  <c:v>33.245238550201385</c:v>
                </c:pt>
                <c:pt idx="50">
                  <c:v>33.245198297788363</c:v>
                </c:pt>
                <c:pt idx="51">
                  <c:v>33.245156148737451</c:v>
                </c:pt>
                <c:pt idx="52">
                  <c:v>33.245112013701423</c:v>
                </c:pt>
                <c:pt idx="53">
                  <c:v>33.24506579912601</c:v>
                </c:pt>
                <c:pt idx="54">
                  <c:v>33.245017407051847</c:v>
                </c:pt>
                <c:pt idx="55">
                  <c:v>33.244966734907464</c:v>
                </c:pt>
                <c:pt idx="56">
                  <c:v>33.244913675292203</c:v>
                </c:pt>
                <c:pt idx="57">
                  <c:v>33.244858115749153</c:v>
                </c:pt>
                <c:pt idx="58">
                  <c:v>33.24479993852735</c:v>
                </c:pt>
                <c:pt idx="59">
                  <c:v>33.244739020332872</c:v>
                </c:pt>
                <c:pt idx="60">
                  <c:v>33.244675232068239</c:v>
                </c:pt>
                <c:pt idx="61">
                  <c:v>33.244608438559567</c:v>
                </c:pt>
                <c:pt idx="62">
                  <c:v>33.244538498270842</c:v>
                </c:pt>
                <c:pt idx="63">
                  <c:v>33.244465263005182</c:v>
                </c:pt>
                <c:pt idx="64">
                  <c:v>33.244388577591451</c:v>
                </c:pt>
                <c:pt idx="65">
                  <c:v>33.244308279556911</c:v>
                </c:pt>
                <c:pt idx="66">
                  <c:v>33.244224198783897</c:v>
                </c:pt>
                <c:pt idx="67">
                  <c:v>33.244136157150905</c:v>
                </c:pt>
                <c:pt idx="68">
                  <c:v>33.244043968156646</c:v>
                </c:pt>
                <c:pt idx="69">
                  <c:v>33.243947436526454</c:v>
                </c:pt>
                <c:pt idx="70">
                  <c:v>33.243846357800457</c:v>
                </c:pt>
                <c:pt idx="71">
                  <c:v>33.243740517902431</c:v>
                </c:pt>
                <c:pt idx="72">
                  <c:v>33.243629692688373</c:v>
                </c:pt>
                <c:pt idx="73">
                  <c:v>33.243513647474138</c:v>
                </c:pt>
                <c:pt idx="74">
                  <c:v>33.243392136540997</c:v>
                </c:pt>
                <c:pt idx="75">
                  <c:v>33.243264902617959</c:v>
                </c:pt>
                <c:pt idx="76">
                  <c:v>33.243131676340212</c:v>
                </c:pt>
                <c:pt idx="77">
                  <c:v>33.242992175681898</c:v>
                </c:pt>
                <c:pt idx="78">
                  <c:v>33.242846105362929</c:v>
                </c:pt>
                <c:pt idx="79">
                  <c:v>33.242693156227737</c:v>
                </c:pt>
                <c:pt idx="80">
                  <c:v>33.242533004595352</c:v>
                </c:pt>
                <c:pt idx="81">
                  <c:v>33.242365311579043</c:v>
                </c:pt>
                <c:pt idx="82">
                  <c:v>33.242189722374548</c:v>
                </c:pt>
                <c:pt idx="83">
                  <c:v>33.242005865514919</c:v>
                </c:pt>
                <c:pt idx="84">
                  <c:v>33.241813352090965</c:v>
                </c:pt>
                <c:pt idx="85">
                  <c:v>33.2416117749355</c:v>
                </c:pt>
                <c:pt idx="86">
                  <c:v>33.241400707769479</c:v>
                </c:pt>
                <c:pt idx="87">
                  <c:v>33.241179704308927</c:v>
                </c:pt>
                <c:pt idx="88">
                  <c:v>33.240948297330199</c:v>
                </c:pt>
                <c:pt idx="89">
                  <c:v>33.240705997692174</c:v>
                </c:pt>
                <c:pt idx="90">
                  <c:v>33.240452293312991</c:v>
                </c:pt>
                <c:pt idx="91">
                  <c:v>33.240186648099808</c:v>
                </c:pt>
                <c:pt idx="92">
                  <c:v>33.239908500828832</c:v>
                </c:pt>
                <c:pt idx="93">
                  <c:v>33.23961726397404</c:v>
                </c:pt>
                <c:pt idx="94">
                  <c:v>33.239312322481602</c:v>
                </c:pt>
                <c:pt idx="95">
                  <c:v>33.23899303248816</c:v>
                </c:pt>
                <c:pt idx="96">
                  <c:v>33.238658719980037</c:v>
                </c:pt>
                <c:pt idx="97">
                  <c:v>33.238308679390954</c:v>
                </c:pt>
                <c:pt idx="98">
                  <c:v>33.237942172135526</c:v>
                </c:pt>
                <c:pt idx="99">
                  <c:v>33.23755842507542</c:v>
                </c:pt>
                <c:pt idx="100">
                  <c:v>33.237156628915493</c:v>
                </c:pt>
                <c:pt idx="101">
                  <c:v>33.236735936526721</c:v>
                </c:pt>
                <c:pt idx="102">
                  <c:v>33.236295461192533</c:v>
                </c:pt>
                <c:pt idx="103">
                  <c:v>33.23583427477557</c:v>
                </c:pt>
                <c:pt idx="104">
                  <c:v>33.235351405800756</c:v>
                </c:pt>
                <c:pt idx="105">
                  <c:v>33.234845837451822</c:v>
                </c:pt>
                <c:pt idx="106">
                  <c:v>33.234316505476812</c:v>
                </c:pt>
                <c:pt idx="107">
                  <c:v>33.233762295999149</c:v>
                </c:pt>
                <c:pt idx="108">
                  <c:v>33.233182043229874</c:v>
                </c:pt>
                <c:pt idx="109">
                  <c:v>33.232574527076935</c:v>
                </c:pt>
                <c:pt idx="110">
                  <c:v>33.231938470647194</c:v>
                </c:pt>
                <c:pt idx="111">
                  <c:v>33.231272537636585</c:v>
                </c:pt>
                <c:pt idx="112">
                  <c:v>33.230575329603525</c:v>
                </c:pt>
                <c:pt idx="113">
                  <c:v>33.229845383121045</c:v>
                </c:pt>
                <c:pt idx="114">
                  <c:v>33.229081166802111</c:v>
                </c:pt>
                <c:pt idx="115">
                  <c:v>33.228281078193461</c:v>
                </c:pt>
                <c:pt idx="116">
                  <c:v>33.227443440531893</c:v>
                </c:pt>
                <c:pt idx="117">
                  <c:v>33.226566499358093</c:v>
                </c:pt>
                <c:pt idx="118">
                  <c:v>33.225648418981578</c:v>
                </c:pt>
                <c:pt idx="119">
                  <c:v>33.224687278791329</c:v>
                </c:pt>
                <c:pt idx="120">
                  <c:v>33.223681069405508</c:v>
                </c:pt>
                <c:pt idx="121">
                  <c:v>33.222627688654292</c:v>
                </c:pt>
                <c:pt idx="122">
                  <c:v>33.221524937389162</c:v>
                </c:pt>
                <c:pt idx="123">
                  <c:v>33.220370515111874</c:v>
                </c:pt>
                <c:pt idx="124">
                  <c:v>33.219162015416323</c:v>
                </c:pt>
                <c:pt idx="125">
                  <c:v>33.217896921236196</c:v>
                </c:pt>
                <c:pt idx="126">
                  <c:v>33.2165725998914</c:v>
                </c:pt>
                <c:pt idx="127">
                  <c:v>33.215186297925456</c:v>
                </c:pt>
                <c:pt idx="128">
                  <c:v>33.213735135726822</c:v>
                </c:pt>
                <c:pt idx="129">
                  <c:v>33.212216101925982</c:v>
                </c:pt>
                <c:pt idx="130">
                  <c:v>33.210626047560929</c:v>
                </c:pt>
                <c:pt idx="131">
                  <c:v>33.208961680002737</c:v>
                </c:pt>
                <c:pt idx="132">
                  <c:v>33.20721955663339</c:v>
                </c:pt>
                <c:pt idx="133">
                  <c:v>33.205396078267697</c:v>
                </c:pt>
                <c:pt idx="134">
                  <c:v>33.20348748231109</c:v>
                </c:pt>
                <c:pt idx="135">
                  <c:v>33.201489835645056</c:v>
                </c:pt>
                <c:pt idx="136">
                  <c:v>33.199399027232126</c:v>
                </c:pt>
                <c:pt idx="137">
                  <c:v>33.197210760431844</c:v>
                </c:pt>
                <c:pt idx="138">
                  <c:v>33.19492054501999</c:v>
                </c:pt>
                <c:pt idx="139">
                  <c:v>33.19252368890276</c:v>
                </c:pt>
                <c:pt idx="140">
                  <c:v>33.190015289517987</c:v>
                </c:pt>
                <c:pt idx="141">
                  <c:v>33.187390224915731</c:v>
                </c:pt>
                <c:pt idx="142">
                  <c:v>33.184643144510737</c:v>
                </c:pt>
                <c:pt idx="143">
                  <c:v>33.181768459499629</c:v>
                </c:pt>
                <c:pt idx="144">
                  <c:v>33.178760332935958</c:v>
                </c:pt>
                <c:pt idx="145">
                  <c:v>33.175612669456939</c:v>
                </c:pt>
                <c:pt idx="146">
                  <c:v>33.172319104655813</c:v>
                </c:pt>
                <c:pt idx="147">
                  <c:v>33.168872994094819</c:v>
                </c:pt>
                <c:pt idx="148">
                  <c:v>33.16526740195448</c:v>
                </c:pt>
                <c:pt idx="149">
                  <c:v>33.161495089315018</c:v>
                </c:pt>
                <c:pt idx="150">
                  <c:v>33.157548502067925</c:v>
                </c:pt>
                <c:pt idx="151">
                  <c:v>33.15341975845557</c:v>
                </c:pt>
                <c:pt idx="152">
                  <c:v>33.149100636238579</c:v>
                </c:pt>
                <c:pt idx="153">
                  <c:v>33.144582559492044</c:v>
                </c:pt>
                <c:pt idx="154">
                  <c:v>33.13985658503303</c:v>
                </c:pt>
                <c:pt idx="155">
                  <c:v>33.134913388483412</c:v>
                </c:pt>
                <c:pt idx="156">
                  <c:v>33.12974324997424</c:v>
                </c:pt>
                <c:pt idx="157">
                  <c:v>33.124336039499852</c:v>
                </c:pt>
                <c:pt idx="158">
                  <c:v>33.11868120193185</c:v>
                </c:pt>
                <c:pt idx="159">
                  <c:v>33.112767741706215</c:v>
                </c:pt>
                <c:pt idx="160">
                  <c:v>33.106584207199205</c:v>
                </c:pt>
                <c:pt idx="161">
                  <c:v>33.100118674810517</c:v>
                </c:pt>
                <c:pt idx="162">
                  <c:v>33.093358732775819</c:v>
                </c:pt>
                <c:pt idx="163">
                  <c:v>33.086291464734387</c:v>
                </c:pt>
                <c:pt idx="164">
                  <c:v>33.078903433080946</c:v>
                </c:pt>
                <c:pt idx="165">
                  <c:v>33.071180662135205</c:v>
                </c:pt>
                <c:pt idx="166">
                  <c:v>33.063108621167338</c:v>
                </c:pt>
                <c:pt idx="167">
                  <c:v>33.054672207322</c:v>
                </c:pt>
                <c:pt idx="168">
                  <c:v>33.045855728488704</c:v>
                </c:pt>
                <c:pt idx="169">
                  <c:v>33.036642886172004</c:v>
                </c:pt>
                <c:pt idx="170">
                  <c:v>33.027016758420629</c:v>
                </c:pt>
                <c:pt idx="171">
                  <c:v>33.016959782880832</c:v>
                </c:pt>
                <c:pt idx="172">
                  <c:v>33.006453740045394</c:v>
                </c:pt>
                <c:pt idx="173">
                  <c:v>32.995479736777334</c:v>
                </c:pt>
                <c:pt idx="174">
                  <c:v>32.984018190193815</c:v>
                </c:pt>
                <c:pt idx="175">
                  <c:v>32.972048812002761</c:v>
                </c:pt>
                <c:pt idx="176">
                  <c:v>32.959550593394013</c:v>
                </c:pt>
                <c:pt idx="177">
                  <c:v>32.946501790592642</c:v>
                </c:pt>
                <c:pt idx="178">
                  <c:v>32.93287991119216</c:v>
                </c:pt>
                <c:pt idx="179">
                  <c:v>32.918661701392153</c:v>
                </c:pt>
                <c:pt idx="180">
                  <c:v>32.903823134274241</c:v>
                </c:pt>
                <c:pt idx="181">
                  <c:v>32.888339399258378</c:v>
                </c:pt>
                <c:pt idx="182">
                  <c:v>32.872184892889564</c:v>
                </c:pt>
                <c:pt idx="183">
                  <c:v>32.855333211114292</c:v>
                </c:pt>
                <c:pt idx="184">
                  <c:v>32.837757143212791</c:v>
                </c:pt>
                <c:pt idx="185">
                  <c:v>32.819428667562072</c:v>
                </c:pt>
                <c:pt idx="186">
                  <c:v>32.800318949411334</c:v>
                </c:pt>
                <c:pt idx="187">
                  <c:v>32.7803983408579</c:v>
                </c:pt>
                <c:pt idx="188">
                  <c:v>32.759636383218307</c:v>
                </c:pt>
                <c:pt idx="189">
                  <c:v>32.738001811993776</c:v>
                </c:pt>
                <c:pt idx="190">
                  <c:v>32.715462564632716</c:v>
                </c:pt>
                <c:pt idx="191">
                  <c:v>32.691985791296759</c:v>
                </c:pt>
                <c:pt idx="192">
                  <c:v>32.667537868836597</c:v>
                </c:pt>
                <c:pt idx="193">
                  <c:v>32.642084418184496</c:v>
                </c:pt>
                <c:pt idx="194">
                  <c:v>32.615590325366647</c:v>
                </c:pt>
                <c:pt idx="195">
                  <c:v>32.588019766335549</c:v>
                </c:pt>
                <c:pt idx="196">
                  <c:v>32.559336235814122</c:v>
                </c:pt>
                <c:pt idx="197">
                  <c:v>32.529502580335276</c:v>
                </c:pt>
                <c:pt idx="198">
                  <c:v>32.498481035647004</c:v>
                </c:pt>
                <c:pt idx="199">
                  <c:v>32.466233268640032</c:v>
                </c:pt>
                <c:pt idx="200">
                  <c:v>32.432720423934434</c:v>
                </c:pt>
                <c:pt idx="201">
                  <c:v>32.397903175242774</c:v>
                </c:pt>
                <c:pt idx="202">
                  <c:v>32.361741781600443</c:v>
                </c:pt>
                <c:pt idx="203">
                  <c:v>32.324196148527719</c:v>
                </c:pt>
                <c:pt idx="204">
                  <c:v>32.285225894154586</c:v>
                </c:pt>
                <c:pt idx="205">
                  <c:v>32.244790420306288</c:v>
                </c:pt>
                <c:pt idx="206">
                  <c:v>32.202848988507981</c:v>
                </c:pt>
                <c:pt idx="207">
                  <c:v>32.159360800825716</c:v>
                </c:pt>
                <c:pt idx="208">
                  <c:v>32.114285085417677</c:v>
                </c:pt>
                <c:pt idx="209">
                  <c:v>32.067581186620487</c:v>
                </c:pt>
                <c:pt idx="210">
                  <c:v>32.019208659348507</c:v>
                </c:pt>
                <c:pt idx="211">
                  <c:v>31.969127367531073</c:v>
                </c:pt>
                <c:pt idx="212">
                  <c:v>31.917297586261377</c:v>
                </c:pt>
                <c:pt idx="213">
                  <c:v>31.863680107277279</c:v>
                </c:pt>
                <c:pt idx="214">
                  <c:v>31.808236347341442</c:v>
                </c:pt>
                <c:pt idx="215">
                  <c:v>31.750928459035915</c:v>
                </c:pt>
                <c:pt idx="216">
                  <c:v>31.691719443436103</c:v>
                </c:pt>
                <c:pt idx="217">
                  <c:v>31.630573264080684</c:v>
                </c:pt>
                <c:pt idx="218">
                  <c:v>31.567454961609236</c:v>
                </c:pt>
                <c:pt idx="219">
                  <c:v>31.502330768399535</c:v>
                </c:pt>
                <c:pt idx="220">
                  <c:v>31.43516822250038</c:v>
                </c:pt>
                <c:pt idx="221">
                  <c:v>31.365936280127478</c:v>
                </c:pt>
                <c:pt idx="222">
                  <c:v>31.294605425967262</c:v>
                </c:pt>
                <c:pt idx="223">
                  <c:v>31.221147780518507</c:v>
                </c:pt>
                <c:pt idx="224">
                  <c:v>31.145537203696236</c:v>
                </c:pt>
                <c:pt idx="225">
                  <c:v>31.067749393923954</c:v>
                </c:pt>
                <c:pt idx="226">
                  <c:v>30.98776198195231</c:v>
                </c:pt>
                <c:pt idx="227">
                  <c:v>30.905554618664283</c:v>
                </c:pt>
                <c:pt idx="228">
                  <c:v>30.821109056156949</c:v>
                </c:pt>
                <c:pt idx="229">
                  <c:v>30.734409221430006</c:v>
                </c:pt>
                <c:pt idx="230">
                  <c:v>30.645441282062983</c:v>
                </c:pt>
                <c:pt idx="231">
                  <c:v>30.554193703318326</c:v>
                </c:pt>
                <c:pt idx="232">
                  <c:v>30.460657296177061</c:v>
                </c:pt>
                <c:pt idx="233">
                  <c:v>30.364825255884796</c:v>
                </c:pt>
                <c:pt idx="234">
                  <c:v>30.266693190668445</c:v>
                </c:pt>
                <c:pt idx="235">
                  <c:v>30.166259140367096</c:v>
                </c:pt>
                <c:pt idx="236">
                  <c:v>30.063523584810561</c:v>
                </c:pt>
                <c:pt idx="237">
                  <c:v>29.958489441871027</c:v>
                </c:pt>
                <c:pt idx="238">
                  <c:v>29.8511620552053</c:v>
                </c:pt>
                <c:pt idx="239">
                  <c:v>29.741549171797764</c:v>
                </c:pt>
                <c:pt idx="240">
                  <c:v>29.629660909506047</c:v>
                </c:pt>
                <c:pt idx="241">
                  <c:v>29.515509714897323</c:v>
                </c:pt>
                <c:pt idx="242">
                  <c:v>29.39911031174827</c:v>
                </c:pt>
                <c:pt idx="243">
                  <c:v>29.280479640658669</c:v>
                </c:pt>
                <c:pt idx="244">
                  <c:v>29.159636790299025</c:v>
                </c:pt>
                <c:pt idx="245">
                  <c:v>29.036602920878032</c:v>
                </c:pt>
                <c:pt idx="246">
                  <c:v>28.911401180468978</c:v>
                </c:pt>
                <c:pt idx="247">
                  <c:v>28.784056614880402</c:v>
                </c:pt>
                <c:pt idx="248">
                  <c:v>28.654596071795172</c:v>
                </c:pt>
                <c:pt idx="249">
                  <c:v>28.523048099926214</c:v>
                </c:pt>
                <c:pt idx="250">
                  <c:v>28.389442843957831</c:v>
                </c:pt>
                <c:pt idx="251">
                  <c:v>28.253811936047125</c:v>
                </c:pt>
                <c:pt idx="252">
                  <c:v>28.116188384661776</c:v>
                </c:pt>
                <c:pt idx="253">
                  <c:v>27.976606461517658</c:v>
                </c:pt>
                <c:pt idx="254">
                  <c:v>27.835101587365433</c:v>
                </c:pt>
                <c:pt idx="255">
                  <c:v>27.691710217348064</c:v>
                </c:pt>
                <c:pt idx="256">
                  <c:v>27.546469726620401</c:v>
                </c:pt>
                <c:pt idx="257">
                  <c:v>27.399418296884029</c:v>
                </c:pt>
                <c:pt idx="258">
                  <c:v>27.250594804449978</c:v>
                </c:pt>
                <c:pt idx="259">
                  <c:v>27.100038710394195</c:v>
                </c:pt>
                <c:pt idx="260">
                  <c:v>26.947789953321596</c:v>
                </c:pt>
                <c:pt idx="261">
                  <c:v>26.793888845205611</c:v>
                </c:pt>
                <c:pt idx="262">
                  <c:v>26.638375970713316</c:v>
                </c:pt>
                <c:pt idx="263">
                  <c:v>26.481292090378155</c:v>
                </c:pt>
                <c:pt idx="264">
                  <c:v>26.322678047925415</c:v>
                </c:pt>
                <c:pt idx="265">
                  <c:v>26.162574682005655</c:v>
                </c:pt>
                <c:pt idx="266">
                  <c:v>26.001022742540666</c:v>
                </c:pt>
                <c:pt idx="267">
                  <c:v>25.838062811837798</c:v>
                </c:pt>
                <c:pt idx="268">
                  <c:v>25.673735230582324</c:v>
                </c:pt>
                <c:pt idx="269">
                  <c:v>25.508080028774856</c:v>
                </c:pt>
                <c:pt idx="270">
                  <c:v>25.341136861639832</c:v>
                </c:pt>
                <c:pt idx="271">
                  <c:v>25.172944950494653</c:v>
                </c:pt>
                <c:pt idx="272">
                  <c:v>25.003543028535823</c:v>
                </c:pt>
                <c:pt idx="273">
                  <c:v>24.832969291466224</c:v>
                </c:pt>
                <c:pt idx="274">
                  <c:v>24.661261352864589</c:v>
                </c:pt>
                <c:pt idx="275">
                  <c:v>24.488456204169758</c:v>
                </c:pt>
                <c:pt idx="276">
                  <c:v>24.31459017913777</c:v>
                </c:pt>
                <c:pt idx="277">
                  <c:v>24.139698922608432</c:v>
                </c:pt>
                <c:pt idx="278">
                  <c:v>23.963817363406235</c:v>
                </c:pt>
                <c:pt idx="279">
                  <c:v>23.786979691189639</c:v>
                </c:pt>
                <c:pt idx="280">
                  <c:v>23.609219337052775</c:v>
                </c:pt>
                <c:pt idx="281">
                  <c:v>23.430568957679721</c:v>
                </c:pt>
                <c:pt idx="282">
                  <c:v>23.251060422845903</c:v>
                </c:pt>
                <c:pt idx="283">
                  <c:v>23.070724806060593</c:v>
                </c:pt>
                <c:pt idx="284">
                  <c:v>22.88959237814489</c:v>
                </c:pt>
                <c:pt idx="285">
                  <c:v>22.707692603539776</c:v>
                </c:pt>
                <c:pt idx="286">
                  <c:v>22.525054139143879</c:v>
                </c:pt>
                <c:pt idx="287">
                  <c:v>22.341704835483451</c:v>
                </c:pt>
                <c:pt idx="288">
                  <c:v>22.157671740023552</c:v>
                </c:pt>
                <c:pt idx="289">
                  <c:v>21.972981102434574</c:v>
                </c:pt>
                <c:pt idx="290">
                  <c:v>21.787658381636092</c:v>
                </c:pt>
                <c:pt idx="291">
                  <c:v>21.601728254447245</c:v>
                </c:pt>
                <c:pt idx="292">
                  <c:v>21.415214625680029</c:v>
                </c:pt>
                <c:pt idx="293">
                  <c:v>21.228140639521683</c:v>
                </c:pt>
                <c:pt idx="294">
                  <c:v>21.040528692058793</c:v>
                </c:pt>
                <c:pt idx="295">
                  <c:v>20.852400444805465</c:v>
                </c:pt>
                <c:pt idx="296">
                  <c:v>20.663776839106109</c:v>
                </c:pt>
                <c:pt idx="297">
                  <c:v>20.474678111292416</c:v>
                </c:pt>
                <c:pt idx="298">
                  <c:v>20.285123808479923</c:v>
                </c:pt>
                <c:pt idx="299">
                  <c:v>20.095132804901503</c:v>
                </c:pt>
                <c:pt idx="300">
                  <c:v>19.904723318679945</c:v>
                </c:pt>
                <c:pt idx="301">
                  <c:v>19.713912928950297</c:v>
                </c:pt>
                <c:pt idx="302">
                  <c:v>19.522718593251131</c:v>
                </c:pt>
                <c:pt idx="303">
                  <c:v>19.331156665108864</c:v>
                </c:pt>
                <c:pt idx="304">
                  <c:v>19.139242911747917</c:v>
                </c:pt>
                <c:pt idx="305">
                  <c:v>18.946992531864701</c:v>
                </c:pt>
                <c:pt idx="306">
                  <c:v>18.754420173410189</c:v>
                </c:pt>
                <c:pt idx="307">
                  <c:v>18.561539951330822</c:v>
                </c:pt>
                <c:pt idx="308">
                  <c:v>18.368365465223576</c:v>
                </c:pt>
                <c:pt idx="309">
                  <c:v>18.174909816865853</c:v>
                </c:pt>
                <c:pt idx="310">
                  <c:v>17.981185627585454</c:v>
                </c:pt>
                <c:pt idx="311">
                  <c:v>17.787205055440175</c:v>
                </c:pt>
                <c:pt idx="312">
                  <c:v>17.592979812181341</c:v>
                </c:pt>
                <c:pt idx="313">
                  <c:v>17.398521179978388</c:v>
                </c:pt>
                <c:pt idx="314">
                  <c:v>17.203840027886056</c:v>
                </c:pt>
                <c:pt idx="315">
                  <c:v>17.008946828038795</c:v>
                </c:pt>
                <c:pt idx="316">
                  <c:v>16.813851671558979</c:v>
                </c:pt>
                <c:pt idx="317">
                  <c:v>16.618564284170255</c:v>
                </c:pt>
                <c:pt idx="318">
                  <c:v>16.42309404150766</c:v>
                </c:pt>
                <c:pt idx="319">
                  <c:v>16.227449984120604</c:v>
                </c:pt>
                <c:pt idx="320">
                  <c:v>16.031640832164456</c:v>
                </c:pt>
                <c:pt idx="321">
                  <c:v>15.835674999781217</c:v>
                </c:pt>
                <c:pt idx="322">
                  <c:v>15.639560609169138</c:v>
                </c:pt>
                <c:pt idx="323">
                  <c:v>15.443305504343945</c:v>
                </c:pt>
                <c:pt idx="324">
                  <c:v>15.246917264594824</c:v>
                </c:pt>
                <c:pt idx="325">
                  <c:v>15.050403217641596</c:v>
                </c:pt>
                <c:pt idx="326">
                  <c:v>14.853770452497979</c:v>
                </c:pt>
                <c:pt idx="327">
                  <c:v>14.657025832048362</c:v>
                </c:pt>
                <c:pt idx="328">
                  <c:v>14.460176005347325</c:v>
                </c:pt>
                <c:pt idx="329">
                  <c:v>14.263227419648846</c:v>
                </c:pt>
                <c:pt idx="330">
                  <c:v>14.066186332177544</c:v>
                </c:pt>
                <c:pt idx="331">
                  <c:v>13.869058821649871</c:v>
                </c:pt>
                <c:pt idx="332">
                  <c:v>13.671850799558204</c:v>
                </c:pt>
                <c:pt idx="333">
                  <c:v>13.474568021227483</c:v>
                </c:pt>
                <c:pt idx="334">
                  <c:v>13.277216096658277</c:v>
                </c:pt>
                <c:pt idx="335">
                  <c:v>13.079800501166858</c:v>
                </c:pt>
                <c:pt idx="336">
                  <c:v>12.88232658583647</c:v>
                </c:pt>
                <c:pt idx="337">
                  <c:v>12.684799587791538</c:v>
                </c:pt>
                <c:pt idx="338">
                  <c:v>12.48722464030865</c:v>
                </c:pt>
                <c:pt idx="339">
                  <c:v>12.289606782778899</c:v>
                </c:pt>
                <c:pt idx="340">
                  <c:v>12.091950970532832</c:v>
                </c:pt>
                <c:pt idx="341">
                  <c:v>11.894262084544549</c:v>
                </c:pt>
                <c:pt idx="342">
                  <c:v>11.696544941027497</c:v>
                </c:pt>
                <c:pt idx="343">
                  <c:v>11.498804300937117</c:v>
                </c:pt>
                <c:pt idx="344">
                  <c:v>11.301044879393574</c:v>
                </c:pt>
                <c:pt idx="345">
                  <c:v>11.103271355040432</c:v>
                </c:pt>
                <c:pt idx="346">
                  <c:v>10.905488379353178</c:v>
                </c:pt>
                <c:pt idx="347">
                  <c:v>10.70770058591274</c:v>
                </c:pt>
                <c:pt idx="348">
                  <c:v>10.50991259965798</c:v>
                </c:pt>
                <c:pt idx="349">
                  <c:v>10.312129046132991</c:v>
                </c:pt>
                <c:pt idx="350">
                  <c:v>10.114354560744509</c:v>
                </c:pt>
                <c:pt idx="351">
                  <c:v>9.9165937980428804</c:v>
                </c:pt>
                <c:pt idx="352">
                  <c:v>9.7188514410436806</c:v>
                </c:pt>
                <c:pt idx="353">
                  <c:v>9.5211322106045824</c:v>
                </c:pt>
                <c:pt idx="354">
                  <c:v>9.3234408748714319</c:v>
                </c:pt>
                <c:pt idx="355">
                  <c:v>9.1257822588117072</c:v>
                </c:pt>
                <c:pt idx="356">
                  <c:v>8.9281612538481721</c:v>
                </c:pt>
                <c:pt idx="357">
                  <c:v>8.7305828276101387</c:v>
                </c:pt>
                <c:pt idx="358">
                  <c:v>8.5330520338166842</c:v>
                </c:pt>
                <c:pt idx="359">
                  <c:v>8.3355740223084211</c:v>
                </c:pt>
                <c:pt idx="360">
                  <c:v>8.1381540492425266</c:v>
                </c:pt>
                <c:pt idx="361">
                  <c:v>7.940797487468342</c:v>
                </c:pt>
                <c:pt idx="362">
                  <c:v>7.7435098370973545</c:v>
                </c:pt>
                <c:pt idx="363">
                  <c:v>7.5462967362846891</c:v>
                </c:pt>
                <c:pt idx="364">
                  <c:v>7.3491639722379336</c:v>
                </c:pt>
                <c:pt idx="365">
                  <c:v>7.1521174924681885</c:v>
                </c:pt>
                <c:pt idx="366">
                  <c:v>6.9551634162996931</c:v>
                </c:pt>
                <c:pt idx="367">
                  <c:v>6.7583080466536973</c:v>
                </c:pt>
                <c:pt idx="368">
                  <c:v>6.5615578821217282</c:v>
                </c:pt>
                <c:pt idx="369">
                  <c:v>6.3649196293441577</c:v>
                </c:pt>
                <c:pt idx="370">
                  <c:v>6.1684002157090969</c:v>
                </c:pt>
                <c:pt idx="371">
                  <c:v>5.9720068023865718</c:v>
                </c:pt>
                <c:pt idx="372">
                  <c:v>5.7757467977128201</c:v>
                </c:pt>
                <c:pt idx="373">
                  <c:v>5.5796278709393032</c:v>
                </c:pt>
                <c:pt idx="374">
                  <c:v>5.3836579663603725</c:v>
                </c:pt>
                <c:pt idx="375">
                  <c:v>5.1878453178330091</c:v>
                </c:pt>
                <c:pt idx="376">
                  <c:v>4.9921984637023957</c:v>
                </c:pt>
                <c:pt idx="377">
                  <c:v>4.7967262621444959</c:v>
                </c:pt>
                <c:pt idx="378">
                  <c:v>4.6014379069390676</c:v>
                </c:pt>
                <c:pt idx="379">
                  <c:v>4.4063429436823283</c:v>
                </c:pt>
                <c:pt idx="380">
                  <c:v>4.2114512864507097</c:v>
                </c:pt>
                <c:pt idx="381">
                  <c:v>4.0167732349233658</c:v>
                </c:pt>
                <c:pt idx="382">
                  <c:v>3.8223194919720695</c:v>
                </c:pt>
                <c:pt idx="383">
                  <c:v>3.6281011817244857</c:v>
                </c:pt>
                <c:pt idx="384">
                  <c:v>3.4341298681053054</c:v>
                </c:pt>
                <c:pt idx="385">
                  <c:v>3.2404175738592618</c:v>
                </c:pt>
                <c:pt idx="386">
                  <c:v>3.0469768000564601</c:v>
                </c:pt>
                <c:pt idx="387">
                  <c:v>2.8538205460796018</c:v>
                </c:pt>
                <c:pt idx="388">
                  <c:v>2.6609623300897152</c:v>
                </c:pt>
                <c:pt idx="389">
                  <c:v>2.4684162099653544</c:v>
                </c:pt>
                <c:pt idx="390">
                  <c:v>2.276196804706236</c:v>
                </c:pt>
                <c:pt idx="391">
                  <c:v>2.084319316289442</c:v>
                </c:pt>
                <c:pt idx="392">
                  <c:v>1.8927995519650662</c:v>
                </c:pt>
                <c:pt idx="393">
                  <c:v>1.7016539469709782</c:v>
                </c:pt>
                <c:pt idx="394">
                  <c:v>1.5108995876452656</c:v>
                </c:pt>
                <c:pt idx="395">
                  <c:v>1.320554234910013</c:v>
                </c:pt>
                <c:pt idx="396">
                  <c:v>1.1306363480948385</c:v>
                </c:pt>
                <c:pt idx="397">
                  <c:v>0.94116510906417583</c:v>
                </c:pt>
                <c:pt idx="398">
                  <c:v>0.7521604466072318</c:v>
                </c:pt>
                <c:pt idx="399">
                  <c:v>0.56364306104327377</c:v>
                </c:pt>
                <c:pt idx="400">
                  <c:v>0.37563444899012172</c:v>
                </c:pt>
                <c:pt idx="401">
                  <c:v>0.18815692823514554</c:v>
                </c:pt>
                <c:pt idx="402">
                  <c:v>1.2336626441758649E-3</c:v>
                </c:pt>
                <c:pt idx="403">
                  <c:v>-0.18511131296530936</c:v>
                </c:pt>
                <c:pt idx="404">
                  <c:v>-0.37085306806796997</c:v>
                </c:pt>
                <c:pt idx="405">
                  <c:v>-0.55596575187845909</c:v>
                </c:pt>
                <c:pt idx="406">
                  <c:v>-0.74042256910067661</c:v>
                </c:pt>
                <c:pt idx="407">
                  <c:v>-0.92419575608253435</c:v>
                </c:pt>
                <c:pt idx="408">
                  <c:v>-1.1072565574902506</c:v>
                </c:pt>
                <c:pt idx="409">
                  <c:v>-1.2895752036239156</c:v>
                </c:pt>
                <c:pt idx="410">
                  <c:v>-1.4711208885054168</c:v>
                </c:pt>
                <c:pt idx="411">
                  <c:v>-1.6518617488792042</c:v>
                </c:pt>
                <c:pt idx="412">
                  <c:v>-1.8317648442752912</c:v>
                </c:pt>
                <c:pt idx="413">
                  <c:v>-2.0107961382919339</c:v>
                </c:pt>
                <c:pt idx="414">
                  <c:v>-2.1889204812660599</c:v>
                </c:pt>
                <c:pt idx="415">
                  <c:v>-2.3661015945063375</c:v>
                </c:pt>
                <c:pt idx="416">
                  <c:v>-2.5423020562729004</c:v>
                </c:pt>
                <c:pt idx="417">
                  <c:v>-2.7174832896949979</c:v>
                </c:pt>
                <c:pt idx="418">
                  <c:v>-2.8916055528247626</c:v>
                </c:pt>
                <c:pt idx="419">
                  <c:v>-3.0646279310314557</c:v>
                </c:pt>
                <c:pt idx="420">
                  <c:v>-3.2365083319457306</c:v>
                </c:pt>
                <c:pt idx="421">
                  <c:v>-3.4072034831668812</c:v>
                </c:pt>
                <c:pt idx="422">
                  <c:v>-3.5766689329488259</c:v>
                </c:pt>
                <c:pt idx="423">
                  <c:v>-3.7448590540823949</c:v>
                </c:pt>
                <c:pt idx="424">
                  <c:v>-3.9117270511881728</c:v>
                </c:pt>
                <c:pt idx="425">
                  <c:v>-4.0772249716345073</c:v>
                </c:pt>
                <c:pt idx="426">
                  <c:v>-4.2413037202882737</c:v>
                </c:pt>
                <c:pt idx="427">
                  <c:v>-4.4039130782982392</c:v>
                </c:pt>
                <c:pt idx="428">
                  <c:v>-4.5650017261030786</c:v>
                </c:pt>
                <c:pt idx="429">
                  <c:v>-4.7245172708422842</c:v>
                </c:pt>
                <c:pt idx="430">
                  <c:v>-4.8824062783312119</c:v>
                </c:pt>
                <c:pt idx="431">
                  <c:v>-5.0386143097468921</c:v>
                </c:pt>
                <c:pt idx="432">
                  <c:v>-5.1930859631454602</c:v>
                </c:pt>
                <c:pt idx="433">
                  <c:v>-5.3457649199114377</c:v>
                </c:pt>
                <c:pt idx="434">
                  <c:v>-5.4965939962079871</c:v>
                </c:pt>
                <c:pt idx="435">
                  <c:v>-5.6455151994693429</c:v>
                </c:pt>
                <c:pt idx="436">
                  <c:v>-5.7924697899415598</c:v>
                </c:pt>
                <c:pt idx="437">
                  <c:v>-5.9373983472416283</c:v>
                </c:pt>
                <c:pt idx="438">
                  <c:v>-6.0802408418665745</c:v>
                </c:pt>
                <c:pt idx="439">
                  <c:v>-6.2209367115432981</c:v>
                </c:pt>
                <c:pt idx="440">
                  <c:v>-6.359424942266358</c:v>
                </c:pt>
                <c:pt idx="441">
                  <c:v>-6.4956441538282501</c:v>
                </c:pt>
                <c:pt idx="442">
                  <c:v>-6.6295326896008966</c:v>
                </c:pt>
                <c:pt idx="443">
                  <c:v>-6.7610287102824893</c:v>
                </c:pt>
                <c:pt idx="444">
                  <c:v>-6.8900702912810621</c:v>
                </c:pt>
                <c:pt idx="445">
                  <c:v>-7.0165955233600474</c:v>
                </c:pt>
                <c:pt idx="446">
                  <c:v>-7.1405426161328167</c:v>
                </c:pt>
                <c:pt idx="447">
                  <c:v>-7.2618500039551224</c:v>
                </c:pt>
                <c:pt idx="448">
                  <c:v>-7.3804564537271364</c:v>
                </c:pt>
                <c:pt idx="449">
                  <c:v>-7.49630117409089</c:v>
                </c:pt>
                <c:pt idx="450">
                  <c:v>-7.6093239254796909</c:v>
                </c:pt>
                <c:pt idx="451">
                  <c:v>-7.7194651304624653</c:v>
                </c:pt>
                <c:pt idx="452">
                  <c:v>-7.8266659838077368</c:v>
                </c:pt>
                <c:pt idx="453">
                  <c:v>-7.9308685616930275</c:v>
                </c:pt>
                <c:pt idx="454">
                  <c:v>-8.0320159294834479</c:v>
                </c:pt>
                <c:pt idx="455">
                  <c:v>-8.130052247515712</c:v>
                </c:pt>
                <c:pt idx="456">
                  <c:v>-8.2249228743417682</c:v>
                </c:pt>
                <c:pt idx="457">
                  <c:v>-8.3165744669140622</c:v>
                </c:pt>
                <c:pt idx="458">
                  <c:v>-8.4049550772253596</c:v>
                </c:pt>
                <c:pt idx="459">
                  <c:v>-8.4900142449616123</c:v>
                </c:pt>
                <c:pt idx="460">
                  <c:v>-8.5717030857724232</c:v>
                </c:pt>
                <c:pt idx="461">
                  <c:v>-8.6499743748176332</c:v>
                </c:pt>
                <c:pt idx="462">
                  <c:v>-8.7247826253109153</c:v>
                </c:pt>
                <c:pt idx="463">
                  <c:v>-8.7960841618405645</c:v>
                </c:pt>
                <c:pt idx="464">
                  <c:v>-8.8638371883177918</c:v>
                </c:pt>
                <c:pt idx="465">
                  <c:v>-8.9280018504674139</c:v>
                </c:pt>
                <c:pt idx="466">
                  <c:v>-8.9885402928449079</c:v>
                </c:pt>
                <c:pt idx="467">
                  <c:v>-9.0454167104289027</c:v>
                </c:pt>
                <c:pt idx="468">
                  <c:v>-9.0985973949009562</c:v>
                </c:pt>
                <c:pt idx="469">
                  <c:v>-9.148050775784478</c:v>
                </c:pt>
                <c:pt idx="470">
                  <c:v>-9.1937474566641448</c:v>
                </c:pt>
                <c:pt idx="471">
                  <c:v>-9.2356602467570319</c:v>
                </c:pt>
                <c:pt idx="472">
                  <c:v>-9.2737641881399711</c:v>
                </c:pt>
                <c:pt idx="473">
                  <c:v>-9.3080365789701052</c:v>
                </c:pt>
                <c:pt idx="474">
                  <c:v>-9.3384569930516044</c:v>
                </c:pt>
                <c:pt idx="475">
                  <c:v>-9.3650072961127648</c:v>
                </c:pt>
                <c:pt idx="476">
                  <c:v>-9.3876716591545009</c:v>
                </c:pt>
                <c:pt idx="477">
                  <c:v>-9.4064365692220697</c:v>
                </c:pt>
                <c:pt idx="478">
                  <c:v>-9.4212908379279963</c:v>
                </c:pt>
                <c:pt idx="479">
                  <c:v>-9.432225608026414</c:v>
                </c:pt>
                <c:pt idx="480">
                  <c:v>-9.4392343582991654</c:v>
                </c:pt>
                <c:pt idx="481">
                  <c:v>-9.4423129069678229</c:v>
                </c:pt>
                <c:pt idx="482">
                  <c:v>-9.4414594137950179</c:v>
                </c:pt>
                <c:pt idx="483">
                  <c:v>-9.4366743809814277</c:v>
                </c:pt>
                <c:pt idx="484">
                  <c:v>-9.4279606529060125</c:v>
                </c:pt>
                <c:pt idx="485">
                  <c:v>-9.4153234146963616</c:v>
                </c:pt>
                <c:pt idx="486">
                  <c:v>-9.398770189555286</c:v>
                </c:pt>
                <c:pt idx="487">
                  <c:v>-9.3783108347131883</c:v>
                </c:pt>
                <c:pt idx="488">
                  <c:v>-9.3539575358190401</c:v>
                </c:pt>
                <c:pt idx="489">
                  <c:v>-9.3257247995357648</c:v>
                </c:pt>
                <c:pt idx="490">
                  <c:v>-9.2936294440603646</c:v>
                </c:pt>
                <c:pt idx="491">
                  <c:v>-9.2576905872573043</c:v>
                </c:pt>
                <c:pt idx="492">
                  <c:v>-9.2179296320635746</c:v>
                </c:pt>
                <c:pt idx="493">
                  <c:v>-9.174370248809474</c:v>
                </c:pt>
                <c:pt idx="494">
                  <c:v>-9.1270383540915194</c:v>
                </c:pt>
                <c:pt idx="495">
                  <c:v>-9.0759620858363554</c:v>
                </c:pt>
                <c:pt idx="496">
                  <c:v>-9.0211717742082165</c:v>
                </c:pt>
                <c:pt idx="497">
                  <c:v>-8.9626999080364804</c:v>
                </c:pt>
                <c:pt idx="498">
                  <c:v>-8.9005810964717362</c:v>
                </c:pt>
                <c:pt idx="499">
                  <c:v>-8.8348520256198793</c:v>
                </c:pt>
                <c:pt idx="500">
                  <c:v>-8.7655514099526872</c:v>
                </c:pt>
                <c:pt idx="501">
                  <c:v>-8.6927199383501694</c:v>
                </c:pt>
                <c:pt idx="502">
                  <c:v>-8.6164002146869496</c:v>
                </c:pt>
                <c:pt idx="503">
                  <c:v>-8.5366366929440414</c:v>
                </c:pt>
                <c:pt idx="504">
                  <c:v>-8.453475606889878</c:v>
                </c:pt>
                <c:pt idx="505">
                  <c:v>-8.3669648944442869</c:v>
                </c:pt>
                <c:pt idx="506">
                  <c:v>-8.2771541169062335</c:v>
                </c:pt>
                <c:pt idx="507">
                  <c:v>-8.1840943732902645</c:v>
                </c:pt>
                <c:pt idx="508">
                  <c:v>-8.0878382100786581</c:v>
                </c:pt>
                <c:pt idx="509">
                  <c:v>-7.9884395267546662</c:v>
                </c:pt>
                <c:pt idx="510">
                  <c:v>-7.8859534775333593</c:v>
                </c:pt>
                <c:pt idx="511">
                  <c:v>-7.7804363697511221</c:v>
                </c:pt>
                <c:pt idx="512">
                  <c:v>-7.671945559416276</c:v>
                </c:pt>
                <c:pt idx="513">
                  <c:v>-7.5605393444505236</c:v>
                </c:pt>
                <c:pt idx="514">
                  <c:v>-7.4462768561771684</c:v>
                </c:pt>
                <c:pt idx="515">
                  <c:v>-7.3292179496246179</c:v>
                </c:pt>
                <c:pt idx="516">
                  <c:v>-7.2094230932225623</c:v>
                </c:pt>
                <c:pt idx="517">
                  <c:v>-7.0869532584655772</c:v>
                </c:pt>
                <c:pt idx="518">
                  <c:v>-6.9618698101127618</c:v>
                </c:pt>
                <c:pt idx="519">
                  <c:v>-6.8342343974748818</c:v>
                </c:pt>
                <c:pt idx="520">
                  <c:v>-6.7041088473205646</c:v>
                </c:pt>
                <c:pt idx="521">
                  <c:v>-6.5715550589052354</c:v>
                </c:pt>
                <c:pt idx="522">
                  <c:v>-6.4366349015945179</c:v>
                </c:pt>
                <c:pt idx="523">
                  <c:v>-6.2994101155179596</c:v>
                </c:pt>
                <c:pt idx="524">
                  <c:v>-6.1599422156493491</c:v>
                </c:pt>
                <c:pt idx="525">
                  <c:v>-6.0182923996679243</c:v>
                </c:pt>
                <c:pt idx="526">
                  <c:v>-5.8745214599114846</c:v>
                </c:pt>
                <c:pt idx="527">
                  <c:v>-5.7286896996868339</c:v>
                </c:pt>
                <c:pt idx="528">
                  <c:v>-5.5808568541600279</c:v>
                </c:pt>
                <c:pt idx="529">
                  <c:v>-5.4310820160014606</c:v>
                </c:pt>
                <c:pt idx="530">
                  <c:v>-5.2794235659211477</c:v>
                </c:pt>
                <c:pt idx="531">
                  <c:v>-5.1259391081839603</c:v>
                </c:pt>
                <c:pt idx="532">
                  <c:v>-4.9706854111568441</c:v>
                </c:pt>
                <c:pt idx="533">
                  <c:v>-4.8137183529012812</c:v>
                </c:pt>
                <c:pt idx="534">
                  <c:v>-4.6550928717898366</c:v>
                </c:pt>
                <c:pt idx="535">
                  <c:v>-4.494862922091972</c:v>
                </c:pt>
                <c:pt idx="536">
                  <c:v>-4.3330814344471209</c:v>
                </c:pt>
                <c:pt idx="537">
                  <c:v>-4.1698002811137664</c:v>
                </c:pt>
                <c:pt idx="538">
                  <c:v>-4.0050702458630063</c:v>
                </c:pt>
                <c:pt idx="539">
                  <c:v>-3.8389409983630269</c:v>
                </c:pt>
                <c:pt idx="540">
                  <c:v>-3.6714610728847132</c:v>
                </c:pt>
                <c:pt idx="541">
                  <c:v>-3.5026778511429097</c:v>
                </c:pt>
              </c:numCache>
            </c:numRef>
          </c:yVal>
          <c:smooth val="1"/>
          <c:extLst>
            <c:ext xmlns:c16="http://schemas.microsoft.com/office/drawing/2014/chart" uri="{C3380CC4-5D6E-409C-BE32-E72D297353CC}">
              <c16:uniqueId val="{00000000-FF87-4A59-8B7B-E6A4AF1FD0DC}"/>
            </c:ext>
          </c:extLst>
        </c:ser>
        <c:dLbls>
          <c:showLegendKey val="0"/>
          <c:showVal val="0"/>
          <c:showCatName val="0"/>
          <c:showSerName val="0"/>
          <c:showPercent val="0"/>
          <c:showBubbleSize val="0"/>
        </c:dLbls>
        <c:axId val="178856704"/>
        <c:axId val="178858624"/>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Loop_Modeling!$AR$19:$AR$560</c:f>
              <c:numCache>
                <c:formatCode>General</c:formatCode>
                <c:ptCount val="542"/>
                <c:pt idx="0">
                  <c:v>-0.26076432384766557</c:v>
                </c:pt>
                <c:pt idx="1">
                  <c:v>-0.2668382191285722</c:v>
                </c:pt>
                <c:pt idx="2">
                  <c:v>-0.27305358744755753</c:v>
                </c:pt>
                <c:pt idx="3">
                  <c:v>-0.27941372369461526</c:v>
                </c:pt>
                <c:pt idx="4">
                  <c:v>-0.28592199947609204</c:v>
                </c:pt>
                <c:pt idx="5">
                  <c:v>-0.29258186489938998</c:v>
                </c:pt>
                <c:pt idx="6">
                  <c:v>-0.29939685039907432</c:v>
                </c:pt>
                <c:pt idx="7">
                  <c:v>-0.30637056860534773</c:v>
                </c:pt>
                <c:pt idx="8">
                  <c:v>-0.31350671625586812</c:v>
                </c:pt>
                <c:pt idx="9">
                  <c:v>-0.32080907615188403</c:v>
                </c:pt>
                <c:pt idx="10">
                  <c:v>-0.32828151915973885</c:v>
                </c:pt>
                <c:pt idx="11">
                  <c:v>-0.33592800625876035</c:v>
                </c:pt>
                <c:pt idx="12">
                  <c:v>-0.34375259063661007</c:v>
                </c:pt>
                <c:pt idx="13">
                  <c:v>-0.35175941983317316</c:v>
                </c:pt>
                <c:pt idx="14">
                  <c:v>-0.3599527379341157</c:v>
                </c:pt>
                <c:pt idx="15">
                  <c:v>-0.36833688781523116</c:v>
                </c:pt>
                <c:pt idx="16">
                  <c:v>-0.37691631343873672</c:v>
                </c:pt>
                <c:pt idx="17">
                  <c:v>-0.38569556220273066</c:v>
                </c:pt>
                <c:pt idx="18">
                  <c:v>-0.3946792873449867</c:v>
                </c:pt>
                <c:pt idx="19">
                  <c:v>-0.40387225040235675</c:v>
                </c:pt>
                <c:pt idx="20">
                  <c:v>-0.41327932372703674</c:v>
                </c:pt>
                <c:pt idx="21">
                  <c:v>-0.42290549306098613</c:v>
                </c:pt>
                <c:pt idx="22">
                  <c:v>-0.43275586016981893</c:v>
                </c:pt>
                <c:pt idx="23">
                  <c:v>-0.44283564553755561</c:v>
                </c:pt>
                <c:pt idx="24">
                  <c:v>-0.45315019112353977</c:v>
                </c:pt>
                <c:pt idx="25">
                  <c:v>-0.46370496318302118</c:v>
                </c:pt>
                <c:pt idx="26">
                  <c:v>-0.4745055551527555</c:v>
                </c:pt>
                <c:pt idx="27">
                  <c:v>-0.48555769060316417</c:v>
                </c:pt>
                <c:pt idx="28">
                  <c:v>-0.49686722625850327</c:v>
                </c:pt>
                <c:pt idx="29">
                  <c:v>-0.50844015508660589</c:v>
                </c:pt>
                <c:pt idx="30">
                  <c:v>-0.52028260945973304</c:v>
                </c:pt>
                <c:pt idx="31">
                  <c:v>-0.53240086438817213</c:v>
                </c:pt>
                <c:pt idx="32">
                  <c:v>-0.54480134082814591</c:v>
                </c:pt>
                <c:pt idx="33">
                  <c:v>-0.55749060906578041</c:v>
                </c:pt>
                <c:pt idx="34">
                  <c:v>-0.57047539217874244</c:v>
                </c:pt>
                <c:pt idx="35">
                  <c:v>-0.58376256957733796</c:v>
                </c:pt>
                <c:pt idx="36">
                  <c:v>-0.59735918062681548</c:v>
                </c:pt>
                <c:pt idx="37">
                  <c:v>-0.61127242835265339</c:v>
                </c:pt>
                <c:pt idx="38">
                  <c:v>-0.62550968323073564</c:v>
                </c:pt>
                <c:pt idx="39">
                  <c:v>-0.64007848706416026</c:v>
                </c:pt>
                <c:pt idx="40">
                  <c:v>-0.65498655694875041</c:v>
                </c:pt>
                <c:pt idx="41">
                  <c:v>-0.67024178932908629</c:v>
                </c:pt>
                <c:pt idx="42">
                  <c:v>-0.68585226414708467</c:v>
                </c:pt>
                <c:pt idx="43">
                  <c:v>-0.70182624908511948</c:v>
                </c:pt>
                <c:pt idx="44">
                  <c:v>-0.71817220390581937</c:v>
                </c:pt>
                <c:pt idx="45">
                  <c:v>-0.73489878489052496</c:v>
                </c:pt>
                <c:pt idx="46">
                  <c:v>-0.75201484937856844</c:v>
                </c:pt>
                <c:pt idx="47">
                  <c:v>-0.76952946040961834</c:v>
                </c:pt>
                <c:pt idx="48">
                  <c:v>-0.78745189147117101</c:v>
                </c:pt>
                <c:pt idx="49">
                  <c:v>-0.80579163135354948</c:v>
                </c:pt>
                <c:pt idx="50">
                  <c:v>-0.82455838911456536</c:v>
                </c:pt>
                <c:pt idx="51">
                  <c:v>-0.84376209915630596</c:v>
                </c:pt>
                <c:pt idx="52">
                  <c:v>-0.8634129264162308</c:v>
                </c:pt>
                <c:pt idx="53">
                  <c:v>-0.88352127167515826</c:v>
                </c:pt>
                <c:pt idx="54">
                  <c:v>-0.90409777698437321</c:v>
                </c:pt>
                <c:pt idx="55">
                  <c:v>-0.92515333121449228</c:v>
                </c:pt>
                <c:pt idx="56">
                  <c:v>-0.94669907572839884</c:v>
                </c:pt>
                <c:pt idx="57">
                  <c:v>-0.96874641018102015</c:v>
                </c:pt>
                <c:pt idx="58">
                  <c:v>-0.9913069984482421</c:v>
                </c:pt>
                <c:pt idx="59">
                  <c:v>-1.0143927746877441</c:v>
                </c:pt>
                <c:pt idx="60">
                  <c:v>-1.0380159495343511</c:v>
                </c:pt>
                <c:pt idx="61">
                  <c:v>-1.0621890164324239</c:v>
                </c:pt>
                <c:pt idx="62">
                  <c:v>-1.0869247581082282</c:v>
                </c:pt>
                <c:pt idx="63">
                  <c:v>-1.1122362531846903</c:v>
                </c:pt>
                <c:pt idx="64">
                  <c:v>-1.1381368829415417</c:v>
                </c:pt>
                <c:pt idx="65">
                  <c:v>-1.1646403382234083</c:v>
                </c:pt>
                <c:pt idx="66">
                  <c:v>-1.1917606264987681</c:v>
                </c:pt>
                <c:pt idx="67">
                  <c:v>-1.2195120790724678</c:v>
                </c:pt>
                <c:pt idx="68">
                  <c:v>-1.2479093584546321</c:v>
                </c:pt>
                <c:pt idx="69">
                  <c:v>-1.2769674658888208</c:v>
                </c:pt>
                <c:pt idx="70">
                  <c:v>-1.3067017490422725</c:v>
                </c:pt>
                <c:pt idx="71">
                  <c:v>-1.337127909860899</c:v>
                </c:pt>
                <c:pt idx="72">
                  <c:v>-1.3682620125920875</c:v>
                </c:pt>
                <c:pt idx="73">
                  <c:v>-1.4001204919779864</c:v>
                </c:pt>
                <c:pt idx="74">
                  <c:v>-1.4327201616221283</c:v>
                </c:pt>
                <c:pt idx="75">
                  <c:v>-1.4660782225321378</c:v>
                </c:pt>
                <c:pt idx="76">
                  <c:v>-1.50021227184135</c:v>
                </c:pt>
                <c:pt idx="77">
                  <c:v>-1.5351403117120928</c:v>
                </c:pt>
                <c:pt idx="78">
                  <c:v>-1.5708807584232403</c:v>
                </c:pt>
                <c:pt idx="79">
                  <c:v>-1.6074524516447595</c:v>
                </c:pt>
                <c:pt idx="80">
                  <c:v>-1.6448746639018834</c:v>
                </c:pt>
                <c:pt idx="81">
                  <c:v>-1.6831671102313968</c:v>
                </c:pt>
                <c:pt idx="82">
                  <c:v>-1.7223499580324746</c:v>
                </c:pt>
                <c:pt idx="83">
                  <c:v>-1.7624438371145466</c:v>
                </c:pt>
                <c:pt idx="84">
                  <c:v>-1.8034698499443897</c:v>
                </c:pt>
                <c:pt idx="85">
                  <c:v>-1.845449582094685</c:v>
                </c:pt>
                <c:pt idx="86">
                  <c:v>-1.8884051128961103</c:v>
                </c:pt>
                <c:pt idx="87">
                  <c:v>-1.932359026294675</c:v>
                </c:pt>
                <c:pt idx="88">
                  <c:v>-1.9773344219164362</c:v>
                </c:pt>
                <c:pt idx="89">
                  <c:v>-2.0233549263408452</c:v>
                </c:pt>
                <c:pt idx="90">
                  <c:v>-2.0704447045843661</c:v>
                </c:pt>
                <c:pt idx="91">
                  <c:v>-2.1186284717952986</c:v>
                </c:pt>
                <c:pt idx="92">
                  <c:v>-2.1679315051611132</c:v>
                </c:pt>
                <c:pt idx="93">
                  <c:v>-2.2183796560286138</c:v>
                </c:pt>
                <c:pt idx="94">
                  <c:v>-2.2699993622378045</c:v>
                </c:pt>
                <c:pt idx="95">
                  <c:v>-2.3228176606690845</c:v>
                </c:pt>
                <c:pt idx="96">
                  <c:v>-2.3768622000039379</c:v>
                </c:pt>
                <c:pt idx="97">
                  <c:v>-2.4321612536983857</c:v>
                </c:pt>
                <c:pt idx="98">
                  <c:v>-2.4887437331682678</c:v>
                </c:pt>
                <c:pt idx="99">
                  <c:v>-2.5466392011848118</c:v>
                </c:pt>
                <c:pt idx="100">
                  <c:v>-2.6058778854788449</c:v>
                </c:pt>
                <c:pt idx="101">
                  <c:v>-2.6664906925509371</c:v>
                </c:pt>
                <c:pt idx="102">
                  <c:v>-2.728509221684857</c:v>
                </c:pt>
                <c:pt idx="103">
                  <c:v>-2.7919657791604315</c:v>
                </c:pt>
                <c:pt idx="104">
                  <c:v>-2.8568933926619495</c:v>
                </c:pt>
                <c:pt idx="105">
                  <c:v>-2.9233258258768036</c:v>
                </c:pt>
                <c:pt idx="106">
                  <c:v>-2.9912975932790085</c:v>
                </c:pt>
                <c:pt idx="107">
                  <c:v>-3.0608439750909606</c:v>
                </c:pt>
                <c:pt idx="108">
                  <c:v>-3.1320010324158658</c:v>
                </c:pt>
                <c:pt idx="109">
                  <c:v>-3.2048056225328572</c:v>
                </c:pt>
                <c:pt idx="110">
                  <c:v>-3.2792954143449431</c:v>
                </c:pt>
                <c:pt idx="111">
                  <c:v>-3.3555089039697039</c:v>
                </c:pt>
                <c:pt idx="112">
                  <c:v>-3.4334854304606379</c:v>
                </c:pt>
                <c:pt idx="113">
                  <c:v>-3.5132651916465778</c:v>
                </c:pt>
                <c:pt idx="114">
                  <c:v>-3.5948892600743467</c:v>
                </c:pt>
                <c:pt idx="115">
                  <c:v>-3.6783995990391238</c:v>
                </c:pt>
                <c:pt idx="116">
                  <c:v>-3.7638390786850673</c:v>
                </c:pt>
                <c:pt idx="117">
                  <c:v>-3.8512514921567331</c:v>
                </c:pt>
                <c:pt idx="118">
                  <c:v>-3.9406815717807371</c:v>
                </c:pt>
                <c:pt idx="119">
                  <c:v>-4.0321750052543877</c:v>
                </c:pt>
                <c:pt idx="120">
                  <c:v>-4.1257784518163678</c:v>
                </c:pt>
                <c:pt idx="121">
                  <c:v>-4.2215395583724495</c:v>
                </c:pt>
                <c:pt idx="122">
                  <c:v>-4.3195069755460782</c:v>
                </c:pt>
                <c:pt idx="123">
                  <c:v>-4.4197303736222882</c:v>
                </c:pt>
                <c:pt idx="124">
                  <c:v>-4.5222604583493649</c:v>
                </c:pt>
                <c:pt idx="125">
                  <c:v>-4.6271489865610818</c:v>
                </c:pt>
                <c:pt idx="126">
                  <c:v>-4.7344487815784015</c:v>
                </c:pt>
                <c:pt idx="127">
                  <c:v>-4.8442137483460286</c:v>
                </c:pt>
                <c:pt idx="128">
                  <c:v>-4.9564988882568164</c:v>
                </c:pt>
                <c:pt idx="129">
                  <c:v>-5.0713603136126784</c:v>
                </c:pt>
                <c:pt idx="130">
                  <c:v>-5.1888552616656778</c:v>
                </c:pt>
                <c:pt idx="131">
                  <c:v>-5.3090421081814076</c:v>
                </c:pt>
                <c:pt idx="132">
                  <c:v>-5.4319803804589908</c:v>
                </c:pt>
                <c:pt idx="133">
                  <c:v>-5.5577307697407186</c:v>
                </c:pt>
                <c:pt idx="134">
                  <c:v>-5.6863551429365087</c:v>
                </c:pt>
                <c:pt idx="135">
                  <c:v>-5.8179165535848592</c:v>
                </c:pt>
                <c:pt idx="136">
                  <c:v>-5.9524792519660039</c:v>
                </c:pt>
                <c:pt idx="137">
                  <c:v>-6.0901086942769895</c:v>
                </c:pt>
                <c:pt idx="138">
                  <c:v>-6.2308715507713837</c:v>
                </c:pt>
                <c:pt idx="139">
                  <c:v>-6.3748357127627564</c:v>
                </c:pt>
                <c:pt idx="140">
                  <c:v>-6.52207029837981</c:v>
                </c:pt>
                <c:pt idx="141">
                  <c:v>-6.6726456569580144</c:v>
                </c:pt>
                <c:pt idx="142">
                  <c:v>-6.8266333719426244</c:v>
                </c:pt>
                <c:pt idx="143">
                  <c:v>-6.9841062621706911</c:v>
                </c:pt>
                <c:pt idx="144">
                  <c:v>-7.1451383813925107</c:v>
                </c:pt>
                <c:pt idx="145">
                  <c:v>-7.3098050158824073</c:v>
                </c:pt>
                <c:pt idx="146">
                  <c:v>-7.4781826799813294</c:v>
                </c:pt>
                <c:pt idx="147">
                  <c:v>-7.6503491094046367</c:v>
                </c:pt>
                <c:pt idx="148">
                  <c:v>-7.8263832521371999</c:v>
                </c:pt>
                <c:pt idx="149">
                  <c:v>-8.0063652567304651</c:v>
                </c:pt>
                <c:pt idx="150">
                  <c:v>-8.1903764578027047</c:v>
                </c:pt>
                <c:pt idx="151">
                  <c:v>-8.3784993585373115</c:v>
                </c:pt>
                <c:pt idx="152">
                  <c:v>-8.5708176099582385</c:v>
                </c:pt>
                <c:pt idx="153">
                  <c:v>-8.7674159867559212</c:v>
                </c:pt>
                <c:pt idx="154">
                  <c:v>-8.9683803594208342</c:v>
                </c:pt>
                <c:pt idx="155">
                  <c:v>-9.1737976624342021</c:v>
                </c:pt>
                <c:pt idx="156">
                  <c:v>-9.3837558582519662</c:v>
                </c:pt>
                <c:pt idx="157">
                  <c:v>-9.5983438968071262</c:v>
                </c:pt>
                <c:pt idx="158">
                  <c:v>-9.8176516702444143</c:v>
                </c:pt>
                <c:pt idx="159">
                  <c:v>-10.041769962588914</c:v>
                </c:pt>
                <c:pt idx="160">
                  <c:v>-10.270790394041043</c:v>
                </c:pt>
                <c:pt idx="161">
                  <c:v>-10.504805359576528</c:v>
                </c:pt>
                <c:pt idx="162">
                  <c:v>-10.743907961523975</c:v>
                </c:pt>
                <c:pt idx="163">
                  <c:v>-10.988191935777991</c:v>
                </c:pt>
                <c:pt idx="164">
                  <c:v>-11.237751571301194</c:v>
                </c:pt>
                <c:pt idx="165">
                  <c:v>-11.492681622557432</c:v>
                </c:pt>
                <c:pt idx="166">
                  <c:v>-11.753077214513928</c:v>
                </c:pt>
                <c:pt idx="167">
                  <c:v>-12.019033739842149</c:v>
                </c:pt>
                <c:pt idx="168">
                  <c:v>-12.290646747945159</c:v>
                </c:pt>
                <c:pt idx="169">
                  <c:v>-12.568011825436882</c:v>
                </c:pt>
                <c:pt idx="170">
                  <c:v>-12.851224467696902</c:v>
                </c:pt>
                <c:pt idx="171">
                  <c:v>-13.140379941128687</c:v>
                </c:pt>
                <c:pt idx="172">
                  <c:v>-13.435573135753403</c:v>
                </c:pt>
                <c:pt idx="173">
                  <c:v>-13.736898407779988</c:v>
                </c:pt>
                <c:pt idx="174">
                  <c:v>-14.044449411801127</c:v>
                </c:pt>
                <c:pt idx="175">
                  <c:v>-14.358318922286102</c:v>
                </c:pt>
                <c:pt idx="176">
                  <c:v>-14.678598644052348</c:v>
                </c:pt>
                <c:pt idx="177">
                  <c:v>-15.005379011429822</c:v>
                </c:pt>
                <c:pt idx="178">
                  <c:v>-15.338748975856088</c:v>
                </c:pt>
                <c:pt idx="179">
                  <c:v>-15.678795781675962</c:v>
                </c:pt>
                <c:pt idx="180">
                  <c:v>-16.025604729961142</c:v>
                </c:pt>
                <c:pt idx="181">
                  <c:v>-16.379258930210256</c:v>
                </c:pt>
                <c:pt idx="182">
                  <c:v>-16.739839039843563</c:v>
                </c:pt>
                <c:pt idx="183">
                  <c:v>-17.107422991468528</c:v>
                </c:pt>
                <c:pt idx="184">
                  <c:v>-17.482085707958493</c:v>
                </c:pt>
                <c:pt idx="185">
                  <c:v>-17.863898805463624</c:v>
                </c:pt>
                <c:pt idx="186">
                  <c:v>-18.252930284558225</c:v>
                </c:pt>
                <c:pt idx="187">
                  <c:v>-18.649244209819848</c:v>
                </c:pt>
                <c:pt idx="188">
                  <c:v>-19.052900378236441</c:v>
                </c:pt>
                <c:pt idx="189">
                  <c:v>-19.463953976949437</c:v>
                </c:pt>
                <c:pt idx="190">
                  <c:v>-19.882455230956854</c:v>
                </c:pt>
                <c:pt idx="191">
                  <c:v>-20.308449041528672</c:v>
                </c:pt>
                <c:pt idx="192">
                  <c:v>-20.741974616220379</c:v>
                </c:pt>
                <c:pt idx="193">
                  <c:v>-21.183065091514312</c:v>
                </c:pt>
                <c:pt idx="194">
                  <c:v>-21.631747149268516</c:v>
                </c:pt>
                <c:pt idx="195">
                  <c:v>-22.088040628304906</c:v>
                </c:pt>
                <c:pt idx="196">
                  <c:v>-22.551958132636639</c:v>
                </c:pt>
                <c:pt idx="197">
                  <c:v>-23.023504637990602</c:v>
                </c:pt>
                <c:pt idx="198">
                  <c:v>-23.502677098456907</c:v>
                </c:pt>
                <c:pt idx="199">
                  <c:v>-23.989464055258853</c:v>
                </c:pt>
                <c:pt idx="200">
                  <c:v>-24.483845249808432</c:v>
                </c:pt>
                <c:pt idx="201">
                  <c:v>-24.98579124337169</c:v>
                </c:pt>
                <c:pt idx="202">
                  <c:v>-25.495263045828704</c:v>
                </c:pt>
                <c:pt idx="203">
                  <c:v>-26.01221175616126</c:v>
                </c:pt>
                <c:pt idx="204">
                  <c:v>-26.536578217437153</c:v>
                </c:pt>
                <c:pt idx="205">
                  <c:v>-27.068292689183075</c:v>
                </c:pt>
                <c:pt idx="206">
                  <c:v>-27.60727454014533</c:v>
                </c:pt>
                <c:pt idx="207">
                  <c:v>-28.153431964518369</c:v>
                </c:pt>
                <c:pt idx="208">
                  <c:v>-28.706661724780233</c:v>
                </c:pt>
                <c:pt idx="209">
                  <c:v>-29.266848924312228</c:v>
                </c:pt>
                <c:pt idx="210">
                  <c:v>-29.833866812968225</c:v>
                </c:pt>
                <c:pt idx="211">
                  <c:v>-30.407576628741342</c:v>
                </c:pt>
                <c:pt idx="212">
                  <c:v>-30.987827478592116</c:v>
                </c:pt>
                <c:pt idx="213">
                  <c:v>-31.574456261401888</c:v>
                </c:pt>
                <c:pt idx="214">
                  <c:v>-32.167287635861399</c:v>
                </c:pt>
                <c:pt idx="215">
                  <c:v>-32.766134035912451</c:v>
                </c:pt>
                <c:pt idx="216">
                  <c:v>-33.370795736125544</c:v>
                </c:pt>
                <c:pt idx="217">
                  <c:v>-33.981060969116037</c:v>
                </c:pt>
                <c:pt idx="218">
                  <c:v>-34.596706096779201</c:v>
                </c:pt>
                <c:pt idx="219">
                  <c:v>-35.217495836763355</c:v>
                </c:pt>
                <c:pt idx="220">
                  <c:v>-35.843183545196602</c:v>
                </c:pt>
                <c:pt idx="221">
                  <c:v>-36.473511556246507</c:v>
                </c:pt>
                <c:pt idx="222">
                  <c:v>-37.108211578622608</c:v>
                </c:pt>
                <c:pt idx="223">
                  <c:v>-37.747005148642209</c:v>
                </c:pt>
                <c:pt idx="224">
                  <c:v>-38.389604138955612</c:v>
                </c:pt>
                <c:pt idx="225">
                  <c:v>-39.035711321513467</c:v>
                </c:pt>
                <c:pt idx="226">
                  <c:v>-39.685020982814471</c:v>
                </c:pt>
                <c:pt idx="227">
                  <c:v>-40.337219588941331</c:v>
                </c:pt>
                <c:pt idx="228">
                  <c:v>-40.991986497378079</c:v>
                </c:pt>
                <c:pt idx="229">
                  <c:v>-41.648994712097505</c:v>
                </c:pt>
                <c:pt idx="230">
                  <c:v>-42.307911677917616</c:v>
                </c:pt>
                <c:pt idx="231">
                  <c:v>-42.968400109712256</c:v>
                </c:pt>
                <c:pt idx="232">
                  <c:v>-43.630118851633547</c:v>
                </c:pt>
                <c:pt idx="233">
                  <c:v>-44.292723761183247</c:v>
                </c:pt>
                <c:pt idx="234">
                  <c:v>-44.955868612654463</c:v>
                </c:pt>
                <c:pt idx="235">
                  <c:v>-45.619206014256378</c:v>
                </c:pt>
                <c:pt idx="236">
                  <c:v>-46.282388333060503</c:v>
                </c:pt>
                <c:pt idx="237">
                  <c:v>-46.945068621814599</c:v>
                </c:pt>
                <c:pt idx="238">
                  <c:v>-47.606901541652761</c:v>
                </c:pt>
                <c:pt idx="239">
                  <c:v>-48.267544274777393</c:v>
                </c:pt>
                <c:pt idx="240">
                  <c:v>-48.926657421304277</c:v>
                </c:pt>
                <c:pt idx="241">
                  <c:v>-49.583905874661994</c:v>
                </c:pt>
                <c:pt idx="242">
                  <c:v>-50.238959670175916</c:v>
                </c:pt>
                <c:pt idx="243">
                  <c:v>-50.891494801792817</c:v>
                </c:pt>
                <c:pt idx="244">
                  <c:v>-51.541194002263985</c:v>
                </c:pt>
                <c:pt idx="245">
                  <c:v>-52.187747482518695</c:v>
                </c:pt>
                <c:pt idx="246">
                  <c:v>-52.830853626417571</c:v>
                </c:pt>
                <c:pt idx="247">
                  <c:v>-53.470219637563588</c:v>
                </c:pt>
                <c:pt idx="248">
                  <c:v>-54.105562135355704</c:v>
                </c:pt>
                <c:pt idx="249">
                  <c:v>-54.736607697999801</c:v>
                </c:pt>
                <c:pt idx="250">
                  <c:v>-55.363093350720668</c:v>
                </c:pt>
                <c:pt idx="251">
                  <c:v>-55.9847669979576</c:v>
                </c:pt>
                <c:pt idx="252">
                  <c:v>-56.601387798840854</c:v>
                </c:pt>
                <c:pt idx="253">
                  <c:v>-57.212726485760903</c:v>
                </c:pt>
                <c:pt idx="254">
                  <c:v>-57.818565626324691</c:v>
                </c:pt>
                <c:pt idx="255">
                  <c:v>-58.418699829444684</c:v>
                </c:pt>
                <c:pt idx="256">
                  <c:v>-59.012935896740672</c:v>
                </c:pt>
                <c:pt idx="257">
                  <c:v>-59.601092920816889</c:v>
                </c:pt>
                <c:pt idx="258">
                  <c:v>-60.183002332315574</c:v>
                </c:pt>
                <c:pt idx="259">
                  <c:v>-60.758507897973367</c:v>
                </c:pt>
                <c:pt idx="260">
                  <c:v>-61.327465672153124</c:v>
                </c:pt>
                <c:pt idx="261">
                  <c:v>-61.889743904544112</c:v>
                </c:pt>
                <c:pt idx="262">
                  <c:v>-62.445222906915802</c:v>
                </c:pt>
                <c:pt idx="263">
                  <c:v>-62.993794881921112</c:v>
                </c:pt>
                <c:pt idx="264">
                  <c:v>-63.535363717059617</c:v>
                </c:pt>
                <c:pt idx="265">
                  <c:v>-64.069844746951603</c:v>
                </c:pt>
                <c:pt idx="266">
                  <c:v>-64.597164487106483</c:v>
                </c:pt>
                <c:pt idx="267">
                  <c:v>-65.117260342344224</c:v>
                </c:pt>
                <c:pt idx="268">
                  <c:v>-65.630080292994933</c:v>
                </c:pt>
                <c:pt idx="269">
                  <c:v>-66.135582561927635</c:v>
                </c:pt>
                <c:pt idx="270">
                  <c:v>-66.633735265369907</c:v>
                </c:pt>
                <c:pt idx="271">
                  <c:v>-67.124516050365244</c:v>
                </c:pt>
                <c:pt idx="272">
                  <c:v>-67.607911721587612</c:v>
                </c:pt>
                <c:pt idx="273">
                  <c:v>-68.083917860093266</c:v>
                </c:pt>
                <c:pt idx="274">
                  <c:v>-68.552538436431746</c:v>
                </c:pt>
                <c:pt idx="275">
                  <c:v>-69.013785420383712</c:v>
                </c:pt>
                <c:pt idx="276">
                  <c:v>-69.467678389424819</c:v>
                </c:pt>
                <c:pt idx="277">
                  <c:v>-69.91424413784857</c:v>
                </c:pt>
                <c:pt idx="278">
                  <c:v>-70.353516288313457</c:v>
                </c:pt>
                <c:pt idx="279">
                  <c:v>-70.785534907411133</c:v>
                </c:pt>
                <c:pt idx="280">
                  <c:v>-71.210346126691206</c:v>
                </c:pt>
                <c:pt idx="281">
                  <c:v>-71.62800177041801</c:v>
                </c:pt>
                <c:pt idx="282">
                  <c:v>-72.038558991179727</c:v>
                </c:pt>
                <c:pt idx="283">
                  <c:v>-72.442079914326172</c:v>
                </c:pt>
                <c:pt idx="284">
                  <c:v>-72.838631292070048</c:v>
                </c:pt>
                <c:pt idx="285">
                  <c:v>-73.228284167953788</c:v>
                </c:pt>
                <c:pt idx="286">
                  <c:v>-73.611113552263035</c:v>
                </c:pt>
                <c:pt idx="287">
                  <c:v>-73.987198108850933</c:v>
                </c:pt>
                <c:pt idx="288">
                  <c:v>-74.356619853731473</c:v>
                </c:pt>
                <c:pt idx="289">
                  <c:v>-74.719463865702281</c:v>
                </c:pt>
                <c:pt idx="290">
                  <c:v>-75.075818009168657</c:v>
                </c:pt>
                <c:pt idx="291">
                  <c:v>-75.425772669258095</c:v>
                </c:pt>
                <c:pt idx="292">
                  <c:v>-75.769420499243822</c:v>
                </c:pt>
                <c:pt idx="293">
                  <c:v>-76.10685618022778</c:v>
                </c:pt>
                <c:pt idx="294">
                  <c:v>-76.43817619298008</c:v>
                </c:pt>
                <c:pt idx="295">
                  <c:v>-76.763478601774395</c:v>
                </c:pt>
                <c:pt idx="296">
                  <c:v>-77.082862850023261</c:v>
                </c:pt>
                <c:pt idx="297">
                  <c:v>-77.396429567470733</c:v>
                </c:pt>
                <c:pt idx="298">
                  <c:v>-77.704280388673155</c:v>
                </c:pt>
                <c:pt idx="299">
                  <c:v>-78.006517782468492</c:v>
                </c:pt>
                <c:pt idx="300">
                  <c:v>-78.303244892115544</c:v>
                </c:pt>
                <c:pt idx="301">
                  <c:v>-78.594565385762309</c:v>
                </c:pt>
                <c:pt idx="302">
                  <c:v>-78.880583316892867</c:v>
                </c:pt>
                <c:pt idx="303">
                  <c:v>-79.161402994389974</c:v>
                </c:pt>
                <c:pt idx="304">
                  <c:v>-79.437128861844229</c:v>
                </c:pt>
                <c:pt idx="305">
                  <c:v>-79.707865385736028</c:v>
                </c:pt>
                <c:pt idx="306">
                  <c:v>-79.973716952115922</c:v>
                </c:pt>
                <c:pt idx="307">
                  <c:v>-80.234787771409557</c:v>
                </c:pt>
                <c:pt idx="308">
                  <c:v>-80.491181790976157</c:v>
                </c:pt>
                <c:pt idx="309">
                  <c:v>-80.743002615053442</c:v>
                </c:pt>
                <c:pt idx="310">
                  <c:v>-80.990353431729019</c:v>
                </c:pt>
                <c:pt idx="311">
                  <c:v>-81.233336946584956</c:v>
                </c:pt>
                <c:pt idx="312">
                  <c:v>-81.472055322669533</c:v>
                </c:pt>
                <c:pt idx="313">
                  <c:v>-81.706610126461882</c:v>
                </c:pt>
                <c:pt idx="314">
                  <c:v>-81.937102279501829</c:v>
                </c:pt>
                <c:pt idx="315">
                  <c:v>-82.163632015370254</c:v>
                </c:pt>
                <c:pt idx="316">
                  <c:v>-82.386298841714066</c:v>
                </c:pt>
                <c:pt idx="317">
                  <c:v>-82.605201507022912</c:v>
                </c:pt>
                <c:pt idx="318">
                  <c:v>-82.820437971873744</c:v>
                </c:pt>
                <c:pt idx="319">
                  <c:v>-83.032105384372215</c:v>
                </c:pt>
                <c:pt idx="320">
                  <c:v>-83.240300059530767</c:v>
                </c:pt>
                <c:pt idx="321">
                  <c:v>-83.445117462333968</c:v>
                </c:pt>
                <c:pt idx="322">
                  <c:v>-83.646652194253164</c:v>
                </c:pt>
                <c:pt idx="323">
                  <c:v>-83.844997982983472</c:v>
                </c:pt>
                <c:pt idx="324">
                  <c:v>-84.040247675186663</c:v>
                </c:pt>
                <c:pt idx="325">
                  <c:v>-84.232493232033079</c:v>
                </c:pt>
                <c:pt idx="326">
                  <c:v>-84.421825727346928</c:v>
                </c:pt>
                <c:pt idx="327">
                  <c:v>-84.608335348168879</c:v>
                </c:pt>
                <c:pt idx="328">
                  <c:v>-84.792111397557662</c:v>
                </c:pt>
                <c:pt idx="329">
                  <c:v>-84.973242299464687</c:v>
                </c:pt>
                <c:pt idx="330">
                  <c:v>-85.151815605519161</c:v>
                </c:pt>
                <c:pt idx="331">
                  <c:v>-85.327918003575917</c:v>
                </c:pt>
                <c:pt idx="332">
                  <c:v>-85.501635327879427</c:v>
                </c:pt>
                <c:pt idx="333">
                  <c:v>-85.673052570710695</c:v>
                </c:pt>
                <c:pt idx="334">
                  <c:v>-85.842253895385724</c:v>
                </c:pt>
                <c:pt idx="335">
                  <c:v>-86.009322650485203</c:v>
                </c:pt>
                <c:pt idx="336">
                  <c:v>-86.174341385197806</c:v>
                </c:pt>
                <c:pt idx="337">
                  <c:v>-86.33739186566811</c:v>
                </c:pt>
                <c:pt idx="338">
                  <c:v>-86.498555092243649</c:v>
                </c:pt>
                <c:pt idx="339">
                  <c:v>-86.657911317521098</c:v>
                </c:pt>
                <c:pt idx="340">
                  <c:v>-86.815540065097565</c:v>
                </c:pt>
                <c:pt idx="341">
                  <c:v>-86.971520148935397</c:v>
                </c:pt>
                <c:pt idx="342">
                  <c:v>-87.125929693253951</c:v>
                </c:pt>
                <c:pt idx="343">
                  <c:v>-87.278846152865029</c:v>
                </c:pt>
                <c:pt idx="344">
                  <c:v>-87.430346333872421</c:v>
                </c:pt>
                <c:pt idx="345">
                  <c:v>-87.580506414657592</c:v>
                </c:pt>
                <c:pt idx="346">
                  <c:v>-87.729401967077692</c:v>
                </c:pt>
                <c:pt idx="347">
                  <c:v>-87.877107977802495</c:v>
                </c:pt>
                <c:pt idx="348">
                  <c:v>-88.023698869720903</c:v>
                </c:pt>
                <c:pt idx="349">
                  <c:v>-88.169248523346411</c:v>
                </c:pt>
                <c:pt idx="350">
                  <c:v>-88.313830298154457</c:v>
                </c:pt>
                <c:pt idx="351">
                  <c:v>-88.457517053784414</c:v>
                </c:pt>
                <c:pt idx="352">
                  <c:v>-88.600381171039118</c:v>
                </c:pt>
                <c:pt idx="353">
                  <c:v>-88.742494572615698</c:v>
                </c:pt>
                <c:pt idx="354">
                  <c:v>-88.883928743501642</c:v>
                </c:pt>
                <c:pt idx="355">
                  <c:v>-89.024754750967702</c:v>
                </c:pt>
                <c:pt idx="356">
                  <c:v>-89.165043264091111</c:v>
                </c:pt>
                <c:pt idx="357">
                  <c:v>-89.304864572739348</c:v>
                </c:pt>
                <c:pt idx="358">
                  <c:v>-89.444288605944251</c:v>
                </c:pt>
                <c:pt idx="359">
                  <c:v>-89.583384949594304</c:v>
                </c:pt>
                <c:pt idx="360">
                  <c:v>-89.722222863371101</c:v>
                </c:pt>
                <c:pt idx="361">
                  <c:v>-89.860871296852494</c:v>
                </c:pt>
                <c:pt idx="362">
                  <c:v>-89.999398904704336</c:v>
                </c:pt>
                <c:pt idx="363">
                  <c:v>-90.137874060877152</c:v>
                </c:pt>
                <c:pt idx="364">
                  <c:v>-90.276364871722407</c:v>
                </c:pt>
                <c:pt idx="365">
                  <c:v>-90.414939187938799</c:v>
                </c:pt>
                <c:pt idx="366">
                  <c:v>-90.553664615254803</c:v>
                </c:pt>
                <c:pt idx="367">
                  <c:v>-90.692608523748987</c:v>
                </c:pt>
                <c:pt idx="368">
                  <c:v>-90.831838055705816</c:v>
                </c:pt>
                <c:pt idx="369">
                  <c:v>-90.971420131898739</c:v>
                </c:pt>
                <c:pt idx="370">
                  <c:v>-91.11142145618642</c:v>
                </c:pt>
                <c:pt idx="371">
                  <c:v>-91.25190851830412</c:v>
                </c:pt>
                <c:pt idx="372">
                  <c:v>-91.392947594723736</c:v>
                </c:pt>
                <c:pt idx="373">
                  <c:v>-91.534604747451027</c:v>
                </c:pt>
                <c:pt idx="374">
                  <c:v>-91.67694582062164</c:v>
                </c:pt>
                <c:pt idx="375">
                  <c:v>-91.820036434749653</c:v>
                </c:pt>
                <c:pt idx="376">
                  <c:v>-91.963941978475418</c:v>
                </c:pt>
                <c:pt idx="377">
                  <c:v>-92.10872759765239</c:v>
                </c:pt>
                <c:pt idx="378">
                  <c:v>-92.254458181603098</c:v>
                </c:pt>
                <c:pt idx="379">
                  <c:v>-92.401198346367579</c:v>
                </c:pt>
                <c:pt idx="380">
                  <c:v>-92.549012414758138</c:v>
                </c:pt>
                <c:pt idx="381">
                  <c:v>-92.697964393026496</c:v>
                </c:pt>
                <c:pt idx="382">
                  <c:v>-92.848117943939428</c:v>
                </c:pt>
                <c:pt idx="383">
                  <c:v>-92.999536356051109</c:v>
                </c:pt>
                <c:pt idx="384">
                  <c:v>-93.152282508950435</c:v>
                </c:pt>
                <c:pt idx="385">
                  <c:v>-93.306418834253492</c:v>
                </c:pt>
                <c:pt idx="386">
                  <c:v>-93.46200727210099</c:v>
                </c:pt>
                <c:pt idx="387">
                  <c:v>-93.619109222913394</c:v>
                </c:pt>
                <c:pt idx="388">
                  <c:v>-93.777785494146556</c:v>
                </c:pt>
                <c:pt idx="389">
                  <c:v>-93.938096241782745</c:v>
                </c:pt>
                <c:pt idx="390">
                  <c:v>-94.100100906283799</c:v>
                </c:pt>
                <c:pt idx="391">
                  <c:v>-94.263858142728097</c:v>
                </c:pt>
                <c:pt idx="392">
                  <c:v>-94.429425744841581</c:v>
                </c:pt>
                <c:pt idx="393">
                  <c:v>-94.596860562634049</c:v>
                </c:pt>
                <c:pt idx="394">
                  <c:v>-94.766218413341207</c:v>
                </c:pt>
                <c:pt idx="395">
                  <c:v>-94.937553985373896</c:v>
                </c:pt>
                <c:pt idx="396">
                  <c:v>-95.110920734971401</c:v>
                </c:pt>
                <c:pt idx="397">
                  <c:v>-95.286370775257893</c:v>
                </c:pt>
                <c:pt idx="398">
                  <c:v>-95.463954757400117</c:v>
                </c:pt>
                <c:pt idx="399">
                  <c:v>-95.643721743571433</c:v>
                </c:pt>
                <c:pt idx="400">
                  <c:v>-95.825719071431323</c:v>
                </c:pt>
                <c:pt idx="401">
                  <c:v>-96.009992209840675</c:v>
                </c:pt>
                <c:pt idx="402">
                  <c:v>-96.196584605544558</c:v>
                </c:pt>
                <c:pt idx="403">
                  <c:v>-96.385537520571035</c:v>
                </c:pt>
                <c:pt idx="404">
                  <c:v>-96.576889860114036</c:v>
                </c:pt>
                <c:pt idx="405">
                  <c:v>-96.7706779906934</c:v>
                </c:pt>
                <c:pt idx="406">
                  <c:v>-96.966935548414199</c:v>
                </c:pt>
                <c:pt idx="407">
                  <c:v>-97.165693237179312</c:v>
                </c:pt>
                <c:pt idx="408">
                  <c:v>-97.366978616754182</c:v>
                </c:pt>
                <c:pt idx="409">
                  <c:v>-97.570815880623101</c:v>
                </c:pt>
                <c:pt idx="410">
                  <c:v>-97.77722562363104</c:v>
                </c:pt>
                <c:pt idx="411">
                  <c:v>-97.986224599466183</c:v>
                </c:pt>
                <c:pt idx="412">
                  <c:v>-98.197825468099794</c:v>
                </c:pt>
                <c:pt idx="413">
                  <c:v>-98.412036533379734</c:v>
                </c:pt>
                <c:pt idx="414">
                  <c:v>-98.62886147105182</c:v>
                </c:pt>
                <c:pt idx="415">
                  <c:v>-98.848299047575594</c:v>
                </c:pt>
                <c:pt idx="416">
                  <c:v>-99.070342830201227</c:v>
                </c:pt>
                <c:pt idx="417">
                  <c:v>-99.294980888878584</c:v>
                </c:pt>
                <c:pt idx="418">
                  <c:v>-99.522195490689754</c:v>
                </c:pt>
                <c:pt idx="419">
                  <c:v>-99.751962787620215</c:v>
                </c:pt>
                <c:pt idx="420">
                  <c:v>-99.984252498616769</c:v>
                </c:pt>
                <c:pt idx="421">
                  <c:v>-100.21902758702522</c:v>
                </c:pt>
                <c:pt idx="422">
                  <c:v>-100.45624393464904</c:v>
                </c:pt>
                <c:pt idx="423">
                  <c:v>-100.6958500138285</c:v>
                </c:pt>
                <c:pt idx="424">
                  <c:v>-100.93778655910484</c:v>
                </c:pt>
                <c:pt idx="425">
                  <c:v>-101.18198624020199</c:v>
                </c:pt>
                <c:pt idx="426">
                  <c:v>-101.42837333823311</c:v>
                </c:pt>
                <c:pt idx="427">
                  <c:v>-101.67686342721487</c:v>
                </c:pt>
                <c:pt idx="428">
                  <c:v>-101.92736306315005</c:v>
                </c:pt>
                <c:pt idx="429">
                  <c:v>-102.17976948311762</c:v>
                </c:pt>
                <c:pt idx="430">
                  <c:v>-102.43397031697374</c:v>
                </c:pt>
                <c:pt idx="431">
                  <c:v>-102.68984331444879</c:v>
                </c:pt>
                <c:pt idx="432">
                  <c:v>-102.94725609056484</c:v>
                </c:pt>
                <c:pt idx="433">
                  <c:v>-103.20606589246364</c:v>
                </c:pt>
                <c:pt idx="434">
                  <c:v>-103.46611939084954</c:v>
                </c:pt>
                <c:pt idx="435">
                  <c:v>-103.72725249937676</c:v>
                </c:pt>
                <c:pt idx="436">
                  <c:v>-103.98929022539326</c:v>
                </c:pt>
                <c:pt idx="437">
                  <c:v>-104.25204655552356</c:v>
                </c:pt>
                <c:pt idx="438">
                  <c:v>-104.51532437960671</c:v>
                </c:pt>
                <c:pt idx="439">
                  <c:v>-104.77891545650583</c:v>
                </c:pt>
                <c:pt idx="440">
                  <c:v>-105.04260042527817</c:v>
                </c:pt>
                <c:pt idx="441">
                  <c:v>-105.30614886511353</c:v>
                </c:pt>
                <c:pt idx="442">
                  <c:v>-105.56931940733919</c:v>
                </c:pt>
                <c:pt idx="443">
                  <c:v>-105.83185990262226</c:v>
                </c:pt>
                <c:pt idx="444">
                  <c:v>-106.09350764629491</c:v>
                </c:pt>
                <c:pt idx="445">
                  <c:v>-106.3539896644683</c:v>
                </c:pt>
                <c:pt idx="446">
                  <c:v>-106.61302306328948</c:v>
                </c:pt>
                <c:pt idx="447">
                  <c:v>-106.87031544334459</c:v>
                </c:pt>
                <c:pt idx="448">
                  <c:v>-107.12556538079338</c:v>
                </c:pt>
                <c:pt idx="449">
                  <c:v>-107.37846297637508</c:v>
                </c:pt>
                <c:pt idx="450">
                  <c:v>-107.62869047291707</c:v>
                </c:pt>
                <c:pt idx="451">
                  <c:v>-107.8759229414398</c:v>
                </c:pt>
                <c:pt idx="452">
                  <c:v>-108.11982903537066</c:v>
                </c:pt>
                <c:pt idx="453">
                  <c:v>-108.36007181176859</c:v>
                </c:pt>
                <c:pt idx="454">
                  <c:v>-108.59630961782599</c:v>
                </c:pt>
                <c:pt idx="455">
                  <c:v>-108.82819704025812</c:v>
                </c:pt>
                <c:pt idx="456">
                  <c:v>-109.05538591452793</c:v>
                </c:pt>
                <c:pt idx="457">
                  <c:v>-109.27752639018583</c:v>
                </c:pt>
                <c:pt idx="458">
                  <c:v>-109.49426804794581</c:v>
                </c:pt>
                <c:pt idx="459">
                  <c:v>-109.70526106347467</c:v>
                </c:pt>
                <c:pt idx="460">
                  <c:v>-109.91015741225802</c:v>
                </c:pt>
                <c:pt idx="461">
                  <c:v>-110.10861210931297</c:v>
                </c:pt>
                <c:pt idx="462">
                  <c:v>-110.30028447699402</c:v>
                </c:pt>
                <c:pt idx="463">
                  <c:v>-110.48483943363486</c:v>
                </c:pt>
                <c:pt idx="464">
                  <c:v>-110.6619487953523</c:v>
                </c:pt>
                <c:pt idx="465">
                  <c:v>-110.83129258297423</c:v>
                </c:pt>
                <c:pt idx="466">
                  <c:v>-110.99256032576164</c:v>
                </c:pt>
                <c:pt idx="467">
                  <c:v>-111.1454523533917</c:v>
                </c:pt>
                <c:pt idx="468">
                  <c:v>-111.28968106753564</c:v>
                </c:pt>
                <c:pt idx="469">
                  <c:v>-111.42497218431961</c:v>
                </c:pt>
                <c:pt idx="470">
                  <c:v>-111.55106593900769</c:v>
                </c:pt>
                <c:pt idx="471">
                  <c:v>-111.66771824435902</c:v>
                </c:pt>
                <c:pt idx="472">
                  <c:v>-111.77470179434572</c:v>
                </c:pt>
                <c:pt idx="473">
                  <c:v>-111.87180710519145</c:v>
                </c:pt>
                <c:pt idx="474">
                  <c:v>-111.95884348608971</c:v>
                </c:pt>
                <c:pt idx="475">
                  <c:v>-112.03563993239904</c:v>
                </c:pt>
                <c:pt idx="476">
                  <c:v>-112.10204593464742</c:v>
                </c:pt>
                <c:pt idx="477">
                  <c:v>-112.15793219726012</c:v>
                </c:pt>
                <c:pt idx="478">
                  <c:v>-112.20319126158621</c:v>
                </c:pt>
                <c:pt idx="479">
                  <c:v>-112.23773802849686</c:v>
                </c:pt>
                <c:pt idx="480">
                  <c:v>-112.26151017657298</c:v>
                </c:pt>
                <c:pt idx="481">
                  <c:v>-112.27446847270095</c:v>
                </c:pt>
                <c:pt idx="482">
                  <c:v>-112.27659697270025</c:v>
                </c:pt>
                <c:pt idx="483">
                  <c:v>-112.26790311045632</c:v>
                </c:pt>
                <c:pt idx="484">
                  <c:v>-112.24841767488121</c:v>
                </c:pt>
                <c:pt idx="485">
                  <c:v>-112.21819467489127</c:v>
                </c:pt>
                <c:pt idx="486">
                  <c:v>-112.17731109344987</c:v>
                </c:pt>
                <c:pt idx="487">
                  <c:v>-112.12586653257111</c:v>
                </c:pt>
                <c:pt idx="488">
                  <c:v>-112.06398275201414</c:v>
                </c:pt>
                <c:pt idx="489">
                  <c:v>-111.99180310520545</c:v>
                </c:pt>
                <c:pt idx="490">
                  <c:v>-111.90949187669455</c:v>
                </c:pt>
                <c:pt idx="491">
                  <c:v>-111.81723352618407</c:v>
                </c:pt>
                <c:pt idx="492">
                  <c:v>-111.71523184485029</c:v>
                </c:pt>
                <c:pt idx="493">
                  <c:v>-111.603709030305</c:v>
                </c:pt>
                <c:pt idx="494">
                  <c:v>-111.48290468710188</c:v>
                </c:pt>
                <c:pt idx="495">
                  <c:v>-111.35307476019535</c:v>
                </c:pt>
                <c:pt idx="496">
                  <c:v>-111.21449040917544</c:v>
                </c:pt>
                <c:pt idx="497">
                  <c:v>-111.06743683144653</c:v>
                </c:pt>
                <c:pt idx="498">
                  <c:v>-110.91221204277872</c:v>
                </c:pt>
                <c:pt idx="499">
                  <c:v>-110.74912562384048</c:v>
                </c:pt>
                <c:pt idx="500">
                  <c:v>-110.57849744140601</c:v>
                </c:pt>
                <c:pt idx="501">
                  <c:v>-110.40065635294388</c:v>
                </c:pt>
                <c:pt idx="502">
                  <c:v>-110.21593890320345</c:v>
                </c:pt>
                <c:pt idx="503">
                  <c:v>-110.02468802125978</c:v>
                </c:pt>
                <c:pt idx="504">
                  <c:v>-109.82725172622764</c:v>
                </c:pt>
                <c:pt idx="505">
                  <c:v>-109.62398184953736</c:v>
                </c:pt>
                <c:pt idx="506">
                  <c:v>-109.41523278127475</c:v>
                </c:pt>
                <c:pt idx="507">
                  <c:v>-109.20136024763147</c:v>
                </c:pt>
                <c:pt idx="508">
                  <c:v>-108.98272012600192</c:v>
                </c:pt>
                <c:pt idx="509">
                  <c:v>-108.75966730370459</c:v>
                </c:pt>
                <c:pt idx="510">
                  <c:v>-108.53255458570602</c:v>
                </c:pt>
                <c:pt idx="511">
                  <c:v>-108.30173165609182</c:v>
                </c:pt>
                <c:pt idx="512">
                  <c:v>-108.06754409738676</c:v>
                </c:pt>
                <c:pt idx="513">
                  <c:v>-107.83033247115115</c:v>
                </c:pt>
                <c:pt idx="514">
                  <c:v>-107.59043146262572</c:v>
                </c:pt>
                <c:pt idx="515">
                  <c:v>-107.34816909152502</c:v>
                </c:pt>
                <c:pt idx="516">
                  <c:v>-107.10386599044027</c:v>
                </c:pt>
                <c:pt idx="517">
                  <c:v>-106.85783475168252</c:v>
                </c:pt>
                <c:pt idx="518">
                  <c:v>-106.61037934279969</c:v>
                </c:pt>
                <c:pt idx="519">
                  <c:v>-106.36179459043665</c:v>
                </c:pt>
                <c:pt idx="520">
                  <c:v>-106.11236573168529</c:v>
                </c:pt>
                <c:pt idx="521">
                  <c:v>-105.86236803158693</c:v>
                </c:pt>
                <c:pt idx="522">
                  <c:v>-105.61206646501547</c:v>
                </c:pt>
                <c:pt idx="523">
                  <c:v>-105.3617154607845</c:v>
                </c:pt>
                <c:pt idx="524">
                  <c:v>-105.11155870548208</c:v>
                </c:pt>
                <c:pt idx="525">
                  <c:v>-104.86182900425196</c:v>
                </c:pt>
                <c:pt idx="526">
                  <c:v>-104.61274819550451</c:v>
                </c:pt>
                <c:pt idx="527">
                  <c:v>-104.36452711634571</c:v>
                </c:pt>
                <c:pt idx="528">
                  <c:v>-104.11736561538096</c:v>
                </c:pt>
                <c:pt idx="529">
                  <c:v>-103.8714526094405</c:v>
                </c:pt>
                <c:pt idx="530">
                  <c:v>-103.62696618073198</c:v>
                </c:pt>
                <c:pt idx="531">
                  <c:v>-103.384073710892</c:v>
                </c:pt>
                <c:pt idx="532">
                  <c:v>-103.14293204844004</c:v>
                </c:pt>
                <c:pt idx="533">
                  <c:v>-102.9036877061792</c:v>
                </c:pt>
                <c:pt idx="534">
                  <c:v>-102.66647708516602</c:v>
                </c:pt>
                <c:pt idx="535">
                  <c:v>-102.43142672197466</c:v>
                </c:pt>
                <c:pt idx="536">
                  <c:v>-102.19865355610041</c:v>
                </c:pt>
                <c:pt idx="537">
                  <c:v>-101.96826521448455</c:v>
                </c:pt>
                <c:pt idx="538">
                  <c:v>-101.74036031029634</c:v>
                </c:pt>
                <c:pt idx="539">
                  <c:v>-101.5150287532711</c:v>
                </c:pt>
                <c:pt idx="540">
                  <c:v>-101.29235206906834</c:v>
                </c:pt>
                <c:pt idx="541">
                  <c:v>-101.07240372529301</c:v>
                </c:pt>
              </c:numCache>
            </c:numRef>
          </c:yVal>
          <c:smooth val="1"/>
          <c:extLst>
            <c:ext xmlns:c16="http://schemas.microsoft.com/office/drawing/2014/chart" uri="{C3380CC4-5D6E-409C-BE32-E72D297353CC}">
              <c16:uniqueId val="{00000001-FF87-4A59-8B7B-E6A4AF1FD0DC}"/>
            </c:ext>
          </c:extLst>
        </c:ser>
        <c:dLbls>
          <c:showLegendKey val="0"/>
          <c:showVal val="0"/>
          <c:showCatName val="0"/>
          <c:showSerName val="0"/>
          <c:showPercent val="0"/>
          <c:showBubbleSize val="0"/>
        </c:dLbls>
        <c:axId val="178862336"/>
        <c:axId val="178860800"/>
      </c:scatterChart>
      <c:valAx>
        <c:axId val="17885670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8858624"/>
        <c:crosses val="autoZero"/>
        <c:crossBetween val="midCat"/>
      </c:valAx>
      <c:valAx>
        <c:axId val="17885862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78856704"/>
        <c:crosses val="autoZero"/>
        <c:crossBetween val="midCat"/>
        <c:majorUnit val="20"/>
        <c:minorUnit val="10"/>
      </c:valAx>
      <c:valAx>
        <c:axId val="178860800"/>
        <c:scaling>
          <c:orientation val="minMax"/>
          <c:max val="180"/>
          <c:min val="-180"/>
        </c:scaling>
        <c:delete val="0"/>
        <c:axPos val="r"/>
        <c:numFmt formatCode="General" sourceLinked="1"/>
        <c:majorTickMark val="out"/>
        <c:minorTickMark val="none"/>
        <c:tickLblPos val="nextTo"/>
        <c:crossAx val="178862336"/>
        <c:crosses val="max"/>
        <c:crossBetween val="midCat"/>
        <c:majorUnit val="90"/>
        <c:minorUnit val="45"/>
      </c:valAx>
      <c:valAx>
        <c:axId val="178862336"/>
        <c:scaling>
          <c:logBase val="10"/>
          <c:orientation val="minMax"/>
        </c:scaling>
        <c:delete val="1"/>
        <c:axPos val="b"/>
        <c:numFmt formatCode="0.00" sourceLinked="1"/>
        <c:majorTickMark val="out"/>
        <c:minorTickMark val="none"/>
        <c:tickLblPos val="nextTo"/>
        <c:crossAx val="178860800"/>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DCM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Loop_Modeling!$BJ$19:$BJ$560</c:f>
              <c:numCache>
                <c:formatCode>0.000</c:formatCode>
                <c:ptCount val="542"/>
                <c:pt idx="0">
                  <c:v>79.498233038239562</c:v>
                </c:pt>
                <c:pt idx="1">
                  <c:v>79.298230671234094</c:v>
                </c:pt>
                <c:pt idx="2">
                  <c:v>79.098228192678647</c:v>
                </c:pt>
                <c:pt idx="3">
                  <c:v>78.89822559731634</c:v>
                </c:pt>
                <c:pt idx="4">
                  <c:v>78.6982228796426</c:v>
                </c:pt>
                <c:pt idx="5">
                  <c:v>78.49822003389356</c:v>
                </c:pt>
                <c:pt idx="6">
                  <c:v>78.298217054033628</c:v>
                </c:pt>
                <c:pt idx="7">
                  <c:v>78.098213933742755</c:v>
                </c:pt>
                <c:pt idx="8">
                  <c:v>77.898210666403344</c:v>
                </c:pt>
                <c:pt idx="9">
                  <c:v>77.698207245085669</c:v>
                </c:pt>
                <c:pt idx="10">
                  <c:v>77.498203662533612</c:v>
                </c:pt>
                <c:pt idx="11">
                  <c:v>77.298199911149212</c:v>
                </c:pt>
                <c:pt idx="12">
                  <c:v>77.098195982976435</c:v>
                </c:pt>
                <c:pt idx="13">
                  <c:v>76.898191869684283</c:v>
                </c:pt>
                <c:pt idx="14">
                  <c:v>76.69818756254935</c:v>
                </c:pt>
                <c:pt idx="15">
                  <c:v>76.498183052437099</c:v>
                </c:pt>
                <c:pt idx="16">
                  <c:v>76.298178329782672</c:v>
                </c:pt>
                <c:pt idx="17">
                  <c:v>76.098173384570487</c:v>
                </c:pt>
                <c:pt idx="18">
                  <c:v>75.898168206313088</c:v>
                </c:pt>
                <c:pt idx="19">
                  <c:v>75.698162784028895</c:v>
                </c:pt>
                <c:pt idx="20">
                  <c:v>75.498157106218798</c:v>
                </c:pt>
                <c:pt idx="21">
                  <c:v>75.298151160842195</c:v>
                </c:pt>
                <c:pt idx="22">
                  <c:v>75.098144935290918</c:v>
                </c:pt>
                <c:pt idx="23">
                  <c:v>74.898138416362954</c:v>
                </c:pt>
                <c:pt idx="24">
                  <c:v>74.698131590234198</c:v>
                </c:pt>
                <c:pt idx="25">
                  <c:v>74.4981244424294</c:v>
                </c:pt>
                <c:pt idx="26">
                  <c:v>74.298116957791194</c:v>
                </c:pt>
                <c:pt idx="27">
                  <c:v>74.098109120448129</c:v>
                </c:pt>
                <c:pt idx="28">
                  <c:v>73.898100913781377</c:v>
                </c:pt>
                <c:pt idx="29">
                  <c:v>73.698092320388781</c:v>
                </c:pt>
                <c:pt idx="30">
                  <c:v>73.498083322048842</c:v>
                </c:pt>
                <c:pt idx="31">
                  <c:v>73.29807389968127</c:v>
                </c:pt>
                <c:pt idx="32">
                  <c:v>73.098064033307267</c:v>
                </c:pt>
                <c:pt idx="33">
                  <c:v>72.898053702006919</c:v>
                </c:pt>
                <c:pt idx="34">
                  <c:v>72.698042883874749</c:v>
                </c:pt>
                <c:pt idx="35">
                  <c:v>72.49803155597364</c:v>
                </c:pt>
                <c:pt idx="36">
                  <c:v>72.298019694286069</c:v>
                </c:pt>
                <c:pt idx="37">
                  <c:v>72.098007273663299</c:v>
                </c:pt>
                <c:pt idx="38">
                  <c:v>71.897994267772006</c:v>
                </c:pt>
                <c:pt idx="39">
                  <c:v>71.697980649038811</c:v>
                </c:pt>
                <c:pt idx="40">
                  <c:v>71.497966388591649</c:v>
                </c:pt>
                <c:pt idx="41">
                  <c:v>71.297951456198774</c:v>
                </c:pt>
                <c:pt idx="42">
                  <c:v>71.097935820204697</c:v>
                </c:pt>
                <c:pt idx="43">
                  <c:v>70.897919447463394</c:v>
                </c:pt>
                <c:pt idx="44">
                  <c:v>70.697902303267881</c:v>
                </c:pt>
                <c:pt idx="45">
                  <c:v>70.497884351277008</c:v>
                </c:pt>
                <c:pt idx="46">
                  <c:v>70.297865553438385</c:v>
                </c:pt>
                <c:pt idx="47">
                  <c:v>70.097845869908184</c:v>
                </c:pt>
                <c:pt idx="48">
                  <c:v>69.897825258966463</c:v>
                </c:pt>
                <c:pt idx="49">
                  <c:v>69.697803676929354</c:v>
                </c:pt>
                <c:pt idx="50">
                  <c:v>69.497781078056406</c:v>
                </c:pt>
                <c:pt idx="51">
                  <c:v>69.297757414453969</c:v>
                </c:pt>
                <c:pt idx="52">
                  <c:v>69.097732635974069</c:v>
                </c:pt>
                <c:pt idx="53">
                  <c:v>68.897706690108222</c:v>
                </c:pt>
                <c:pt idx="54">
                  <c:v>68.697679521876594</c:v>
                </c:pt>
                <c:pt idx="55">
                  <c:v>68.497651073711921</c:v>
                </c:pt>
                <c:pt idx="56">
                  <c:v>68.297621285337797</c:v>
                </c:pt>
                <c:pt idx="57">
                  <c:v>68.097590093641372</c:v>
                </c:pt>
                <c:pt idx="58">
                  <c:v>67.897557432540211</c:v>
                </c:pt>
                <c:pt idx="59">
                  <c:v>67.697523232842627</c:v>
                </c:pt>
                <c:pt idx="60">
                  <c:v>67.49748742210177</c:v>
                </c:pt>
                <c:pt idx="61">
                  <c:v>67.297449924462867</c:v>
                </c:pt>
                <c:pt idx="62">
                  <c:v>67.097410660502902</c:v>
                </c:pt>
                <c:pt idx="63">
                  <c:v>66.897369547063505</c:v>
                </c:pt>
                <c:pt idx="64">
                  <c:v>66.697326497075139</c:v>
                </c:pt>
                <c:pt idx="65">
                  <c:v>66.497281419374204</c:v>
                </c:pt>
                <c:pt idx="66">
                  <c:v>66.297234218510383</c:v>
                </c:pt>
                <c:pt idx="67">
                  <c:v>66.097184794545811</c:v>
                </c:pt>
                <c:pt idx="68">
                  <c:v>65.897133042844814</c:v>
                </c:pt>
                <c:pt idx="69">
                  <c:v>65.697078853853299</c:v>
                </c:pt>
                <c:pt idx="70">
                  <c:v>65.497022112868478</c:v>
                </c:pt>
                <c:pt idx="71">
                  <c:v>65.296962699797405</c:v>
                </c:pt>
                <c:pt idx="72">
                  <c:v>65.096900488904893</c:v>
                </c:pt>
                <c:pt idx="73">
                  <c:v>64.896835348548379</c:v>
                </c:pt>
                <c:pt idx="74">
                  <c:v>64.696767140902395</c:v>
                </c:pt>
                <c:pt idx="75">
                  <c:v>64.496695721668559</c:v>
                </c:pt>
                <c:pt idx="76">
                  <c:v>64.296620939772694</c:v>
                </c:pt>
                <c:pt idx="77">
                  <c:v>64.096542637048003</c:v>
                </c:pt>
                <c:pt idx="78">
                  <c:v>63.89646064790378</c:v>
                </c:pt>
                <c:pt idx="79">
                  <c:v>63.696374798977743</c:v>
                </c:pt>
                <c:pt idx="80">
                  <c:v>63.496284908773326</c:v>
                </c:pt>
                <c:pt idx="81">
                  <c:v>63.296190787279947</c:v>
                </c:pt>
                <c:pt idx="82">
                  <c:v>63.096092235575085</c:v>
                </c:pt>
                <c:pt idx="83">
                  <c:v>62.895989045408953</c:v>
                </c:pt>
                <c:pt idx="84">
                  <c:v>62.69588099876897</c:v>
                </c:pt>
                <c:pt idx="85">
                  <c:v>62.495767867425087</c:v>
                </c:pt>
                <c:pt idx="86">
                  <c:v>62.295649412453422</c:v>
                </c:pt>
                <c:pt idx="87">
                  <c:v>62.095525383738661</c:v>
                </c:pt>
                <c:pt idx="88">
                  <c:v>61.895395519452549</c:v>
                </c:pt>
                <c:pt idx="89">
                  <c:v>61.695259545509856</c:v>
                </c:pt>
                <c:pt idx="90">
                  <c:v>61.495117174998285</c:v>
                </c:pt>
                <c:pt idx="91">
                  <c:v>61.294968107582484</c:v>
                </c:pt>
                <c:pt idx="92">
                  <c:v>61.094812028881051</c:v>
                </c:pt>
                <c:pt idx="93">
                  <c:v>60.894648609815079</c:v>
                </c:pt>
                <c:pt idx="94">
                  <c:v>60.694477505926997</c:v>
                </c:pt>
                <c:pt idx="95">
                  <c:v>60.494298356667983</c:v>
                </c:pt>
                <c:pt idx="96">
                  <c:v>60.294110784653434</c:v>
                </c:pt>
                <c:pt idx="97">
                  <c:v>60.093914394884671</c:v>
                </c:pt>
                <c:pt idx="98">
                  <c:v>59.893708773935224</c:v>
                </c:pt>
                <c:pt idx="99">
                  <c:v>59.693493489100376</c:v>
                </c:pt>
                <c:pt idx="100">
                  <c:v>59.493268087508334</c:v>
                </c:pt>
                <c:pt idx="101">
                  <c:v>59.293032095191414</c:v>
                </c:pt>
                <c:pt idx="102">
                  <c:v>59.09278501611594</c:v>
                </c:pt>
                <c:pt idx="103">
                  <c:v>58.892526331167616</c:v>
                </c:pt>
                <c:pt idx="104">
                  <c:v>58.692255497092994</c:v>
                </c:pt>
                <c:pt idx="105">
                  <c:v>58.491971945392606</c:v>
                </c:pt>
                <c:pt idx="106">
                  <c:v>58.291675081165423</c:v>
                </c:pt>
                <c:pt idx="107">
                  <c:v>58.091364281902209</c:v>
                </c:pt>
                <c:pt idx="108">
                  <c:v>57.891038896225318</c:v>
                </c:pt>
                <c:pt idx="109">
                  <c:v>57.690698242573148</c:v>
                </c:pt>
                <c:pt idx="110">
                  <c:v>57.49034160782692</c:v>
                </c:pt>
                <c:pt idx="111">
                  <c:v>57.289968245877326</c:v>
                </c:pt>
                <c:pt idx="112">
                  <c:v>57.089577376128858</c:v>
                </c:pt>
                <c:pt idx="113">
                  <c:v>56.889168181939297</c:v>
                </c:pt>
                <c:pt idx="114">
                  <c:v>56.688739808991556</c:v>
                </c:pt>
                <c:pt idx="115">
                  <c:v>56.488291363595977</c:v>
                </c:pt>
                <c:pt idx="116">
                  <c:v>56.287821910919689</c:v>
                </c:pt>
                <c:pt idx="117">
                  <c:v>56.087330473140582</c:v>
                </c:pt>
                <c:pt idx="118">
                  <c:v>55.886816027523111</c:v>
                </c:pt>
                <c:pt idx="119">
                  <c:v>55.686277504413454</c:v>
                </c:pt>
                <c:pt idx="120">
                  <c:v>55.485713785149919</c:v>
                </c:pt>
                <c:pt idx="121">
                  <c:v>55.285123699887571</c:v>
                </c:pt>
                <c:pt idx="122">
                  <c:v>55.084506025331891</c:v>
                </c:pt>
                <c:pt idx="123">
                  <c:v>54.883859482380103</c:v>
                </c:pt>
                <c:pt idx="124">
                  <c:v>54.68318273366642</c:v>
                </c:pt>
                <c:pt idx="125">
                  <c:v>54.482474381007435</c:v>
                </c:pt>
                <c:pt idx="126">
                  <c:v>54.281732962746489</c:v>
                </c:pt>
                <c:pt idx="127">
                  <c:v>54.08095695099118</c:v>
                </c:pt>
                <c:pt idx="128">
                  <c:v>53.880144748743326</c:v>
                </c:pt>
                <c:pt idx="129">
                  <c:v>53.679294686916592</c:v>
                </c:pt>
                <c:pt idx="130">
                  <c:v>53.478405021239787</c:v>
                </c:pt>
                <c:pt idx="131">
                  <c:v>53.277473929041889</c:v>
                </c:pt>
                <c:pt idx="132">
                  <c:v>53.076499505916424</c:v>
                </c:pt>
                <c:pt idx="133">
                  <c:v>52.875479762262536</c:v>
                </c:pt>
                <c:pt idx="134">
                  <c:v>52.67441261969882</c:v>
                </c:pt>
                <c:pt idx="135">
                  <c:v>52.473295907348991</c:v>
                </c:pt>
                <c:pt idx="136">
                  <c:v>52.272127357995323</c:v>
                </c:pt>
                <c:pt idx="137">
                  <c:v>52.070904604098878</c:v>
                </c:pt>
                <c:pt idx="138">
                  <c:v>51.869625173683445</c:v>
                </c:pt>
                <c:pt idx="139">
                  <c:v>51.668286486082792</c:v>
                </c:pt>
                <c:pt idx="140">
                  <c:v>51.466885847548014</c:v>
                </c:pt>
                <c:pt idx="141">
                  <c:v>51.26542044671617</c:v>
                </c:pt>
                <c:pt idx="142">
                  <c:v>51.063887349937374</c:v>
                </c:pt>
                <c:pt idx="143">
                  <c:v>50.862283496461906</c:v>
                </c:pt>
                <c:pt idx="144">
                  <c:v>50.660605693487206</c:v>
                </c:pt>
                <c:pt idx="145">
                  <c:v>50.45885061106506</c:v>
                </c:pt>
                <c:pt idx="146">
                  <c:v>50.257014776872296</c:v>
                </c:pt>
                <c:pt idx="147">
                  <c:v>50.055094570845867</c:v>
                </c:pt>
                <c:pt idx="148">
                  <c:v>49.853086219686567</c:v>
                </c:pt>
                <c:pt idx="149">
                  <c:v>49.650985791235684</c:v>
                </c:pt>
                <c:pt idx="150">
                  <c:v>49.448789188729272</c:v>
                </c:pt>
                <c:pt idx="151">
                  <c:v>49.246492144937449</c:v>
                </c:pt>
                <c:pt idx="152">
                  <c:v>49.044090216195571</c:v>
                </c:pt>
                <c:pt idx="153">
                  <c:v>48.841578776337052</c:v>
                </c:pt>
                <c:pt idx="154">
                  <c:v>48.638953010538543</c:v>
                </c:pt>
                <c:pt idx="155">
                  <c:v>48.436207909088999</c:v>
                </c:pt>
                <c:pt idx="156">
                  <c:v>48.233338261098041</c:v>
                </c:pt>
                <c:pt idx="157">
                  <c:v>48.030338648158668</c:v>
                </c:pt>
                <c:pt idx="158">
                  <c:v>47.827203437983236</c:v>
                </c:pt>
                <c:pt idx="159">
                  <c:v>47.623926778032761</c:v>
                </c:pt>
                <c:pt idx="160">
                  <c:v>47.420502589163398</c:v>
                </c:pt>
                <c:pt idx="161">
                  <c:v>47.216924559315096</c:v>
                </c:pt>
                <c:pt idx="162">
                  <c:v>47.013186137271184</c:v>
                </c:pt>
                <c:pt idx="163">
                  <c:v>46.809280526521242</c:v>
                </c:pt>
                <c:pt idx="164">
                  <c:v>46.60520067926165</c:v>
                </c:pt>
                <c:pt idx="165">
                  <c:v>46.400939290572374</c:v>
                </c:pt>
                <c:pt idx="166">
                  <c:v>46.19648879281258</c:v>
                </c:pt>
                <c:pt idx="167">
                  <c:v>45.99184135028117</c:v>
                </c:pt>
                <c:pt idx="168">
                  <c:v>45.78698885419233</c:v>
                </c:pt>
                <c:pt idx="169">
                  <c:v>45.581922918020751</c:v>
                </c:pt>
                <c:pt idx="170">
                  <c:v>45.376634873276423</c:v>
                </c:pt>
                <c:pt idx="171">
                  <c:v>45.171115765772257</c:v>
                </c:pt>
                <c:pt idx="172">
                  <c:v>44.96535635245327</c:v>
                </c:pt>
                <c:pt idx="173">
                  <c:v>44.759347098862783</c:v>
                </c:pt>
                <c:pt idx="174">
                  <c:v>44.55307817732276</c:v>
                </c:pt>
                <c:pt idx="175">
                  <c:v>44.346539465914219</c:v>
                </c:pt>
                <c:pt idx="176">
                  <c:v>44.139720548347519</c:v>
                </c:pt>
                <c:pt idx="177">
                  <c:v>43.932610714816668</c:v>
                </c:pt>
                <c:pt idx="178">
                  <c:v>43.725198963939569</c:v>
                </c:pt>
                <c:pt idx="179">
                  <c:v>43.517474005889255</c:v>
                </c:pt>
                <c:pt idx="180">
                  <c:v>43.309424266827207</c:v>
                </c:pt>
                <c:pt idx="181">
                  <c:v>43.10103789475469</c:v>
                </c:pt>
                <c:pt idx="182">
                  <c:v>42.892302766902162</c:v>
                </c:pt>
                <c:pt idx="183">
                  <c:v>42.683206498781409</c:v>
                </c:pt>
                <c:pt idx="184">
                  <c:v>42.473736455027726</c:v>
                </c:pt>
                <c:pt idx="185">
                  <c:v>42.26387976216408</c:v>
                </c:pt>
                <c:pt idx="186">
                  <c:v>42.053623323418769</c:v>
                </c:pt>
                <c:pt idx="187">
                  <c:v>41.842953835731144</c:v>
                </c:pt>
                <c:pt idx="188">
                  <c:v>41.631857809080238</c:v>
                </c:pt>
                <c:pt idx="189">
                  <c:v>41.420321588267505</c:v>
                </c:pt>
                <c:pt idx="190">
                  <c:v>41.208331377285077</c:v>
                </c:pt>
                <c:pt idx="191">
                  <c:v>40.995873266395186</c:v>
                </c:pt>
                <c:pt idx="192">
                  <c:v>40.782933262040792</c:v>
                </c:pt>
                <c:pt idx="193">
                  <c:v>40.569497319698272</c:v>
                </c:pt>
                <c:pt idx="194">
                  <c:v>40.355551379775122</c:v>
                </c:pt>
                <c:pt idx="195">
                  <c:v>40.141081406641696</c:v>
                </c:pt>
                <c:pt idx="196">
                  <c:v>39.926073430869671</c:v>
                </c:pt>
                <c:pt idx="197">
                  <c:v>39.710513594735311</c:v>
                </c:pt>
                <c:pt idx="198">
                  <c:v>39.494388201022261</c:v>
                </c:pt>
                <c:pt idx="199">
                  <c:v>39.277683765136253</c:v>
                </c:pt>
                <c:pt idx="200">
                  <c:v>39.06038707051767</c:v>
                </c:pt>
                <c:pt idx="201">
                  <c:v>38.842485227307762</c:v>
                </c:pt>
                <c:pt idx="202">
                  <c:v>38.623965734192332</c:v>
                </c:pt>
                <c:pt idx="203">
                  <c:v>38.404816543309437</c:v>
                </c:pt>
                <c:pt idx="204">
                  <c:v>38.185026128071641</c:v>
                </c:pt>
                <c:pt idx="205">
                  <c:v>37.964583553707612</c:v>
                </c:pt>
                <c:pt idx="206">
                  <c:v>37.743478550290064</c:v>
                </c:pt>
                <c:pt idx="207">
                  <c:v>37.521701587962106</c:v>
                </c:pt>
                <c:pt idx="208">
                  <c:v>37.299243954036342</c:v>
                </c:pt>
                <c:pt idx="209">
                  <c:v>37.076097831581791</c:v>
                </c:pt>
                <c:pt idx="210">
                  <c:v>36.852256379070482</c:v>
                </c:pt>
                <c:pt idx="211">
                  <c:v>36.627713810601918</c:v>
                </c:pt>
                <c:pt idx="212">
                  <c:v>36.402465476174562</c:v>
                </c:pt>
                <c:pt idx="213">
                  <c:v>36.176507941426713</c:v>
                </c:pt>
                <c:pt idx="214">
                  <c:v>35.949839066220875</c:v>
                </c:pt>
                <c:pt idx="215">
                  <c:v>35.722458081405996</c:v>
                </c:pt>
                <c:pt idx="216">
                  <c:v>35.49436566305183</c:v>
                </c:pt>
                <c:pt idx="217">
                  <c:v>35.26556400341881</c:v>
                </c:pt>
                <c:pt idx="218">
                  <c:v>35.036056877899526</c:v>
                </c:pt>
                <c:pt idx="219">
                  <c:v>34.805849707149193</c:v>
                </c:pt>
                <c:pt idx="220">
                  <c:v>34.57494961361401</c:v>
                </c:pt>
                <c:pt idx="221">
                  <c:v>34.343365471663994</c:v>
                </c:pt>
                <c:pt idx="222">
                  <c:v>34.111107950547144</c:v>
                </c:pt>
                <c:pt idx="223">
                  <c:v>33.878189549403317</c:v>
                </c:pt>
                <c:pt idx="224">
                  <c:v>33.644624623607172</c:v>
                </c:pt>
                <c:pt idx="225">
                  <c:v>33.41042940175565</c:v>
                </c:pt>
                <c:pt idx="226">
                  <c:v>33.175621992669804</c:v>
                </c:pt>
                <c:pt idx="227">
                  <c:v>32.940222381851534</c:v>
                </c:pt>
                <c:pt idx="228">
                  <c:v>32.704252416915395</c:v>
                </c:pt>
                <c:pt idx="229">
                  <c:v>32.467735781605256</c:v>
                </c:pt>
                <c:pt idx="230">
                  <c:v>32.230697958113176</c:v>
                </c:pt>
                <c:pt idx="231">
                  <c:v>31.993166177521069</c:v>
                </c:pt>
                <c:pt idx="232">
                  <c:v>31.755169358314181</c:v>
                </c:pt>
                <c:pt idx="233">
                  <c:v>31.516738033032571</c:v>
                </c:pt>
                <c:pt idx="234">
                  <c:v>31.277904263263267</c:v>
                </c:pt>
                <c:pt idx="235">
                  <c:v>31.0387015433055</c:v>
                </c:pt>
                <c:pt idx="236">
                  <c:v>30.799164692974557</c:v>
                </c:pt>
                <c:pt idx="237">
                  <c:v>30.55932974014237</c:v>
                </c:pt>
                <c:pt idx="238">
                  <c:v>30.31923379373881</c:v>
                </c:pt>
                <c:pt idx="239">
                  <c:v>30.078914908059065</c:v>
                </c:pt>
                <c:pt idx="240">
                  <c:v>29.838411939333604</c:v>
                </c:pt>
                <c:pt idx="241">
                  <c:v>29.597764395619471</c:v>
                </c:pt>
                <c:pt idx="242">
                  <c:v>29.357012281158418</c:v>
                </c:pt>
                <c:pt idx="243">
                  <c:v>29.11619593642309</c:v>
                </c:pt>
                <c:pt idx="244">
                  <c:v>28.875355875127614</c:v>
                </c:pt>
                <c:pt idx="245">
                  <c:v>28.634532619522631</c:v>
                </c:pt>
                <c:pt idx="246">
                  <c:v>28.39376653531566</c:v>
                </c:pt>
                <c:pt idx="247">
                  <c:v>28.15309766756096</c:v>
                </c:pt>
                <c:pt idx="248">
                  <c:v>27.912565578851915</c:v>
                </c:pt>
                <c:pt idx="249">
                  <c:v>27.672209191112579</c:v>
                </c:pt>
                <c:pt idx="250">
                  <c:v>27.432066632239042</c:v>
                </c:pt>
                <c:pt idx="251">
                  <c:v>27.192175088769162</c:v>
                </c:pt>
                <c:pt idx="252">
                  <c:v>26.952570665684419</c:v>
                </c:pt>
                <c:pt idx="253">
                  <c:v>26.713288254344118</c:v>
                </c:pt>
                <c:pt idx="254">
                  <c:v>26.474361409451902</c:v>
                </c:pt>
                <c:pt idx="255">
                  <c:v>26.235822235832327</c:v>
                </c:pt>
                <c:pt idx="256">
                  <c:v>25.997701285674275</c:v>
                </c:pt>
                <c:pt idx="257">
                  <c:v>25.760027466765223</c:v>
                </c:pt>
                <c:pt idx="258">
                  <c:v>25.522827962110192</c:v>
                </c:pt>
                <c:pt idx="259">
                  <c:v>25.286128161194096</c:v>
                </c:pt>
                <c:pt idx="260">
                  <c:v>25.049951603014332</c:v>
                </c:pt>
                <c:pt idx="261">
                  <c:v>24.814319930885013</c:v>
                </c:pt>
                <c:pt idx="262">
                  <c:v>24.579252858885855</c:v>
                </c:pt>
                <c:pt idx="263">
                  <c:v>24.344768149720018</c:v>
                </c:pt>
                <c:pt idx="264">
                  <c:v>24.110881603633327</c:v>
                </c:pt>
                <c:pt idx="265">
                  <c:v>23.877607057951916</c:v>
                </c:pt>
                <c:pt idx="266">
                  <c:v>23.6449563967115</c:v>
                </c:pt>
                <c:pt idx="267">
                  <c:v>23.412939569773688</c:v>
                </c:pt>
                <c:pt idx="268">
                  <c:v>23.181564620764249</c:v>
                </c:pt>
                <c:pt idx="269">
                  <c:v>22.950837723118163</c:v>
                </c:pt>
                <c:pt idx="270">
                  <c:v>22.720763223477327</c:v>
                </c:pt>
                <c:pt idx="271">
                  <c:v>22.491343691660902</c:v>
                </c:pt>
                <c:pt idx="272">
                  <c:v>22.262579976413136</c:v>
                </c:pt>
                <c:pt idx="273">
                  <c:v>22.034471266129565</c:v>
                </c:pt>
                <c:pt idx="274">
                  <c:v>21.807015153767271</c:v>
                </c:pt>
                <c:pt idx="275">
                  <c:v>21.580207705159594</c:v>
                </c:pt>
                <c:pt idx="276">
                  <c:v>21.354043529979883</c:v>
                </c:pt>
                <c:pt idx="277">
                  <c:v>21.128515854625014</c:v>
                </c:pt>
                <c:pt idx="278">
                  <c:v>20.90361659632876</c:v>
                </c:pt>
                <c:pt idx="279">
                  <c:v>20.679336437851951</c:v>
                </c:pt>
                <c:pt idx="280">
                  <c:v>20.455664902142981</c:v>
                </c:pt>
                <c:pt idx="281">
                  <c:v>20.232590426408592</c:v>
                </c:pt>
                <c:pt idx="282">
                  <c:v>20.010100435082641</c:v>
                </c:pt>
                <c:pt idx="283">
                  <c:v>19.78818141123196</c:v>
                </c:pt>
                <c:pt idx="284">
                  <c:v>19.566818965988947</c:v>
                </c:pt>
                <c:pt idx="285">
                  <c:v>19.345997905648325</c:v>
                </c:pt>
                <c:pt idx="286">
                  <c:v>19.125702296116991</c:v>
                </c:pt>
                <c:pt idx="287">
                  <c:v>18.905915524450595</c:v>
                </c:pt>
                <c:pt idx="288">
                  <c:v>18.686620357258398</c:v>
                </c:pt>
                <c:pt idx="289">
                  <c:v>18.467798995797796</c:v>
                </c:pt>
                <c:pt idx="290">
                  <c:v>18.249433127622915</c:v>
                </c:pt>
                <c:pt idx="291">
                  <c:v>18.031503974687684</c:v>
                </c:pt>
                <c:pt idx="292">
                  <c:v>17.813992337837824</c:v>
                </c:pt>
                <c:pt idx="293">
                  <c:v>17.596878637660044</c:v>
                </c:pt>
                <c:pt idx="294">
                  <c:v>17.380142951682036</c:v>
                </c:pt>
                <c:pt idx="295">
                  <c:v>17.163765047944288</c:v>
                </c:pt>
                <c:pt idx="296">
                  <c:v>16.947724414987427</c:v>
                </c:pt>
                <c:pt idx="297">
                  <c:v>16.732000288318762</c:v>
                </c:pt>
                <c:pt idx="298">
                  <c:v>16.516571673435756</c:v>
                </c:pt>
                <c:pt idx="299">
                  <c:v>16.301417365504321</c:v>
                </c:pt>
                <c:pt idx="300">
                  <c:v>16.086515965798064</c:v>
                </c:pt>
                <c:pt idx="301">
                  <c:v>15.871845895015026</c:v>
                </c:pt>
                <c:pt idx="302">
                  <c:v>15.657385403600671</c:v>
                </c:pt>
                <c:pt idx="303">
                  <c:v>15.443112579206954</c:v>
                </c:pt>
                <c:pt idx="304">
                  <c:v>15.229005351427329</c:v>
                </c:pt>
                <c:pt idx="305">
                  <c:v>15.015041493948615</c:v>
                </c:pt>
                <c:pt idx="306">
                  <c:v>14.801198624264511</c:v>
                </c:pt>
                <c:pt idx="307">
                  <c:v>14.58745420109638</c:v>
                </c:pt>
                <c:pt idx="308">
                  <c:v>14.373785519669342</c:v>
                </c:pt>
                <c:pt idx="309">
                  <c:v>14.160169704990224</c:v>
                </c:pt>
                <c:pt idx="310">
                  <c:v>13.946583703276026</c:v>
                </c:pt>
                <c:pt idx="311">
                  <c:v>13.733004271678395</c:v>
                </c:pt>
                <c:pt idx="312">
                  <c:v>13.519407966451988</c:v>
                </c:pt>
                <c:pt idx="313">
                  <c:v>13.305771129711275</c:v>
                </c:pt>
                <c:pt idx="314">
                  <c:v>13.092069874921235</c:v>
                </c:pt>
                <c:pt idx="315">
                  <c:v>12.878280071266941</c:v>
                </c:pt>
                <c:pt idx="316">
                  <c:v>12.664377327044555</c:v>
                </c:pt>
                <c:pt idx="317">
                  <c:v>12.450336972219695</c:v>
                </c:pt>
                <c:pt idx="318">
                  <c:v>12.236134040295967</c:v>
                </c:pt>
                <c:pt idx="319">
                  <c:v>12.021743249639471</c:v>
                </c:pt>
                <c:pt idx="320">
                  <c:v>11.80713898440467</c:v>
                </c:pt>
                <c:pt idx="321">
                  <c:v>11.592295275209541</c:v>
                </c:pt>
                <c:pt idx="322">
                  <c:v>11.377185779709549</c:v>
                </c:pt>
                <c:pt idx="323">
                  <c:v>11.16178376322237</c:v>
                </c:pt>
                <c:pt idx="324">
                  <c:v>10.946062079557837</c:v>
                </c:pt>
                <c:pt idx="325">
                  <c:v>10.729993152212975</c:v>
                </c:pt>
                <c:pt idx="326">
                  <c:v>10.513548956092523</c:v>
                </c:pt>
                <c:pt idx="327">
                  <c:v>10.296700999923134</c:v>
                </c:pt>
                <c:pt idx="328">
                  <c:v>10.079420309532093</c:v>
                </c:pt>
                <c:pt idx="329">
                  <c:v>9.8616774121655268</c:v>
                </c:pt>
                <c:pt idx="330">
                  <c:v>9.6434423220300864</c:v>
                </c:pt>
                <c:pt idx="331">
                  <c:v>9.4246845272419861</c:v>
                </c:pt>
                <c:pt idx="332">
                  <c:v>9.2053729783780902</c:v>
                </c:pt>
                <c:pt idx="333">
                  <c:v>8.9854760788246395</c:v>
                </c:pt>
                <c:pt idx="334">
                  <c:v>8.7649616771276158</c:v>
                </c:pt>
                <c:pt idx="335">
                  <c:v>8.5437970615520147</c:v>
                </c:pt>
                <c:pt idx="336">
                  <c:v>8.3219489570615295</c:v>
                </c:pt>
                <c:pt idx="337">
                  <c:v>8.0993835249353445</c:v>
                </c:pt>
                <c:pt idx="338">
                  <c:v>7.8760663652397245</c:v>
                </c:pt>
                <c:pt idx="339">
                  <c:v>7.6519625223770982</c:v>
                </c:pt>
                <c:pt idx="340">
                  <c:v>7.4270364939313351</c:v>
                </c:pt>
                <c:pt idx="341">
                  <c:v>7.2012522430334149</c:v>
                </c:pt>
                <c:pt idx="342">
                  <c:v>6.9745732144640922</c:v>
                </c:pt>
                <c:pt idx="343">
                  <c:v>6.7469623547102797</c:v>
                </c:pt>
                <c:pt idx="344">
                  <c:v>6.5183821361812919</c:v>
                </c:pt>
                <c:pt idx="345">
                  <c:v>6.2887945857887315</c:v>
                </c:pt>
                <c:pt idx="346">
                  <c:v>6.05816131807702</c:v>
                </c:pt>
                <c:pt idx="347">
                  <c:v>5.8264435730826571</c:v>
                </c:pt>
                <c:pt idx="348">
                  <c:v>5.5936022590798293</c:v>
                </c:pt>
                <c:pt idx="349">
                  <c:v>5.3595980003546178</c:v>
                </c:pt>
                <c:pt idx="350">
                  <c:v>5.1243911901252819</c:v>
                </c:pt>
                <c:pt idx="351">
                  <c:v>4.8879420486986502</c:v>
                </c:pt>
                <c:pt idx="352">
                  <c:v>4.650210686926874</c:v>
                </c:pt>
                <c:pt idx="353">
                  <c:v>4.4111571749949707</c:v>
                </c:pt>
                <c:pt idx="354">
                  <c:v>4.1707416165296998</c:v>
                </c:pt>
                <c:pt idx="355">
                  <c:v>3.9289242279885004</c:v>
                </c:pt>
                <c:pt idx="356">
                  <c:v>3.6856654232380928</c:v>
                </c:pt>
                <c:pt idx="357">
                  <c:v>3.4409259031914052</c:v>
                </c:pt>
                <c:pt idx="358">
                  <c:v>3.1946667503210389</c:v>
                </c:pt>
                <c:pt idx="359">
                  <c:v>2.9468495278210889</c:v>
                </c:pt>
                <c:pt idx="360">
                  <c:v>2.6974363831331982</c:v>
                </c:pt>
                <c:pt idx="361">
                  <c:v>2.4463901555060104</c:v>
                </c:pt>
                <c:pt idx="362">
                  <c:v>2.193674487197756</c:v>
                </c:pt>
                <c:pt idx="363">
                  <c:v>1.9392539378840732</c:v>
                </c:pt>
                <c:pt idx="364">
                  <c:v>1.6830941017804868</c:v>
                </c:pt>
                <c:pt idx="365">
                  <c:v>1.4251617269363255</c:v>
                </c:pt>
                <c:pt idx="366">
                  <c:v>1.1654248361131045</c:v>
                </c:pt>
                <c:pt idx="367">
                  <c:v>0.90385284861646276</c:v>
                </c:pt>
                <c:pt idx="368">
                  <c:v>0.6404167024086892</c:v>
                </c:pt>
                <c:pt idx="369">
                  <c:v>0.37508897580033196</c:v>
                </c:pt>
                <c:pt idx="370">
                  <c:v>0.10784400798746513</c:v>
                </c:pt>
                <c:pt idx="371">
                  <c:v>-0.16134198231590036</c:v>
                </c:pt>
                <c:pt idx="372">
                  <c:v>-0.43249078091534715</c:v>
                </c:pt>
                <c:pt idx="373">
                  <c:v>-0.70562206561045226</c:v>
                </c:pt>
                <c:pt idx="374">
                  <c:v>-0.98075329787039134</c:v>
                </c:pt>
                <c:pt idx="375">
                  <c:v>-1.2578996194591467</c:v>
                </c:pt>
                <c:pt idx="376">
                  <c:v>-1.5370737547350222</c:v>
                </c:pt>
                <c:pt idx="377">
                  <c:v>-1.8182859193187995</c:v>
                </c:pt>
                <c:pt idx="378">
                  <c:v>-2.1015437357768856</c:v>
                </c:pt>
                <c:pt idx="379">
                  <c:v>-2.3868521569207344</c:v>
                </c:pt>
                <c:pt idx="380">
                  <c:v>-2.6742133972582876</c:v>
                </c:pt>
                <c:pt idx="381">
                  <c:v>-2.9636268730691957</c:v>
                </c:pt>
                <c:pt idx="382">
                  <c:v>-3.2550891514989946</c:v>
                </c:pt>
                <c:pt idx="383">
                  <c:v>-3.5485939089872369</c:v>
                </c:pt>
                <c:pt idx="384">
                  <c:v>-3.8441318992604456</c:v>
                </c:pt>
                <c:pt idx="385">
                  <c:v>-4.14169093103121</c:v>
                </c:pt>
                <c:pt idx="386">
                  <c:v>-4.4412558554547159</c:v>
                </c:pt>
                <c:pt idx="387">
                  <c:v>-4.7428085633038659</c:v>
                </c:pt>
                <c:pt idx="388">
                  <c:v>-5.0463279917327828</c:v>
                </c:pt>
                <c:pt idx="389">
                  <c:v>-5.3517901404114676</c:v>
                </c:pt>
                <c:pt idx="390">
                  <c:v>-5.6591680967304336</c:v>
                </c:pt>
                <c:pt idx="391">
                  <c:v>-5.9684320696963997</c:v>
                </c:pt>
                <c:pt idx="392">
                  <c:v>-6.279549432063205</c:v>
                </c:pt>
                <c:pt idx="393">
                  <c:v>-6.5924847701818372</c:v>
                </c:pt>
                <c:pt idx="394">
                  <c:v>-6.9071999409939462</c:v>
                </c:pt>
                <c:pt idx="395">
                  <c:v>-7.2236541355419135</c:v>
                </c:pt>
                <c:pt idx="396">
                  <c:v>-7.5418039483349562</c:v>
                </c:pt>
                <c:pt idx="397">
                  <c:v>-7.8616034518765492</c:v>
                </c:pt>
                <c:pt idx="398">
                  <c:v>-8.1830042756425971</c:v>
                </c:pt>
                <c:pt idx="399">
                  <c:v>-8.5059556887882319</c:v>
                </c:pt>
                <c:pt idx="400">
                  <c:v>-8.8304046858614011</c:v>
                </c:pt>
                <c:pt idx="401">
                  <c:v>-9.1562960748141471</c:v>
                </c:pt>
                <c:pt idx="402">
                  <c:v>-9.4835725666164308</c:v>
                </c:pt>
                <c:pt idx="403">
                  <c:v>-9.8121748658075187</c:v>
                </c:pt>
                <c:pt idx="404">
                  <c:v>-10.142041761353731</c:v>
                </c:pt>
                <c:pt idx="405">
                  <c:v>-10.473110217221384</c:v>
                </c:pt>
                <c:pt idx="406">
                  <c:v>-10.805315462120715</c:v>
                </c:pt>
                <c:pt idx="407">
                  <c:v>-11.138591077928851</c:v>
                </c:pt>
                <c:pt idx="408">
                  <c:v>-11.47286908635599</c:v>
                </c:pt>
                <c:pt idx="409">
                  <c:v>-11.80808003347533</c:v>
                </c:pt>
                <c:pt idx="410">
                  <c:v>-12.144153071800199</c:v>
                </c:pt>
                <c:pt idx="411">
                  <c:v>-12.481016039651818</c:v>
                </c:pt>
                <c:pt idx="412">
                  <c:v>-12.81859553762591</c:v>
                </c:pt>
                <c:pt idx="413">
                  <c:v>-13.156817002022816</c:v>
                </c:pt>
                <c:pt idx="414">
                  <c:v>-13.495604775173318</c:v>
                </c:pt>
                <c:pt idx="415">
                  <c:v>-13.834882172643086</c:v>
                </c:pt>
                <c:pt idx="416">
                  <c:v>-14.174571547360886</c:v>
                </c:pt>
                <c:pt idx="417">
                  <c:v>-14.51459435076503</c:v>
                </c:pt>
                <c:pt idx="418">
                  <c:v>-14.854871191112121</c:v>
                </c:pt>
                <c:pt idx="419">
                  <c:v>-15.195321889138809</c:v>
                </c:pt>
                <c:pt idx="420">
                  <c:v>-15.535865531308399</c:v>
                </c:pt>
                <c:pt idx="421">
                  <c:v>-15.876420520907516</c:v>
                </c:pt>
                <c:pt idx="422">
                  <c:v>-16.216904627295246</c:v>
                </c:pt>
                <c:pt idx="423">
                  <c:v>-16.55723503362815</c:v>
                </c:pt>
                <c:pt idx="424">
                  <c:v>-16.897328383410443</c:v>
                </c:pt>
                <c:pt idx="425">
                  <c:v>-17.237100826232659</c:v>
                </c:pt>
                <c:pt idx="426">
                  <c:v>-17.576468063073957</c:v>
                </c:pt>
                <c:pt idx="427">
                  <c:v>-17.915345391548762</c:v>
                </c:pt>
                <c:pt idx="428">
                  <c:v>-18.253647751478336</c:v>
                </c:pt>
                <c:pt idx="429">
                  <c:v>-18.591289771165808</c:v>
                </c:pt>
                <c:pt idx="430">
                  <c:v>-18.928185814736224</c:v>
                </c:pt>
                <c:pt idx="431">
                  <c:v>-19.264250030897575</c:v>
                </c:pt>
                <c:pt idx="432">
                  <c:v>-19.599396403448665</c:v>
                </c:pt>
                <c:pt idx="433">
                  <c:v>-19.933538803842659</c:v>
                </c:pt>
                <c:pt idx="434">
                  <c:v>-20.266591046078485</c:v>
                </c:pt>
                <c:pt idx="435">
                  <c:v>-20.598466944164045</c:v>
                </c:pt>
                <c:pt idx="436">
                  <c:v>-20.92908037235286</c:v>
                </c:pt>
                <c:pt idx="437">
                  <c:v>-21.258345328314888</c:v>
                </c:pt>
                <c:pt idx="438">
                  <c:v>-21.586175999359277</c:v>
                </c:pt>
                <c:pt idx="439">
                  <c:v>-21.912486831774167</c:v>
                </c:pt>
                <c:pt idx="440">
                  <c:v>-22.237192603303907</c:v>
                </c:pt>
                <c:pt idx="441">
                  <c:v>-22.560208498727327</c:v>
                </c:pt>
                <c:pt idx="442">
                  <c:v>-22.881450188450678</c:v>
                </c:pt>
                <c:pt idx="443">
                  <c:v>-23.200833909974232</c:v>
                </c:pt>
                <c:pt idx="444">
                  <c:v>-23.518276552040614</c:v>
                </c:pt>
                <c:pt idx="445">
                  <c:v>-23.833695741218289</c:v>
                </c:pt>
                <c:pt idx="446">
                  <c:v>-24.147009930627156</c:v>
                </c:pt>
                <c:pt idx="447">
                  <c:v>-24.458138490466869</c:v>
                </c:pt>
                <c:pt idx="448">
                  <c:v>-24.767001799963474</c:v>
                </c:pt>
                <c:pt idx="449">
                  <c:v>-25.073521340315299</c:v>
                </c:pt>
                <c:pt idx="450">
                  <c:v>-25.377619788183829</c:v>
                </c:pt>
                <c:pt idx="451">
                  <c:v>-25.679221109253369</c:v>
                </c:pt>
                <c:pt idx="452">
                  <c:v>-25.978250651357747</c:v>
                </c:pt>
                <c:pt idx="453">
                  <c:v>-26.274635236668701</c:v>
                </c:pt>
                <c:pt idx="454">
                  <c:v>-26.56830325243012</c:v>
                </c:pt>
                <c:pt idx="455">
                  <c:v>-26.859184739729443</c:v>
                </c:pt>
                <c:pt idx="456">
                  <c:v>-27.147211479812093</c:v>
                </c:pt>
                <c:pt idx="457">
                  <c:v>-27.43231707746272</c:v>
                </c:pt>
                <c:pt idx="458">
                  <c:v>-27.7144370410088</c:v>
                </c:pt>
                <c:pt idx="459">
                  <c:v>-27.993508858538341</c:v>
                </c:pt>
                <c:pt idx="460">
                  <c:v>-28.269472069967829</c:v>
                </c:pt>
                <c:pt idx="461">
                  <c:v>-28.542268334645193</c:v>
                </c:pt>
                <c:pt idx="462">
                  <c:v>-28.811841494233128</c:v>
                </c:pt>
                <c:pt idx="463">
                  <c:v>-29.07813763067178</c:v>
                </c:pt>
                <c:pt idx="464">
                  <c:v>-29.341105119088379</c:v>
                </c:pt>
                <c:pt idx="465">
                  <c:v>-29.600694675582705</c:v>
                </c:pt>
                <c:pt idx="466">
                  <c:v>-29.856859399883501</c:v>
                </c:pt>
                <c:pt idx="467">
                  <c:v>-30.109554812933709</c:v>
                </c:pt>
                <c:pt idx="468">
                  <c:v>-30.358738889524098</c:v>
                </c:pt>
                <c:pt idx="469">
                  <c:v>-30.604372086151109</c:v>
                </c:pt>
                <c:pt idx="470">
                  <c:v>-30.846417364323237</c:v>
                </c:pt>
                <c:pt idx="471">
                  <c:v>-31.084840209590251</c:v>
                </c:pt>
                <c:pt idx="472">
                  <c:v>-31.319608646598027</c:v>
                </c:pt>
                <c:pt idx="473">
                  <c:v>-31.550693250505635</c:v>
                </c:pt>
                <c:pt idx="474">
                  <c:v>-31.778067155115952</c:v>
                </c:pt>
                <c:pt idx="475">
                  <c:v>-32.001706058079527</c:v>
                </c:pt>
                <c:pt idx="476">
                  <c:v>-32.221588223529849</c:v>
                </c:pt>
                <c:pt idx="477">
                  <c:v>-32.437694482496141</c:v>
                </c:pt>
                <c:pt idx="478">
                  <c:v>-32.650008231416038</c:v>
                </c:pt>
                <c:pt idx="479">
                  <c:v>-32.858515429043109</c:v>
                </c:pt>
                <c:pt idx="480">
                  <c:v>-33.063204592002378</c:v>
                </c:pt>
                <c:pt idx="481">
                  <c:v>-33.264066789200328</c:v>
                </c:pt>
                <c:pt idx="482">
                  <c:v>-33.461095635247382</c:v>
                </c:pt>
                <c:pt idx="483">
                  <c:v>-33.654287282989443</c:v>
                </c:pt>
                <c:pt idx="484">
                  <c:v>-33.84364041518959</c:v>
                </c:pt>
                <c:pt idx="485">
                  <c:v>-34.029156235338803</c:v>
                </c:pt>
                <c:pt idx="486">
                  <c:v>-34.210838457512821</c:v>
                </c:pt>
                <c:pt idx="487">
                  <c:v>-34.388693295137799</c:v>
                </c:pt>
                <c:pt idx="488">
                  <c:v>-34.562729448468097</c:v>
                </c:pt>
                <c:pt idx="489">
                  <c:v>-34.732958090535341</c:v>
                </c:pt>
                <c:pt idx="490">
                  <c:v>-34.89939285127879</c:v>
                </c:pt>
                <c:pt idx="491">
                  <c:v>-35.062049799539928</c:v>
                </c:pt>
                <c:pt idx="492">
                  <c:v>-35.220947422569907</c:v>
                </c:pt>
                <c:pt idx="493">
                  <c:v>-35.376106602685823</c:v>
                </c:pt>
                <c:pt idx="494">
                  <c:v>-35.527550590706447</c:v>
                </c:pt>
                <c:pt idx="495">
                  <c:v>-35.675304975795591</c:v>
                </c:pt>
                <c:pt idx="496">
                  <c:v>-35.819397651360795</c:v>
                </c:pt>
                <c:pt idx="497">
                  <c:v>-35.959858776674835</c:v>
                </c:pt>
                <c:pt idx="498">
                  <c:v>-36.096720733922268</c:v>
                </c:pt>
                <c:pt idx="499">
                  <c:v>-36.23001808041176</c:v>
                </c:pt>
                <c:pt idx="500">
                  <c:v>-36.359787495748193</c:v>
                </c:pt>
                <c:pt idx="501">
                  <c:v>-36.486067723811274</c:v>
                </c:pt>
                <c:pt idx="502">
                  <c:v>-36.608899509446637</c:v>
                </c:pt>
                <c:pt idx="503">
                  <c:v>-36.728325529845009</c:v>
                </c:pt>
                <c:pt idx="504">
                  <c:v>-36.844390320646745</c:v>
                </c:pt>
                <c:pt idx="505">
                  <c:v>-36.957140196879358</c:v>
                </c:pt>
                <c:pt idx="506">
                  <c:v>-37.06662316890305</c:v>
                </c:pt>
                <c:pt idx="507">
                  <c:v>-37.172888853603737</c:v>
                </c:pt>
                <c:pt idx="508">
                  <c:v>-37.275988381135271</c:v>
                </c:pt>
                <c:pt idx="509">
                  <c:v>-37.37597429756989</c:v>
                </c:pt>
                <c:pt idx="510">
                  <c:v>-37.472900463870204</c:v>
                </c:pt>
                <c:pt idx="511">
                  <c:v>-37.566821951636634</c:v>
                </c:pt>
                <c:pt idx="512">
                  <c:v>-37.657794936129896</c:v>
                </c:pt>
                <c:pt idx="513">
                  <c:v>-37.745876587092404</c:v>
                </c:pt>
                <c:pt idx="514">
                  <c:v>-37.831124957921098</c:v>
                </c:pt>
                <c:pt idx="515">
                  <c:v>-37.913598873754403</c:v>
                </c:pt>
                <c:pt idx="516">
                  <c:v>-37.993357819048796</c:v>
                </c:pt>
                <c:pt idx="517">
                  <c:v>-38.070461825213904</c:v>
                </c:pt>
                <c:pt idx="518">
                  <c:v>-38.144971358871317</c:v>
                </c:pt>
                <c:pt idx="519">
                  <c:v>-38.216947211286076</c:v>
                </c:pt>
                <c:pt idx="520">
                  <c:v>-38.286450389497119</c:v>
                </c:pt>
                <c:pt idx="521">
                  <c:v>-38.353542009648386</c:v>
                </c:pt>
                <c:pt idx="522">
                  <c:v>-38.418283192988213</c:v>
                </c:pt>
                <c:pt idx="523">
                  <c:v>-38.48073496497004</c:v>
                </c:pt>
                <c:pt idx="524">
                  <c:v>-38.540958157848067</c:v>
                </c:pt>
                <c:pt idx="525">
                  <c:v>-38.599013317118029</c:v>
                </c:pt>
                <c:pt idx="526">
                  <c:v>-38.654960612113172</c:v>
                </c:pt>
                <c:pt idx="527">
                  <c:v>-38.708859751016497</c:v>
                </c:pt>
                <c:pt idx="528">
                  <c:v>-38.760769900510226</c:v>
                </c:pt>
                <c:pt idx="529">
                  <c:v>-38.810749610234659</c:v>
                </c:pt>
                <c:pt idx="530">
                  <c:v>-38.858856742188983</c:v>
                </c:pt>
                <c:pt idx="531">
                  <c:v>-38.905148405163281</c:v>
                </c:pt>
                <c:pt idx="532">
                  <c:v>-38.949680894249298</c:v>
                </c:pt>
                <c:pt idx="533">
                  <c:v>-38.992509635442204</c:v>
                </c:pt>
                <c:pt idx="534">
                  <c:v>-39.033689135311384</c:v>
                </c:pt>
                <c:pt idx="535">
                  <c:v>-39.073272935680954</c:v>
                </c:pt>
                <c:pt idx="536">
                  <c:v>-39.111313573238753</c:v>
                </c:pt>
                <c:pt idx="537">
                  <c:v>-39.147862543958539</c:v>
                </c:pt>
                <c:pt idx="538">
                  <c:v>-39.182970272204841</c:v>
                </c:pt>
                <c:pt idx="539">
                  <c:v>-39.216686084362344</c:v>
                </c:pt>
                <c:pt idx="540">
                  <c:v>-39.249058186820221</c:v>
                </c:pt>
                <c:pt idx="541">
                  <c:v>-39.280133648125243</c:v>
                </c:pt>
              </c:numCache>
            </c:numRef>
          </c:yVal>
          <c:smooth val="1"/>
          <c:extLst>
            <c:ext xmlns:c16="http://schemas.microsoft.com/office/drawing/2014/chart" uri="{C3380CC4-5D6E-409C-BE32-E72D297353CC}">
              <c16:uniqueId val="{00000000-9BE3-446F-AD8F-7375B5564585}"/>
            </c:ext>
          </c:extLst>
        </c:ser>
        <c:dLbls>
          <c:showLegendKey val="0"/>
          <c:showVal val="0"/>
          <c:showCatName val="0"/>
          <c:showSerName val="0"/>
          <c:showPercent val="0"/>
          <c:showBubbleSize val="0"/>
        </c:dLbls>
        <c:axId val="178901376"/>
        <c:axId val="178903296"/>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Loop_Modeling!$BK$19:$BK$560</c:f>
              <c:numCache>
                <c:formatCode>General</c:formatCode>
                <c:ptCount val="542"/>
                <c:pt idx="0">
                  <c:v>89.903169612311459</c:v>
                </c:pt>
                <c:pt idx="1">
                  <c:v>89.900914203849752</c:v>
                </c:pt>
                <c:pt idx="2">
                  <c:v>89.898606264539509</c:v>
                </c:pt>
                <c:pt idx="3">
                  <c:v>89.896244571092197</c:v>
                </c:pt>
                <c:pt idx="4">
                  <c:v>89.893827871747447</c:v>
                </c:pt>
                <c:pt idx="5">
                  <c:v>89.891354885611605</c:v>
                </c:pt>
                <c:pt idx="6">
                  <c:v>89.88882430198079</c:v>
                </c:pt>
                <c:pt idx="7">
                  <c:v>89.886234779648376</c:v>
                </c:pt>
                <c:pt idx="8">
                  <c:v>89.883584946196379</c:v>
                </c:pt>
                <c:pt idx="9">
                  <c:v>89.880873397270705</c:v>
                </c:pt>
                <c:pt idx="10">
                  <c:v>89.878098695839341</c:v>
                </c:pt>
                <c:pt idx="11">
                  <c:v>89.875259371433742</c:v>
                </c:pt>
                <c:pt idx="12">
                  <c:v>89.872353919372514</c:v>
                </c:pt>
                <c:pt idx="13">
                  <c:v>89.869380799967274</c:v>
                </c:pt>
                <c:pt idx="14">
                  <c:v>89.866338437710212</c:v>
                </c:pt>
                <c:pt idx="15">
                  <c:v>89.863225220442985</c:v>
                </c:pt>
                <c:pt idx="16">
                  <c:v>89.860039498506296</c:v>
                </c:pt>
                <c:pt idx="17">
                  <c:v>89.856779583870164</c:v>
                </c:pt>
                <c:pt idx="18">
                  <c:v>89.853443749244022</c:v>
                </c:pt>
                <c:pt idx="19">
                  <c:v>89.850030227166457</c:v>
                </c:pt>
                <c:pt idx="20">
                  <c:v>89.846537209073901</c:v>
                </c:pt>
                <c:pt idx="21">
                  <c:v>89.842962844348207</c:v>
                </c:pt>
                <c:pt idx="22">
                  <c:v>89.839305239342096</c:v>
                </c:pt>
                <c:pt idx="23">
                  <c:v>89.835562456382519</c:v>
                </c:pt>
                <c:pt idx="24">
                  <c:v>89.831732512751017</c:v>
                </c:pt>
                <c:pt idx="25">
                  <c:v>89.827813379640872</c:v>
                </c:pt>
                <c:pt idx="26">
                  <c:v>89.823802981090353</c:v>
                </c:pt>
                <c:pt idx="27">
                  <c:v>89.819699192891676</c:v>
                </c:pt>
                <c:pt idx="28">
                  <c:v>89.815499841474931</c:v>
                </c:pt>
                <c:pt idx="29">
                  <c:v>89.811202702766749</c:v>
                </c:pt>
                <c:pt idx="30">
                  <c:v>89.806805501022865</c:v>
                </c:pt>
                <c:pt idx="31">
                  <c:v>89.802305907634107</c:v>
                </c:pt>
                <c:pt idx="32">
                  <c:v>89.79770153990539</c:v>
                </c:pt>
                <c:pt idx="33">
                  <c:v>89.792989959806903</c:v>
                </c:pt>
                <c:pt idx="34">
                  <c:v>89.788168672697012</c:v>
                </c:pt>
                <c:pt idx="35">
                  <c:v>89.783235126016223</c:v>
                </c:pt>
                <c:pt idx="36">
                  <c:v>89.778186707951747</c:v>
                </c:pt>
                <c:pt idx="37">
                  <c:v>89.773020746071836</c:v>
                </c:pt>
                <c:pt idx="38">
                  <c:v>89.767734505929354</c:v>
                </c:pt>
                <c:pt idx="39">
                  <c:v>89.762325189633913</c:v>
                </c:pt>
                <c:pt idx="40">
                  <c:v>89.756789934392046</c:v>
                </c:pt>
                <c:pt idx="41">
                  <c:v>89.75112581101456</c:v>
                </c:pt>
                <c:pt idx="42">
                  <c:v>89.74532982239046</c:v>
                </c:pt>
                <c:pt idx="43">
                  <c:v>89.739398901926947</c:v>
                </c:pt>
                <c:pt idx="44">
                  <c:v>89.733329911954485</c:v>
                </c:pt>
                <c:pt idx="45">
                  <c:v>89.727119642096483</c:v>
                </c:pt>
                <c:pt idx="46">
                  <c:v>89.720764807602805</c:v>
                </c:pt>
                <c:pt idx="47">
                  <c:v>89.714262047646343</c:v>
                </c:pt>
                <c:pt idx="48">
                  <c:v>89.707607923582103</c:v>
                </c:pt>
                <c:pt idx="49">
                  <c:v>89.700798917167774</c:v>
                </c:pt>
                <c:pt idx="50">
                  <c:v>89.693831428745398</c:v>
                </c:pt>
                <c:pt idx="51">
                  <c:v>89.686701775383199</c:v>
                </c:pt>
                <c:pt idx="52">
                  <c:v>89.679406188976728</c:v>
                </c:pt>
                <c:pt idx="53">
                  <c:v>89.67194081430884</c:v>
                </c:pt>
                <c:pt idx="54">
                  <c:v>89.664301707067608</c:v>
                </c:pt>
                <c:pt idx="55">
                  <c:v>89.656484831821317</c:v>
                </c:pt>
                <c:pt idx="56">
                  <c:v>89.648486059950017</c:v>
                </c:pt>
                <c:pt idx="57">
                  <c:v>89.64030116753267</c:v>
                </c:pt>
                <c:pt idx="58">
                  <c:v>89.631925833189129</c:v>
                </c:pt>
                <c:pt idx="59">
                  <c:v>89.623355635876507</c:v>
                </c:pt>
                <c:pt idx="60">
                  <c:v>89.614586052638671</c:v>
                </c:pt>
                <c:pt idx="61">
                  <c:v>89.605612456308606</c:v>
                </c:pt>
                <c:pt idx="62">
                  <c:v>89.59643011316254</c:v>
                </c:pt>
                <c:pt idx="63">
                  <c:v>89.58703418052535</c:v>
                </c:pt>
                <c:pt idx="64">
                  <c:v>89.577419704326346</c:v>
                </c:pt>
                <c:pt idx="65">
                  <c:v>89.567581616604897</c:v>
                </c:pt>
                <c:pt idx="66">
                  <c:v>89.557514732964947</c:v>
                </c:pt>
                <c:pt idx="67">
                  <c:v>89.547213749978084</c:v>
                </c:pt>
                <c:pt idx="68">
                  <c:v>89.536673242534235</c:v>
                </c:pt>
                <c:pt idx="69">
                  <c:v>89.525887661139379</c:v>
                </c:pt>
                <c:pt idx="70">
                  <c:v>89.514851329159868</c:v>
                </c:pt>
                <c:pt idx="71">
                  <c:v>89.503558440012512</c:v>
                </c:pt>
                <c:pt idx="72">
                  <c:v>89.492003054300127</c:v>
                </c:pt>
                <c:pt idx="73">
                  <c:v>89.480179096891874</c:v>
                </c:pt>
                <c:pt idx="74">
                  <c:v>89.468080353947897</c:v>
                </c:pt>
                <c:pt idx="75">
                  <c:v>89.455700469888143</c:v>
                </c:pt>
                <c:pt idx="76">
                  <c:v>89.443032944304562</c:v>
                </c:pt>
                <c:pt idx="77">
                  <c:v>89.430071128816692</c:v>
                </c:pt>
                <c:pt idx="78">
                  <c:v>89.416808223870405</c:v>
                </c:pt>
                <c:pt idx="79">
                  <c:v>89.40323727547927</c:v>
                </c:pt>
                <c:pt idx="80">
                  <c:v>89.389351171909041</c:v>
                </c:pt>
                <c:pt idx="81">
                  <c:v>89.375142640304645</c:v>
                </c:pt>
                <c:pt idx="82">
                  <c:v>89.36060424326017</c:v>
                </c:pt>
                <c:pt idx="83">
                  <c:v>89.345728375331944</c:v>
                </c:pt>
                <c:pt idx="84">
                  <c:v>89.33050725949488</c:v>
                </c:pt>
                <c:pt idx="85">
                  <c:v>89.314932943542559</c:v>
                </c:pt>
                <c:pt idx="86">
                  <c:v>89.298997296431708</c:v>
                </c:pt>
                <c:pt idx="87">
                  <c:v>89.282692004571729</c:v>
                </c:pt>
                <c:pt idx="88">
                  <c:v>89.266008568059917</c:v>
                </c:pt>
                <c:pt idx="89">
                  <c:v>89.248938296863699</c:v>
                </c:pt>
                <c:pt idx="90">
                  <c:v>89.231472306950806</c:v>
                </c:pt>
                <c:pt idx="91">
                  <c:v>89.213601516369124</c:v>
                </c:pt>
                <c:pt idx="92">
                  <c:v>89.19531664127733</c:v>
                </c:pt>
                <c:pt idx="93">
                  <c:v>89.176608191928707</c:v>
                </c:pt>
                <c:pt idx="94">
                  <c:v>89.157466468609783</c:v>
                </c:pt>
                <c:pt idx="95">
                  <c:v>89.137881557536346</c:v>
                </c:pt>
                <c:pt idx="96">
                  <c:v>89.117843326709689</c:v>
                </c:pt>
                <c:pt idx="97">
                  <c:v>89.097341421735536</c:v>
                </c:pt>
                <c:pt idx="98">
                  <c:v>89.076365261609425</c:v>
                </c:pt>
                <c:pt idx="99">
                  <c:v>89.054904034472059</c:v>
                </c:pt>
                <c:pt idx="100">
                  <c:v>89.032946693338531</c:v>
                </c:pt>
                <c:pt idx="101">
                  <c:v>89.010481951806284</c:v>
                </c:pt>
                <c:pt idx="102">
                  <c:v>88.987498279746148</c:v>
                </c:pt>
                <c:pt idx="103">
                  <c:v>88.96398389898259</c:v>
                </c:pt>
                <c:pt idx="104">
                  <c:v>88.939926778968413</c:v>
                </c:pt>
                <c:pt idx="105">
                  <c:v>88.91531463246109</c:v>
                </c:pt>
                <c:pt idx="106">
                  <c:v>88.890134911207156</c:v>
                </c:pt>
                <c:pt idx="107">
                  <c:v>88.864374801642896</c:v>
                </c:pt>
                <c:pt idx="108">
                  <c:v>88.838021220619638</c:v>
                </c:pt>
                <c:pt idx="109">
                  <c:v>88.811060811162761</c:v>
                </c:pt>
                <c:pt idx="110">
                  <c:v>88.783479938274354</c:v>
                </c:pt>
                <c:pt idx="111">
                  <c:v>88.755264684790504</c:v>
                </c:pt>
                <c:pt idx="112">
                  <c:v>88.726400847304731</c:v>
                </c:pt>
                <c:pt idx="113">
                  <c:v>88.696873932170462</c:v>
                </c:pt>
                <c:pt idx="114">
                  <c:v>88.666669151596082</c:v>
                </c:pt>
                <c:pt idx="115">
                  <c:v>88.635771419847543</c:v>
                </c:pt>
                <c:pt idx="116">
                  <c:v>88.604165349574302</c:v>
                </c:pt>
                <c:pt idx="117">
                  <c:v>88.571835248276059</c:v>
                </c:pt>
                <c:pt idx="118">
                  <c:v>88.538765114928921</c:v>
                </c:pt>
                <c:pt idx="119">
                  <c:v>88.504938636790556</c:v>
                </c:pt>
                <c:pt idx="120">
                  <c:v>88.470339186406676</c:v>
                </c:pt>
                <c:pt idx="121">
                  <c:v>88.434949818840877</c:v>
                </c:pt>
                <c:pt idx="122">
                  <c:v>88.398753269153957</c:v>
                </c:pt>
                <c:pt idx="123">
                  <c:v>88.361731950158301</c:v>
                </c:pt>
                <c:pt idx="124">
                  <c:v>88.323867950476497</c:v>
                </c:pt>
                <c:pt idx="125">
                  <c:v>88.285143032934741</c:v>
                </c:pt>
                <c:pt idx="126">
                  <c:v>88.245538633323704</c:v>
                </c:pt>
                <c:pt idx="127">
                  <c:v>88.205035859562273</c:v>
                </c:pt>
                <c:pt idx="128">
                  <c:v>88.163615491301542</c:v>
                </c:pt>
                <c:pt idx="129">
                  <c:v>88.121257980008792</c:v>
                </c:pt>
                <c:pt idx="130">
                  <c:v>88.077943449575457</c:v>
                </c:pt>
                <c:pt idx="131">
                  <c:v>88.033651697493241</c:v>
                </c:pt>
                <c:pt idx="132">
                  <c:v>87.988362196648566</c:v>
                </c:pt>
                <c:pt idx="133">
                  <c:v>87.942054097786311</c:v>
                </c:pt>
                <c:pt idx="134">
                  <c:v>87.894706232698525</c:v>
                </c:pt>
                <c:pt idx="135">
                  <c:v>87.846297118196887</c:v>
                </c:pt>
                <c:pt idx="136">
                  <c:v>87.796804960931311</c:v>
                </c:pt>
                <c:pt idx="137">
                  <c:v>87.746207663120899</c:v>
                </c:pt>
                <c:pt idx="138">
                  <c:v>87.694482829268239</c:v>
                </c:pt>
                <c:pt idx="139">
                  <c:v>87.641607773930644</c:v>
                </c:pt>
                <c:pt idx="140">
                  <c:v>87.587559530628184</c:v>
                </c:pt>
                <c:pt idx="141">
                  <c:v>87.532314861971841</c:v>
                </c:pt>
                <c:pt idx="142">
                  <c:v>87.475850271099915</c:v>
                </c:pt>
                <c:pt idx="143">
                  <c:v>87.418142014516206</c:v>
                </c:pt>
                <c:pt idx="144">
                  <c:v>87.359166116427829</c:v>
                </c:pt>
                <c:pt idx="145">
                  <c:v>87.298898384686765</c:v>
                </c:pt>
                <c:pt idx="146">
                  <c:v>87.23731442844381</c:v>
                </c:pt>
                <c:pt idx="147">
                  <c:v>87.17438967762908</c:v>
                </c:pt>
                <c:pt idx="148">
                  <c:v>87.110099404379696</c:v>
                </c:pt>
                <c:pt idx="149">
                  <c:v>87.044418746539264</c:v>
                </c:pt>
                <c:pt idx="150">
                  <c:v>86.977322733362385</c:v>
                </c:pt>
                <c:pt idx="151">
                  <c:v>86.908786313559119</c:v>
                </c:pt>
                <c:pt idx="152">
                  <c:v>86.838784385824781</c:v>
                </c:pt>
                <c:pt idx="153">
                  <c:v>86.767291832001646</c:v>
                </c:pt>
                <c:pt idx="154">
                  <c:v>86.694283553028285</c:v>
                </c:pt>
                <c:pt idx="155">
                  <c:v>86.619734507836</c:v>
                </c:pt>
                <c:pt idx="156">
                  <c:v>86.543619755356815</c:v>
                </c:pt>
                <c:pt idx="157">
                  <c:v>86.465914499813948</c:v>
                </c:pt>
                <c:pt idx="158">
                  <c:v>86.386594139467903</c:v>
                </c:pt>
                <c:pt idx="159">
                  <c:v>86.305634318998386</c:v>
                </c:pt>
                <c:pt idx="160">
                  <c:v>86.223010985702615</c:v>
                </c:pt>
                <c:pt idx="161">
                  <c:v>86.138700449696799</c:v>
                </c:pt>
                <c:pt idx="162">
                  <c:v>86.052679448305199</c:v>
                </c:pt>
                <c:pt idx="163">
                  <c:v>85.964925214827389</c:v>
                </c:pt>
                <c:pt idx="164">
                  <c:v>85.875415551870645</c:v>
                </c:pt>
                <c:pt idx="165">
                  <c:v>85.784128909432965</c:v>
                </c:pt>
                <c:pt idx="166">
                  <c:v>85.69104446792295</c:v>
                </c:pt>
                <c:pt idx="167">
                  <c:v>85.59614222629375</c:v>
                </c:pt>
                <c:pt idx="168">
                  <c:v>85.499403095466107</c:v>
                </c:pt>
                <c:pt idx="169">
                  <c:v>85.400808997202802</c:v>
                </c:pt>
                <c:pt idx="170">
                  <c:v>85.300342968590954</c:v>
                </c:pt>
                <c:pt idx="171">
                  <c:v>85.197989272270888</c:v>
                </c:pt>
                <c:pt idx="172">
                  <c:v>85.093733512535721</c:v>
                </c:pt>
                <c:pt idx="173">
                  <c:v>84.987562757407588</c:v>
                </c:pt>
                <c:pt idx="174">
                  <c:v>84.879465666770713</c:v>
                </c:pt>
                <c:pt idx="175">
                  <c:v>84.76943262661672</c:v>
                </c:pt>
                <c:pt idx="176">
                  <c:v>84.657455889426586</c:v>
                </c:pt>
                <c:pt idx="177">
                  <c:v>84.54352972067673</c:v>
                </c:pt>
                <c:pt idx="178">
                  <c:v>84.427650551418722</c:v>
                </c:pt>
                <c:pt idx="179">
                  <c:v>84.309817136834553</c:v>
                </c:pt>
                <c:pt idx="180">
                  <c:v>84.190030720622005</c:v>
                </c:pt>
                <c:pt idx="181">
                  <c:v>84.068295205003338</c:v>
                </c:pt>
                <c:pt idx="182">
                  <c:v>83.944617326094544</c:v>
                </c:pt>
                <c:pt idx="183">
                  <c:v>83.819006834297653</c:v>
                </c:pt>
                <c:pt idx="184">
                  <c:v>83.69147667930892</c:v>
                </c:pt>
                <c:pt idx="185">
                  <c:v>83.56204319925105</c:v>
                </c:pt>
                <c:pt idx="186">
                  <c:v>83.430726313350888</c:v>
                </c:pt>
                <c:pt idx="187">
                  <c:v>83.297549717489971</c:v>
                </c:pt>
                <c:pt idx="188">
                  <c:v>83.162541081853604</c:v>
                </c:pt>
                <c:pt idx="189">
                  <c:v>83.025732249798466</c:v>
                </c:pt>
                <c:pt idx="190">
                  <c:v>82.887159436942781</c:v>
                </c:pt>
                <c:pt idx="191">
                  <c:v>82.746863429369824</c:v>
                </c:pt>
                <c:pt idx="192">
                  <c:v>82.604889779707406</c:v>
                </c:pt>
                <c:pt idx="193">
                  <c:v>82.461288999723436</c:v>
                </c:pt>
                <c:pt idx="194">
                  <c:v>82.316116747944577</c:v>
                </c:pt>
                <c:pt idx="195">
                  <c:v>82.169434010677776</c:v>
                </c:pt>
                <c:pt idx="196">
                  <c:v>82.021307274678122</c:v>
                </c:pt>
                <c:pt idx="197">
                  <c:v>81.871808689584256</c:v>
                </c:pt>
                <c:pt idx="198">
                  <c:v>81.721016218106911</c:v>
                </c:pt>
                <c:pt idx="199">
                  <c:v>81.569013771845164</c:v>
                </c:pt>
                <c:pt idx="200">
                  <c:v>81.415891330485167</c:v>
                </c:pt>
                <c:pt idx="201">
                  <c:v>81.261745042039152</c:v>
                </c:pt>
                <c:pt idx="202">
                  <c:v>81.106677301692088</c:v>
                </c:pt>
                <c:pt idx="203">
                  <c:v>80.950796806752919</c:v>
                </c:pt>
                <c:pt idx="204">
                  <c:v>80.794218585151583</c:v>
                </c:pt>
                <c:pt idx="205">
                  <c:v>80.637063994903954</c:v>
                </c:pt>
                <c:pt idx="206">
                  <c:v>80.479460691948674</c:v>
                </c:pt>
                <c:pt idx="207">
                  <c:v>80.321542563804272</c:v>
                </c:pt>
                <c:pt idx="208">
                  <c:v>80.163449626541976</c:v>
                </c:pt>
                <c:pt idx="209">
                  <c:v>80.005327882669974</c:v>
                </c:pt>
                <c:pt idx="210">
                  <c:v>79.847329137667018</c:v>
                </c:pt>
                <c:pt idx="211">
                  <c:v>79.689610773065809</c:v>
                </c:pt>
                <c:pt idx="212">
                  <c:v>79.532335474222023</c:v>
                </c:pt>
                <c:pt idx="213">
                  <c:v>79.375670911160427</c:v>
                </c:pt>
                <c:pt idx="214">
                  <c:v>79.219789371204541</c:v>
                </c:pt>
                <c:pt idx="215">
                  <c:v>79.064867342458712</c:v>
                </c:pt>
                <c:pt idx="216">
                  <c:v>78.911085047603748</c:v>
                </c:pt>
                <c:pt idx="217">
                  <c:v>78.758625927928918</c:v>
                </c:pt>
                <c:pt idx="218">
                  <c:v>78.607676077998235</c:v>
                </c:pt>
                <c:pt idx="219">
                  <c:v>78.458423631886646</c:v>
                </c:pt>
                <c:pt idx="220">
                  <c:v>78.311058102466333</c:v>
                </c:pt>
                <c:pt idx="221">
                  <c:v>78.165769675822773</c:v>
                </c:pt>
                <c:pt idx="222">
                  <c:v>78.022748463470023</c:v>
                </c:pt>
                <c:pt idx="223">
                  <c:v>77.882183715656851</c:v>
                </c:pt>
                <c:pt idx="224">
                  <c:v>77.744262999672912</c:v>
                </c:pt>
                <c:pt idx="225">
                  <c:v>77.609171347661075</c:v>
                </c:pt>
                <c:pt idx="226">
                  <c:v>77.477090379044611</c:v>
                </c:pt>
                <c:pt idx="227">
                  <c:v>77.348197403229463</c:v>
                </c:pt>
                <c:pt idx="228">
                  <c:v>77.222664508756395</c:v>
                </c:pt>
                <c:pt idx="229">
                  <c:v>77.10065764554902</c:v>
                </c:pt>
                <c:pt idx="230">
                  <c:v>76.982335707299526</c:v>
                </c:pt>
                <c:pt idx="231">
                  <c:v>76.867849621359767</c:v>
                </c:pt>
                <c:pt idx="232">
                  <c:v>76.757341453748424</c:v>
                </c:pt>
                <c:pt idx="233">
                  <c:v>76.650943537030912</c:v>
                </c:pt>
                <c:pt idx="234">
                  <c:v>76.548777628882718</c:v>
                </c:pt>
                <c:pt idx="235">
                  <c:v>76.450954109081522</c:v>
                </c:pt>
                <c:pt idx="236">
                  <c:v>76.357571222517322</c:v>
                </c:pt>
                <c:pt idx="237">
                  <c:v>76.268714375528532</c:v>
                </c:pt>
                <c:pt idx="238">
                  <c:v>76.184455492488539</c:v>
                </c:pt>
                <c:pt idx="239">
                  <c:v>76.104852439075117</c:v>
                </c:pt>
                <c:pt idx="240">
                  <c:v>76.029948518065481</c:v>
                </c:pt>
                <c:pt idx="241">
                  <c:v>75.959772042808893</c:v>
                </c:pt>
                <c:pt idx="242">
                  <c:v>75.894335992764624</c:v>
                </c:pt>
                <c:pt idx="243">
                  <c:v>75.833637754646219</c:v>
                </c:pt>
                <c:pt idx="244">
                  <c:v>75.777658951813649</c:v>
                </c:pt>
                <c:pt idx="245">
                  <c:v>75.726365363613084</c:v>
                </c:pt>
                <c:pt idx="246">
                  <c:v>75.679706935384218</c:v>
                </c:pt>
                <c:pt idx="247">
                  <c:v>75.637617878874465</c:v>
                </c:pt>
                <c:pt idx="248">
                  <c:v>75.600016861812051</c:v>
                </c:pt>
                <c:pt idx="249">
                  <c:v>75.566807284436948</c:v>
                </c:pt>
                <c:pt idx="250">
                  <c:v>75.537877639860099</c:v>
                </c:pt>
                <c:pt idx="251">
                  <c:v>75.513101954249052</c:v>
                </c:pt>
                <c:pt idx="252">
                  <c:v>75.492340302039722</c:v>
                </c:pt>
                <c:pt idx="253">
                  <c:v>75.475439390643558</c:v>
                </c:pt>
                <c:pt idx="254">
                  <c:v>75.462233208479702</c:v>
                </c:pt>
                <c:pt idx="255">
                  <c:v>75.452543729634854</c:v>
                </c:pt>
                <c:pt idx="256">
                  <c:v>75.446181668004286</c:v>
                </c:pt>
                <c:pt idx="257">
                  <c:v>75.44294727344915</c:v>
                </c:pt>
                <c:pt idx="258">
                  <c:v>75.442631162294987</c:v>
                </c:pt>
                <c:pt idx="259">
                  <c:v>75.445015174373552</c:v>
                </c:pt>
                <c:pt idx="260">
                  <c:v>75.44987324882733</c:v>
                </c:pt>
                <c:pt idx="261">
                  <c:v>75.456972311000058</c:v>
                </c:pt>
                <c:pt idx="262">
                  <c:v>75.466073162914299</c:v>
                </c:pt>
                <c:pt idx="263">
                  <c:v>75.476931370161068</c:v>
                </c:pt>
                <c:pt idx="264">
                  <c:v>75.489298138364106</c:v>
                </c:pt>
                <c:pt idx="265">
                  <c:v>75.502921172835428</c:v>
                </c:pt>
                <c:pt idx="266">
                  <c:v>75.51754551552844</c:v>
                </c:pt>
                <c:pt idx="267">
                  <c:v>75.532914353941251</c:v>
                </c:pt>
                <c:pt idx="268">
                  <c:v>75.548769797194225</c:v>
                </c:pt>
                <c:pt idx="269">
                  <c:v>75.564853615115609</c:v>
                </c:pt>
                <c:pt idx="270">
                  <c:v>75.580907936782083</c:v>
                </c:pt>
                <c:pt idx="271">
                  <c:v>75.596675905577456</c:v>
                </c:pt>
                <c:pt idx="272">
                  <c:v>75.611902288447411</c:v>
                </c:pt>
                <c:pt idx="273">
                  <c:v>75.626334037627259</c:v>
                </c:pt>
                <c:pt idx="274">
                  <c:v>75.63972080368616</c:v>
                </c:pt>
                <c:pt idx="275">
                  <c:v>75.651815399286008</c:v>
                </c:pt>
                <c:pt idx="276">
                  <c:v>75.662374213554585</c:v>
                </c:pt>
                <c:pt idx="277">
                  <c:v>75.671157577445811</c:v>
                </c:pt>
                <c:pt idx="278">
                  <c:v>75.677930080890619</c:v>
                </c:pt>
                <c:pt idx="279">
                  <c:v>75.682460842919838</c:v>
                </c:pt>
                <c:pt idx="280">
                  <c:v>75.684523736283396</c:v>
                </c:pt>
                <c:pt idx="281">
                  <c:v>75.683897568378896</c:v>
                </c:pt>
                <c:pt idx="282">
                  <c:v>75.680366220549672</c:v>
                </c:pt>
                <c:pt idx="283">
                  <c:v>75.673718748013201</c:v>
                </c:pt>
                <c:pt idx="284">
                  <c:v>75.663749442844122</c:v>
                </c:pt>
                <c:pt idx="285">
                  <c:v>75.650257862550149</c:v>
                </c:pt>
                <c:pt idx="286">
                  <c:v>75.633048826868318</c:v>
                </c:pt>
                <c:pt idx="287">
                  <c:v>75.61193238545097</c:v>
                </c:pt>
                <c:pt idx="288">
                  <c:v>75.58672375913612</c:v>
                </c:pt>
                <c:pt idx="289">
                  <c:v>75.557243257475335</c:v>
                </c:pt>
                <c:pt idx="290">
                  <c:v>75.523316175171956</c:v>
                </c:pt>
                <c:pt idx="291">
                  <c:v>75.48477267001708</c:v>
                </c:pt>
                <c:pt idx="292">
                  <c:v>75.441447624838574</c:v>
                </c:pt>
                <c:pt idx="293">
                  <c:v>75.393180495898235</c:v>
                </c:pt>
                <c:pt idx="294">
                  <c:v>75.339815150065007</c:v>
                </c:pt>
                <c:pt idx="295">
                  <c:v>75.281199692988793</c:v>
                </c:pt>
                <c:pt idx="296">
                  <c:v>75.217186290382358</c:v>
                </c:pt>
                <c:pt idx="297">
                  <c:v>75.147630984404216</c:v>
                </c:pt>
                <c:pt idx="298">
                  <c:v>75.072393507009338</c:v>
                </c:pt>
                <c:pt idx="299">
                  <c:v>74.99133709201891</c:v>
                </c:pt>
                <c:pt idx="300">
                  <c:v>74.904328287537425</c:v>
                </c:pt>
                <c:pt idx="301">
                  <c:v>74.811236770227694</c:v>
                </c:pt>
                <c:pt idx="302">
                  <c:v>74.711935162843602</c:v>
                </c:pt>
                <c:pt idx="303">
                  <c:v>74.606298856309806</c:v>
                </c:pt>
                <c:pt idx="304">
                  <c:v>74.494205837531538</c:v>
                </c:pt>
                <c:pt idx="305">
                  <c:v>74.375536524023474</c:v>
                </c:pt>
                <c:pt idx="306">
                  <c:v>74.250173606351453</c:v>
                </c:pt>
                <c:pt idx="307">
                  <c:v>74.118001899295493</c:v>
                </c:pt>
                <c:pt idx="308">
                  <c:v>73.978908202564526</c:v>
                </c:pt>
                <c:pt idx="309">
                  <c:v>73.832781171817629</c:v>
                </c:pt>
                <c:pt idx="310">
                  <c:v>73.679511200680722</c:v>
                </c:pt>
                <c:pt idx="311">
                  <c:v>73.518990314388432</c:v>
                </c:pt>
                <c:pt idx="312">
                  <c:v>73.351112075620421</c:v>
                </c:pt>
                <c:pt idx="313">
                  <c:v>73.175771503057348</c:v>
                </c:pt>
                <c:pt idx="314">
                  <c:v>72.992865003129637</c:v>
                </c:pt>
                <c:pt idx="315">
                  <c:v>72.802290315400128</c:v>
                </c:pt>
                <c:pt idx="316">
                  <c:v>72.603946471972833</c:v>
                </c:pt>
                <c:pt idx="317">
                  <c:v>72.397733771297936</c:v>
                </c:pt>
                <c:pt idx="318">
                  <c:v>72.183553766703881</c:v>
                </c:pt>
                <c:pt idx="319">
                  <c:v>71.961309269961177</c:v>
                </c:pt>
                <c:pt idx="320">
                  <c:v>71.730904370156807</c:v>
                </c:pt>
                <c:pt idx="321">
                  <c:v>71.492244468128703</c:v>
                </c:pt>
                <c:pt idx="322">
                  <c:v>71.245236326682615</c:v>
                </c:pt>
                <c:pt idx="323">
                  <c:v>70.989788136792569</c:v>
                </c:pt>
                <c:pt idx="324">
                  <c:v>70.725809599949329</c:v>
                </c:pt>
                <c:pt idx="325">
                  <c:v>70.453212026799292</c:v>
                </c:pt>
                <c:pt idx="326">
                  <c:v>70.171908452179864</c:v>
                </c:pt>
                <c:pt idx="327">
                  <c:v>69.881813766622059</c:v>
                </c:pt>
                <c:pt idx="328">
                  <c:v>69.582844864354556</c:v>
                </c:pt>
                <c:pt idx="329">
                  <c:v>69.27492080779426</c:v>
                </c:pt>
                <c:pt idx="330">
                  <c:v>68.957963008469591</c:v>
                </c:pt>
                <c:pt idx="331">
                  <c:v>68.631895424254083</c:v>
                </c:pt>
                <c:pt idx="332">
                  <c:v>68.296644772745083</c:v>
                </c:pt>
                <c:pt idx="333">
                  <c:v>67.95214076053648</c:v>
                </c:pt>
                <c:pt idx="334">
                  <c:v>67.59831632807547</c:v>
                </c:pt>
                <c:pt idx="335">
                  <c:v>67.235107909704581</c:v>
                </c:pt>
                <c:pt idx="336">
                  <c:v>66.8624557083984</c:v>
                </c:pt>
                <c:pt idx="337">
                  <c:v>66.480303984611581</c:v>
                </c:pt>
                <c:pt idx="338">
                  <c:v>66.088601358544267</c:v>
                </c:pt>
                <c:pt idx="339">
                  <c:v>65.687301125024035</c:v>
                </c:pt>
                <c:pt idx="340">
                  <c:v>65.276361580067388</c:v>
                </c:pt>
                <c:pt idx="341">
                  <c:v>64.855746358068131</c:v>
                </c:pt>
                <c:pt idx="342">
                  <c:v>64.425424778414623</c:v>
                </c:pt>
                <c:pt idx="343">
                  <c:v>63.985372200194234</c:v>
                </c:pt>
                <c:pt idx="344">
                  <c:v>63.535570383492477</c:v>
                </c:pt>
                <c:pt idx="345">
                  <c:v>63.076007855643503</c:v>
                </c:pt>
                <c:pt idx="346">
                  <c:v>62.606680280624374</c:v>
                </c:pt>
                <c:pt idx="347">
                  <c:v>62.12759082963094</c:v>
                </c:pt>
                <c:pt idx="348">
                  <c:v>61.638750550703143</c:v>
                </c:pt>
                <c:pt idx="349">
                  <c:v>61.140178735122802</c:v>
                </c:pt>
                <c:pt idx="350">
                  <c:v>60.631903278138083</c:v>
                </c:pt>
                <c:pt idx="351">
                  <c:v>60.113961031428389</c:v>
                </c:pt>
                <c:pt idx="352">
                  <c:v>59.586398144585154</c:v>
                </c:pt>
                <c:pt idx="353">
                  <c:v>59.049270392754373</c:v>
                </c:pt>
                <c:pt idx="354">
                  <c:v>58.50264348747605</c:v>
                </c:pt>
                <c:pt idx="355">
                  <c:v>57.946593367668363</c:v>
                </c:pt>
                <c:pt idx="356">
                  <c:v>57.381206467627898</c:v>
                </c:pt>
                <c:pt idx="357">
                  <c:v>56.806579958875986</c:v>
                </c:pt>
                <c:pt idx="358">
                  <c:v>56.222821962665861</c:v>
                </c:pt>
                <c:pt idx="359">
                  <c:v>55.630051729978703</c:v>
                </c:pt>
                <c:pt idx="360">
                  <c:v>55.028399785889704</c:v>
                </c:pt>
                <c:pt idx="361">
                  <c:v>54.418008035268919</c:v>
                </c:pt>
                <c:pt idx="362">
                  <c:v>53.799029826917064</c:v>
                </c:pt>
                <c:pt idx="363">
                  <c:v>53.171629973397913</c:v>
                </c:pt>
                <c:pt idx="364">
                  <c:v>52.535984724046692</c:v>
                </c:pt>
                <c:pt idx="365">
                  <c:v>51.892281688888261</c:v>
                </c:pt>
                <c:pt idx="366">
                  <c:v>51.240719711493163</c:v>
                </c:pt>
                <c:pt idx="367">
                  <c:v>50.581508689154454</c:v>
                </c:pt>
                <c:pt idx="368">
                  <c:v>49.914869339133567</c:v>
                </c:pt>
                <c:pt idx="369">
                  <c:v>49.241032910155802</c:v>
                </c:pt>
                <c:pt idx="370">
                  <c:v>48.560240838786846</c:v>
                </c:pt>
                <c:pt idx="371">
                  <c:v>47.872744350807054</c:v>
                </c:pt>
                <c:pt idx="372">
                  <c:v>47.178804008204025</c:v>
                </c:pt>
                <c:pt idx="373">
                  <c:v>46.478689202944388</c:v>
                </c:pt>
                <c:pt idx="374">
                  <c:v>45.772677599206553</c:v>
                </c:pt>
                <c:pt idx="375">
                  <c:v>45.061054526316575</c:v>
                </c:pt>
                <c:pt idx="376">
                  <c:v>44.344112325155635</c:v>
                </c:pt>
                <c:pt idx="377">
                  <c:v>43.622149651339875</c:v>
                </c:pt>
                <c:pt idx="378">
                  <c:v>42.89547073897851</c:v>
                </c:pt>
                <c:pt idx="379">
                  <c:v>42.164384629288563</c:v>
                </c:pt>
                <c:pt idx="380">
                  <c:v>41.429204368793037</c:v>
                </c:pt>
                <c:pt idx="381">
                  <c:v>40.690246182210132</c:v>
                </c:pt>
                <c:pt idx="382">
                  <c:v>39.947828625497458</c:v>
                </c:pt>
                <c:pt idx="383">
                  <c:v>39.202271724786684</c:v>
                </c:pt>
                <c:pt idx="384">
                  <c:v>38.453896107175439</c:v>
                </c:pt>
                <c:pt idx="385">
                  <c:v>37.703022129489362</c:v>
                </c:pt>
                <c:pt idx="386">
                  <c:v>36.949969011213817</c:v>
                </c:pt>
                <c:pt idx="387">
                  <c:v>36.195053977803951</c:v>
                </c:pt>
                <c:pt idx="388">
                  <c:v>35.438591420523359</c:v>
                </c:pt>
                <c:pt idx="389">
                  <c:v>34.680892078831342</c:v>
                </c:pt>
                <c:pt idx="390">
                  <c:v>33.922262251136985</c:v>
                </c:pt>
                <c:pt idx="391">
                  <c:v>33.163003039474347</c:v>
                </c:pt>
                <c:pt idx="392">
                  <c:v>32.403409633338647</c:v>
                </c:pt>
                <c:pt idx="393">
                  <c:v>31.643770637536708</c:v>
                </c:pt>
                <c:pt idx="394">
                  <c:v>30.884367448489687</c:v>
                </c:pt>
                <c:pt idx="395">
                  <c:v>30.125473682962678</c:v>
                </c:pt>
                <c:pt idx="396">
                  <c:v>29.367354662706429</c:v>
                </c:pt>
                <c:pt idx="397">
                  <c:v>28.610266957974051</c:v>
                </c:pt>
                <c:pt idx="398">
                  <c:v>27.854457992350497</c:v>
                </c:pt>
                <c:pt idx="399">
                  <c:v>27.100165710795189</c:v>
                </c:pt>
                <c:pt idx="400">
                  <c:v>26.347618312259936</c:v>
                </c:pt>
                <c:pt idx="401">
                  <c:v>25.597034047714548</c:v>
                </c:pt>
                <c:pt idx="402">
                  <c:v>24.848621083903396</c:v>
                </c:pt>
                <c:pt idx="403">
                  <c:v>24.102577432653803</c:v>
                </c:pt>
                <c:pt idx="404">
                  <c:v>23.359090945106601</c:v>
                </c:pt>
                <c:pt idx="405">
                  <c:v>22.618339369774549</c:v>
                </c:pt>
                <c:pt idx="406">
                  <c:v>21.880490472958929</c:v>
                </c:pt>
                <c:pt idx="407">
                  <c:v>21.145702219661956</c:v>
                </c:pt>
                <c:pt idx="408">
                  <c:v>20.414123012808545</c:v>
                </c:pt>
                <c:pt idx="409">
                  <c:v>19.685891988293889</c:v>
                </c:pt>
                <c:pt idx="410">
                  <c:v>18.961139363121742</c:v>
                </c:pt>
                <c:pt idx="411">
                  <c:v>18.239986833651521</c:v>
                </c:pt>
                <c:pt idx="412">
                  <c:v>17.52254802081643</c:v>
                </c:pt>
                <c:pt idx="413">
                  <c:v>16.808928958990215</c:v>
                </c:pt>
                <c:pt idx="414">
                  <c:v>16.099228625066647</c:v>
                </c:pt>
                <c:pt idx="415">
                  <c:v>15.393539504214417</c:v>
                </c:pt>
                <c:pt idx="416">
                  <c:v>14.691948188687348</c:v>
                </c:pt>
                <c:pt idx="417">
                  <c:v>13.994536006016496</c:v>
                </c:pt>
                <c:pt idx="418">
                  <c:v>13.301379672874278</c:v>
                </c:pt>
                <c:pt idx="419">
                  <c:v>12.612551970859489</c:v>
                </c:pt>
                <c:pt idx="420">
                  <c:v>11.928122440455434</c:v>
                </c:pt>
                <c:pt idx="421">
                  <c:v>11.248158089383201</c:v>
                </c:pt>
                <c:pt idx="422">
                  <c:v>10.572724111584932</c:v>
                </c:pt>
                <c:pt idx="423">
                  <c:v>9.9018846130551079</c:v>
                </c:pt>
                <c:pt idx="424">
                  <c:v>9.235703340743509</c:v>
                </c:pt>
                <c:pt idx="425">
                  <c:v>8.5742444107484186</c:v>
                </c:pt>
                <c:pt idx="426">
                  <c:v>7.9175730320106954</c:v>
                </c:pt>
                <c:pt idx="427">
                  <c:v>7.2657562217130822</c:v>
                </c:pt>
                <c:pt idx="428">
                  <c:v>6.6188635085785705</c:v>
                </c:pt>
                <c:pt idx="429">
                  <c:v>5.9769676202395399</c:v>
                </c:pt>
                <c:pt idx="430">
                  <c:v>5.3401451508529378</c:v>
                </c:pt>
                <c:pt idx="431">
                  <c:v>4.7084772050960151</c:v>
                </c:pt>
                <c:pt idx="432">
                  <c:v>4.0820500146915712</c:v>
                </c:pt>
                <c:pt idx="433">
                  <c:v>3.4609555235757941</c:v>
                </c:pt>
                <c:pt idx="434">
                  <c:v>2.8452919378447428</c:v>
                </c:pt>
                <c:pt idx="435">
                  <c:v>2.2351642366061197</c:v>
                </c:pt>
                <c:pt idx="436">
                  <c:v>1.6306846398928141</c:v>
                </c:pt>
                <c:pt idx="437">
                  <c:v>1.0319730298321961</c:v>
                </c:pt>
                <c:pt idx="438">
                  <c:v>0.43915732132352175</c:v>
                </c:pt>
                <c:pt idx="439">
                  <c:v>-0.14762622143704204</c:v>
                </c:pt>
                <c:pt idx="440">
                  <c:v>-0.72823272613585144</c:v>
                </c:pt>
                <c:pt idx="441">
                  <c:v>-1.30250851463244</c:v>
                </c:pt>
                <c:pt idx="442">
                  <c:v>-1.8702909695845629</c:v>
                </c:pt>
                <c:pt idx="443">
                  <c:v>-2.4314084684199067</c:v>
                </c:pt>
                <c:pt idx="444">
                  <c:v>-2.9856803874033702</c:v>
                </c:pt>
                <c:pt idx="445">
                  <c:v>-3.5329171782520272</c:v>
                </c:pt>
                <c:pt idx="446">
                  <c:v>-4.0729205193984619</c:v>
                </c:pt>
                <c:pt idx="447">
                  <c:v>-4.6054835436252928</c:v>
                </c:pt>
                <c:pt idx="448">
                  <c:v>-5.1303911433448155</c:v>
                </c:pt>
                <c:pt idx="449">
                  <c:v>-5.6474203543377994</c:v>
                </c:pt>
                <c:pt idx="450">
                  <c:v>-6.1563408182338391</c:v>
                </c:pt>
                <c:pt idx="451">
                  <c:v>-6.6569153234712584</c:v>
                </c:pt>
                <c:pt idx="452">
                  <c:v>-7.1489004238791347</c:v>
                </c:pt>
                <c:pt idx="453">
                  <c:v>-7.6320471334118363</c:v>
                </c:pt>
                <c:pt idx="454">
                  <c:v>-8.1061016949244795</c:v>
                </c:pt>
                <c:pt idx="455">
                  <c:v>-8.5708064202232954</c:v>
                </c:pt>
                <c:pt idx="456">
                  <c:v>-9.0259005979615416</c:v>
                </c:pt>
                <c:pt idx="457">
                  <c:v>-9.4711214652898406</c:v>
                </c:pt>
                <c:pt idx="458">
                  <c:v>-9.9062052385145236</c:v>
                </c:pt>
                <c:pt idx="459">
                  <c:v>-10.330888197378741</c:v>
                </c:pt>
                <c:pt idx="460">
                  <c:v>-10.744907816979037</c:v>
                </c:pt>
                <c:pt idx="461">
                  <c:v>-11.148003940741351</c:v>
                </c:pt>
                <c:pt idx="462">
                  <c:v>-11.53991998736889</c:v>
                </c:pt>
                <c:pt idx="463">
                  <c:v>-11.920404184179629</c:v>
                </c:pt>
                <c:pt idx="464">
                  <c:v>-12.28921081884568</c:v>
                </c:pt>
                <c:pt idx="465">
                  <c:v>-12.646101501192879</c:v>
                </c:pt>
                <c:pt idx="466">
                  <c:v>-12.990846426440532</c:v>
                </c:pt>
                <c:pt idx="467">
                  <c:v>-13.323225631065855</c:v>
                </c:pt>
                <c:pt idx="468">
                  <c:v>-13.643030232359688</c:v>
                </c:pt>
                <c:pt idx="469">
                  <c:v>-13.950063642704182</c:v>
                </c:pt>
                <c:pt idx="470">
                  <c:v>-14.244142749665244</c:v>
                </c:pt>
                <c:pt idx="471">
                  <c:v>-14.525099053118348</c:v>
                </c:pt>
                <c:pt idx="472">
                  <c:v>-14.792779750869871</c:v>
                </c:pt>
                <c:pt idx="473">
                  <c:v>-15.047048764522239</c:v>
                </c:pt>
                <c:pt idx="474">
                  <c:v>-15.28778769774001</c:v>
                </c:pt>
                <c:pt idx="475">
                  <c:v>-15.514896719522371</c:v>
                </c:pt>
                <c:pt idx="476">
                  <c:v>-15.728295365633779</c:v>
                </c:pt>
                <c:pt idx="477">
                  <c:v>-15.927923251934461</c:v>
                </c:pt>
                <c:pt idx="478">
                  <c:v>-16.113740694024319</c:v>
                </c:pt>
                <c:pt idx="479">
                  <c:v>-16.285729228320513</c:v>
                </c:pt>
                <c:pt idx="480">
                  <c:v>-16.443892030441248</c:v>
                </c:pt>
                <c:pt idx="481">
                  <c:v>-16.588254227578616</c:v>
                </c:pt>
                <c:pt idx="482">
                  <c:v>-16.718863102356778</c:v>
                </c:pt>
                <c:pt idx="483">
                  <c:v>-16.835788186527456</c:v>
                </c:pt>
                <c:pt idx="484">
                  <c:v>-16.939121243713046</c:v>
                </c:pt>
                <c:pt idx="485">
                  <c:v>-17.028976141279642</c:v>
                </c:pt>
                <c:pt idx="486">
                  <c:v>-17.105488612289236</c:v>
                </c:pt>
                <c:pt idx="487">
                  <c:v>-17.168815909333116</c:v>
                </c:pt>
                <c:pt idx="488">
                  <c:v>-17.219136352889073</c:v>
                </c:pt>
                <c:pt idx="489">
                  <c:v>-17.256648777658338</c:v>
                </c:pt>
                <c:pt idx="490">
                  <c:v>-17.281571881111098</c:v>
                </c:pt>
                <c:pt idx="491">
                  <c:v>-17.294143479210451</c:v>
                </c:pt>
                <c:pt idx="492">
                  <c:v>-17.294619674965343</c:v>
                </c:pt>
                <c:pt idx="493">
                  <c:v>-17.28327394609995</c:v>
                </c:pt>
                <c:pt idx="494">
                  <c:v>-17.260396158686948</c:v>
                </c:pt>
                <c:pt idx="495">
                  <c:v>-17.226291514097351</c:v>
                </c:pt>
                <c:pt idx="496">
                  <c:v>-17.18127943704275</c:v>
                </c:pt>
                <c:pt idx="497">
                  <c:v>-17.12569241282986</c:v>
                </c:pt>
                <c:pt idx="498">
                  <c:v>-17.05987478221493</c:v>
                </c:pt>
                <c:pt idx="499">
                  <c:v>-16.984181502425468</c:v>
                </c:pt>
                <c:pt idx="500">
                  <c:v>-16.898976883007844</c:v>
                </c:pt>
                <c:pt idx="501">
                  <c:v>-16.804633305172516</c:v>
                </c:pt>
                <c:pt idx="502">
                  <c:v>-16.701529933222236</c:v>
                </c:pt>
                <c:pt idx="503">
                  <c:v>-16.590051426495727</c:v>
                </c:pt>
                <c:pt idx="504">
                  <c:v>-16.470586660010287</c:v>
                </c:pt>
                <c:pt idx="505">
                  <c:v>-16.343527461672782</c:v>
                </c:pt>
                <c:pt idx="506">
                  <c:v>-16.209267373537717</c:v>
                </c:pt>
                <c:pt idx="507">
                  <c:v>-16.068200444139503</c:v>
                </c:pt>
                <c:pt idx="508">
                  <c:v>-15.920720058416407</c:v>
                </c:pt>
                <c:pt idx="509">
                  <c:v>-15.767217811185347</c:v>
                </c:pt>
                <c:pt idx="510">
                  <c:v>-15.608082429532995</c:v>
                </c:pt>
                <c:pt idx="511">
                  <c:v>-15.443698748851382</c:v>
                </c:pt>
                <c:pt idx="512">
                  <c:v>-15.274446746608344</c:v>
                </c:pt>
                <c:pt idx="513">
                  <c:v>-15.1007006372684</c:v>
                </c:pt>
                <c:pt idx="514">
                  <c:v>-14.922828031125761</c:v>
                </c:pt>
                <c:pt idx="515">
                  <c:v>-14.741189159140809</c:v>
                </c:pt>
                <c:pt idx="516">
                  <c:v>-14.556136165231615</c:v>
                </c:pt>
                <c:pt idx="517">
                  <c:v>-14.368012466846322</c:v>
                </c:pt>
                <c:pt idx="518">
                  <c:v>-14.177152184039908</c:v>
                </c:pt>
                <c:pt idx="519">
                  <c:v>-13.983879636722305</c:v>
                </c:pt>
                <c:pt idx="520">
                  <c:v>-13.788508909218743</c:v>
                </c:pt>
                <c:pt idx="521">
                  <c:v>-13.591343480799114</c:v>
                </c:pt>
                <c:pt idx="522">
                  <c:v>-13.392675920402977</c:v>
                </c:pt>
                <c:pt idx="523">
                  <c:v>-13.192787643399491</c:v>
                </c:pt>
                <c:pt idx="524">
                  <c:v>-12.991948727884013</c:v>
                </c:pt>
                <c:pt idx="525">
                  <c:v>-12.790417787727071</c:v>
                </c:pt>
                <c:pt idx="526">
                  <c:v>-12.588441899359012</c:v>
                </c:pt>
                <c:pt idx="527">
                  <c:v>-12.386256579076081</c:v>
                </c:pt>
                <c:pt idx="528">
                  <c:v>-12.184085807525141</c:v>
                </c:pt>
                <c:pt idx="529">
                  <c:v>-11.982142097912954</c:v>
                </c:pt>
                <c:pt idx="530">
                  <c:v>-11.780626604444643</c:v>
                </c:pt>
                <c:pt idx="531">
                  <c:v>-11.579729267465623</c:v>
                </c:pt>
                <c:pt idx="532">
                  <c:v>-11.379628991808559</c:v>
                </c:pt>
                <c:pt idx="533">
                  <c:v>-11.180493854891859</c:v>
                </c:pt>
                <c:pt idx="534">
                  <c:v>-10.982481341192896</c:v>
                </c:pt>
                <c:pt idx="535">
                  <c:v>-10.785738599821972</c:v>
                </c:pt>
                <c:pt idx="536">
                  <c:v>-10.590402722043679</c:v>
                </c:pt>
                <c:pt idx="537">
                  <c:v>-10.39660103572931</c:v>
                </c:pt>
                <c:pt idx="538">
                  <c:v>-10.204451413877335</c:v>
                </c:pt>
                <c:pt idx="539">
                  <c:v>-10.014062594503404</c:v>
                </c:pt>
                <c:pt idx="540">
                  <c:v>-9.8255345093651361</c:v>
                </c:pt>
                <c:pt idx="541">
                  <c:v>-9.6389586191678287</c:v>
                </c:pt>
              </c:numCache>
            </c:numRef>
          </c:yVal>
          <c:smooth val="1"/>
          <c:extLst>
            <c:ext xmlns:c16="http://schemas.microsoft.com/office/drawing/2014/chart" uri="{C3380CC4-5D6E-409C-BE32-E72D297353CC}">
              <c16:uniqueId val="{00000001-9BE3-446F-AD8F-7375B5564585}"/>
            </c:ext>
          </c:extLst>
        </c:ser>
        <c:dLbls>
          <c:showLegendKey val="0"/>
          <c:showVal val="0"/>
          <c:showCatName val="0"/>
          <c:showSerName val="0"/>
          <c:showPercent val="0"/>
          <c:showBubbleSize val="0"/>
        </c:dLbls>
        <c:axId val="178915200"/>
        <c:axId val="178913664"/>
      </c:scatterChart>
      <c:valAx>
        <c:axId val="178901376"/>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8903296"/>
        <c:crosses val="autoZero"/>
        <c:crossBetween val="midCat"/>
      </c:valAx>
      <c:valAx>
        <c:axId val="178903296"/>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78901376"/>
        <c:crosses val="autoZero"/>
        <c:crossBetween val="midCat"/>
        <c:majorUnit val="20"/>
        <c:minorUnit val="10"/>
      </c:valAx>
      <c:valAx>
        <c:axId val="178913664"/>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78915200"/>
        <c:crosses val="max"/>
        <c:crossBetween val="midCat"/>
        <c:majorUnit val="90"/>
        <c:minorUnit val="45"/>
      </c:valAx>
      <c:valAx>
        <c:axId val="178915200"/>
        <c:scaling>
          <c:logBase val="10"/>
          <c:orientation val="minMax"/>
        </c:scaling>
        <c:delete val="1"/>
        <c:axPos val="b"/>
        <c:numFmt formatCode="0.00" sourceLinked="1"/>
        <c:majorTickMark val="out"/>
        <c:minorTickMark val="none"/>
        <c:tickLblPos val="nextTo"/>
        <c:crossAx val="17891366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Total Control Loop Transfer Function</a:t>
            </a:r>
          </a:p>
        </c:rich>
      </c:tx>
      <c:overlay val="0"/>
    </c:title>
    <c:autoTitleDeleted val="0"/>
    <c:plotArea>
      <c:layout/>
      <c:scatterChart>
        <c:scatterStyle val="smoothMarker"/>
        <c:varyColors val="0"/>
        <c:ser>
          <c:idx val="0"/>
          <c:order val="0"/>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Loop_Modeling!$BL$19:$BL$560</c:f>
              <c:numCache>
                <c:formatCode>General</c:formatCode>
                <c:ptCount val="542"/>
                <c:pt idx="0">
                  <c:v>70.533328439616326</c:v>
                </c:pt>
                <c:pt idx="1">
                  <c:v>70.333311985890163</c:v>
                </c:pt>
                <c:pt idx="2">
                  <c:v>70.133294756805682</c:v>
                </c:pt>
                <c:pt idx="3">
                  <c:v>69.933276715829194</c:v>
                </c:pt>
                <c:pt idx="4">
                  <c:v>69.733257824706001</c:v>
                </c:pt>
                <c:pt idx="5">
                  <c:v>69.533238043379598</c:v>
                </c:pt>
                <c:pt idx="6">
                  <c:v>69.33321732990629</c:v>
                </c:pt>
                <c:pt idx="7">
                  <c:v>69.133195640366765</c:v>
                </c:pt>
                <c:pt idx="8">
                  <c:v>68.933172928773004</c:v>
                </c:pt>
                <c:pt idx="9">
                  <c:v>68.73314914697076</c:v>
                </c:pt>
                <c:pt idx="10">
                  <c:v>68.533124244537646</c:v>
                </c:pt>
                <c:pt idx="11">
                  <c:v>68.333098168676543</c:v>
                </c:pt>
                <c:pt idx="12">
                  <c:v>68.133070864103644</c:v>
                </c:pt>
                <c:pt idx="13">
                  <c:v>67.933042272931175</c:v>
                </c:pt>
                <c:pt idx="14">
                  <c:v>67.733012334545478</c:v>
                </c:pt>
                <c:pt idx="15">
                  <c:v>67.532980985478133</c:v>
                </c:pt>
                <c:pt idx="16">
                  <c:v>67.332948159271893</c:v>
                </c:pt>
                <c:pt idx="17">
                  <c:v>67.132913786340026</c:v>
                </c:pt>
                <c:pt idx="18">
                  <c:v>66.932877793819031</c:v>
                </c:pt>
                <c:pt idx="19">
                  <c:v>66.732840105414539</c:v>
                </c:pt>
                <c:pt idx="20">
                  <c:v>66.532800641239604</c:v>
                </c:pt>
                <c:pt idx="21">
                  <c:v>66.332759317646435</c:v>
                </c:pt>
                <c:pt idx="22">
                  <c:v>66.132716047048518</c:v>
                </c:pt>
                <c:pt idx="23">
                  <c:v>65.932670737736345</c:v>
                </c:pt>
                <c:pt idx="24">
                  <c:v>65.732623293682778</c:v>
                </c:pt>
                <c:pt idx="25">
                  <c:v>65.532573614340535</c:v>
                </c:pt>
                <c:pt idx="26">
                  <c:v>65.332521594429224</c:v>
                </c:pt>
                <c:pt idx="27">
                  <c:v>65.132467123713127</c:v>
                </c:pt>
                <c:pt idx="28">
                  <c:v>64.932410086768499</c:v>
                </c:pt>
                <c:pt idx="29">
                  <c:v>64.732350362739083</c:v>
                </c:pt>
                <c:pt idx="30">
                  <c:v>64.532287825081511</c:v>
                </c:pt>
                <c:pt idx="31">
                  <c:v>64.332222341297353</c:v>
                </c:pt>
                <c:pt idx="32">
                  <c:v>64.132153772654149</c:v>
                </c:pt>
                <c:pt idx="33">
                  <c:v>63.932081973891997</c:v>
                </c:pt>
                <c:pt idx="34">
                  <c:v>63.73200679291719</c:v>
                </c:pt>
                <c:pt idx="35">
                  <c:v>63.531928070481094</c:v>
                </c:pt>
                <c:pt idx="36">
                  <c:v>63.331845639844751</c:v>
                </c:pt>
                <c:pt idx="37">
                  <c:v>63.131759326426902</c:v>
                </c:pt>
                <c:pt idx="38">
                  <c:v>62.931668947435526</c:v>
                </c:pt>
                <c:pt idx="39">
                  <c:v>62.731574311483492</c:v>
                </c:pt>
                <c:pt idx="40">
                  <c:v>62.531475218184383</c:v>
                </c:pt>
                <c:pt idx="41">
                  <c:v>62.331371457731109</c:v>
                </c:pt>
                <c:pt idx="42">
                  <c:v>62.13126281045372</c:v>
                </c:pt>
                <c:pt idx="43">
                  <c:v>61.931149046357348</c:v>
                </c:pt>
                <c:pt idx="44">
                  <c:v>61.731029924637681</c:v>
                </c:pt>
                <c:pt idx="45">
                  <c:v>61.530905193175016</c:v>
                </c:pt>
                <c:pt idx="46">
                  <c:v>61.330774588003997</c:v>
                </c:pt>
                <c:pt idx="47">
                  <c:v>61.130637832758772</c:v>
                </c:pt>
                <c:pt idx="48">
                  <c:v>60.930494638092661</c:v>
                </c:pt>
                <c:pt idx="49">
                  <c:v>60.730344701070095</c:v>
                </c:pt>
                <c:pt idx="50">
                  <c:v>60.530187704531343</c:v>
                </c:pt>
                <c:pt idx="51">
                  <c:v>60.330023316426733</c:v>
                </c:pt>
                <c:pt idx="52">
                  <c:v>60.129851189121084</c:v>
                </c:pt>
                <c:pt idx="53">
                  <c:v>59.929670958664659</c:v>
                </c:pt>
                <c:pt idx="54">
                  <c:v>59.729482244030947</c:v>
                </c:pt>
                <c:pt idx="55">
                  <c:v>59.529284646319887</c:v>
                </c:pt>
                <c:pt idx="56">
                  <c:v>59.329077747922511</c:v>
                </c:pt>
                <c:pt idx="57">
                  <c:v>59.128861111648909</c:v>
                </c:pt>
                <c:pt idx="58">
                  <c:v>58.928634279814247</c:v>
                </c:pt>
                <c:pt idx="59">
                  <c:v>58.72839677328394</c:v>
                </c:pt>
                <c:pt idx="60">
                  <c:v>58.528148090474133</c:v>
                </c:pt>
                <c:pt idx="61">
                  <c:v>58.327887706306512</c:v>
                </c:pt>
                <c:pt idx="62">
                  <c:v>58.127615071114448</c:v>
                </c:pt>
                <c:pt idx="63">
                  <c:v>57.927329609499942</c:v>
                </c:pt>
                <c:pt idx="64">
                  <c:v>57.727030719137424</c:v>
                </c:pt>
                <c:pt idx="65">
                  <c:v>57.526717769522762</c:v>
                </c:pt>
                <c:pt idx="66">
                  <c:v>57.326390100665691</c:v>
                </c:pt>
                <c:pt idx="67">
                  <c:v>57.126047021721618</c:v>
                </c:pt>
                <c:pt idx="68">
                  <c:v>56.925687809561893</c:v>
                </c:pt>
                <c:pt idx="69">
                  <c:v>56.725311707278479</c:v>
                </c:pt>
                <c:pt idx="70">
                  <c:v>56.524917922621128</c:v>
                </c:pt>
                <c:pt idx="71">
                  <c:v>56.324505626362992</c:v>
                </c:pt>
                <c:pt idx="72">
                  <c:v>56.124073950592972</c:v>
                </c:pt>
                <c:pt idx="73">
                  <c:v>55.923621986930229</c:v>
                </c:pt>
                <c:pt idx="74">
                  <c:v>55.723148784658918</c:v>
                </c:pt>
                <c:pt idx="75">
                  <c:v>55.522653348778462</c:v>
                </c:pt>
                <c:pt idx="76">
                  <c:v>55.322134637966059</c:v>
                </c:pt>
                <c:pt idx="77">
                  <c:v>55.12159156244892</c:v>
                </c:pt>
                <c:pt idx="78">
                  <c:v>54.921022981780453</c:v>
                </c:pt>
                <c:pt idx="79">
                  <c:v>54.720427702517888</c:v>
                </c:pt>
                <c:pt idx="80">
                  <c:v>54.519804475796477</c:v>
                </c:pt>
                <c:pt idx="81">
                  <c:v>54.319151994796606</c:v>
                </c:pt>
                <c:pt idx="82">
                  <c:v>54.118468892098434</c:v>
                </c:pt>
                <c:pt idx="83">
                  <c:v>53.917753736920695</c:v>
                </c:pt>
                <c:pt idx="84">
                  <c:v>53.717005032238028</c:v>
                </c:pt>
                <c:pt idx="85">
                  <c:v>53.516221211772397</c:v>
                </c:pt>
                <c:pt idx="86">
                  <c:v>53.315400636853376</c:v>
                </c:pt>
                <c:pt idx="87">
                  <c:v>53.114541593142512</c:v>
                </c:pt>
                <c:pt idx="88">
                  <c:v>52.913642287215993</c:v>
                </c:pt>
                <c:pt idx="89">
                  <c:v>52.712700843000505</c:v>
                </c:pt>
                <c:pt idx="90">
                  <c:v>52.511715298056465</c:v>
                </c:pt>
                <c:pt idx="91">
                  <c:v>52.310683599703225</c:v>
                </c:pt>
                <c:pt idx="92">
                  <c:v>52.10960360097971</c:v>
                </c:pt>
                <c:pt idx="93">
                  <c:v>51.908473056435412</c:v>
                </c:pt>
                <c:pt idx="94">
                  <c:v>51.707289617744685</c:v>
                </c:pt>
                <c:pt idx="95">
                  <c:v>51.506050829139021</c:v>
                </c:pt>
                <c:pt idx="96">
                  <c:v>51.304754122649577</c:v>
                </c:pt>
                <c:pt idx="97">
                  <c:v>51.103396813155726</c:v>
                </c:pt>
                <c:pt idx="98">
                  <c:v>50.901976093230445</c:v>
                </c:pt>
                <c:pt idx="99">
                  <c:v>50.700489027778097</c:v>
                </c:pt>
                <c:pt idx="100">
                  <c:v>50.498932548456892</c:v>
                </c:pt>
                <c:pt idx="101">
                  <c:v>50.297303447879784</c:v>
                </c:pt>
                <c:pt idx="102">
                  <c:v>50.095598373586903</c:v>
                </c:pt>
                <c:pt idx="103">
                  <c:v>49.893813821782793</c:v>
                </c:pt>
                <c:pt idx="104">
                  <c:v>49.691946130832548</c:v>
                </c:pt>
                <c:pt idx="105">
                  <c:v>49.489991474509779</c:v>
                </c:pt>
                <c:pt idx="106">
                  <c:v>49.287945854989601</c:v>
                </c:pt>
                <c:pt idx="107">
                  <c:v>49.085805095582003</c:v>
                </c:pt>
                <c:pt idx="108">
                  <c:v>48.883564833197973</c:v>
                </c:pt>
                <c:pt idx="109">
                  <c:v>48.681220510543483</c:v>
                </c:pt>
                <c:pt idx="110">
                  <c:v>48.478767368036337</c:v>
                </c:pt>
                <c:pt idx="111">
                  <c:v>48.27620043543979</c:v>
                </c:pt>
                <c:pt idx="112">
                  <c:v>48.073514523209873</c:v>
                </c:pt>
                <c:pt idx="113">
                  <c:v>47.87070421355088</c:v>
                </c:pt>
                <c:pt idx="114">
                  <c:v>47.667763851177128</c:v>
                </c:pt>
                <c:pt idx="115">
                  <c:v>47.464687533777607</c:v>
                </c:pt>
                <c:pt idx="116">
                  <c:v>47.261469102181806</c:v>
                </c:pt>
                <c:pt idx="117">
                  <c:v>47.058102130225919</c:v>
                </c:pt>
                <c:pt idx="118">
                  <c:v>46.854579914319899</c:v>
                </c:pt>
                <c:pt idx="119">
                  <c:v>46.650895462716107</c:v>
                </c:pt>
                <c:pt idx="120">
                  <c:v>46.447041484482902</c:v>
                </c:pt>
                <c:pt idx="121">
                  <c:v>46.243010378187194</c:v>
                </c:pt>
                <c:pt idx="122">
                  <c:v>46.038794220291514</c:v>
                </c:pt>
                <c:pt idx="123">
                  <c:v>45.834384753273042</c:v>
                </c:pt>
                <c:pt idx="124">
                  <c:v>45.629773373475615</c:v>
                </c:pt>
                <c:pt idx="125">
                  <c:v>45.424951118704023</c:v>
                </c:pt>
                <c:pt idx="126">
                  <c:v>45.219908655577974</c:v>
                </c:pt>
                <c:pt idx="127">
                  <c:v>45.014636266659593</c:v>
                </c:pt>
                <c:pt idx="128">
                  <c:v>44.809123837376525</c:v>
                </c:pt>
                <c:pt idx="129">
                  <c:v>44.603360842762115</c:v>
                </c:pt>
                <c:pt idx="130">
                  <c:v>44.397336334040105</c:v>
                </c:pt>
                <c:pt idx="131">
                  <c:v>44.191038925082921</c:v>
                </c:pt>
                <c:pt idx="132">
                  <c:v>43.984456778777755</c:v>
                </c:pt>
                <c:pt idx="133">
                  <c:v>43.777577593340183</c:v>
                </c:pt>
                <c:pt idx="134">
                  <c:v>43.570388588614634</c:v>
                </c:pt>
                <c:pt idx="135">
                  <c:v>43.36287649241487</c:v>
                </c:pt>
                <c:pt idx="136">
                  <c:v>43.155027526951969</c:v>
                </c:pt>
                <c:pt idx="137">
                  <c:v>42.946827395412434</c:v>
                </c:pt>
                <c:pt idx="138">
                  <c:v>42.738261268749859</c:v>
                </c:pt>
                <c:pt idx="139">
                  <c:v>42.529313772759977</c:v>
                </c:pt>
                <c:pt idx="140">
                  <c:v>42.319968975518506</c:v>
                </c:pt>
                <c:pt idx="141">
                  <c:v>42.110210375265034</c:v>
                </c:pt>
                <c:pt idx="142">
                  <c:v>41.90002088882477</c:v>
                </c:pt>
                <c:pt idx="143">
                  <c:v>41.689382840668031</c:v>
                </c:pt>
                <c:pt idx="144">
                  <c:v>41.478277952714038</c:v>
                </c:pt>
                <c:pt idx="145">
                  <c:v>41.266687334993989</c:v>
                </c:pt>
                <c:pt idx="146">
                  <c:v>41.054591477298771</c:v>
                </c:pt>
                <c:pt idx="147">
                  <c:v>40.841970241939684</c:v>
                </c:pt>
                <c:pt idx="148">
                  <c:v>40.628802857766104</c:v>
                </c:pt>
                <c:pt idx="149">
                  <c:v>40.415067915587748</c:v>
                </c:pt>
                <c:pt idx="150">
                  <c:v>40.200743365157919</c:v>
                </c:pt>
                <c:pt idx="151">
                  <c:v>39.985806513885997</c:v>
                </c:pt>
                <c:pt idx="152">
                  <c:v>39.770234027450769</c:v>
                </c:pt>
                <c:pt idx="153">
                  <c:v>39.554001932498267</c:v>
                </c:pt>
                <c:pt idx="154">
                  <c:v>39.337085621612729</c:v>
                </c:pt>
                <c:pt idx="155">
                  <c:v>39.119459860755804</c:v>
                </c:pt>
                <c:pt idx="156">
                  <c:v>38.901098799377031</c:v>
                </c:pt>
                <c:pt idx="157">
                  <c:v>38.681975983401216</c:v>
                </c:pt>
                <c:pt idx="158">
                  <c:v>38.462064371304407</c:v>
                </c:pt>
                <c:pt idx="159">
                  <c:v>38.241336353490695</c:v>
                </c:pt>
                <c:pt idx="160">
                  <c:v>38.019763775184792</c:v>
                </c:pt>
                <c:pt idx="161">
                  <c:v>37.797317963053715</c:v>
                </c:pt>
                <c:pt idx="162">
                  <c:v>37.573969755768502</c:v>
                </c:pt>
                <c:pt idx="163">
                  <c:v>37.34968953871207</c:v>
                </c:pt>
                <c:pt idx="164">
                  <c:v>37.12444728303295</c:v>
                </c:pt>
                <c:pt idx="165">
                  <c:v>36.89821258923314</c:v>
                </c:pt>
                <c:pt idx="166">
                  <c:v>36.670954735467532</c:v>
                </c:pt>
                <c:pt idx="167">
                  <c:v>36.442642730716123</c:v>
                </c:pt>
                <c:pt idx="168">
                  <c:v>36.213245372971087</c:v>
                </c:pt>
                <c:pt idx="169">
                  <c:v>35.982731312559217</c:v>
                </c:pt>
                <c:pt idx="170">
                  <c:v>35.751069120694716</c:v>
                </c:pt>
                <c:pt idx="171">
                  <c:v>35.518227363327789</c:v>
                </c:pt>
                <c:pt idx="172">
                  <c:v>35.284174680322138</c:v>
                </c:pt>
                <c:pt idx="173">
                  <c:v>35.048879869957943</c:v>
                </c:pt>
                <c:pt idx="174">
                  <c:v>34.812311978717901</c:v>
                </c:pt>
                <c:pt idx="175">
                  <c:v>34.574440396268812</c:v>
                </c:pt>
                <c:pt idx="176">
                  <c:v>34.335234955507374</c:v>
                </c:pt>
                <c:pt idx="177">
                  <c:v>34.094666037487627</c:v>
                </c:pt>
                <c:pt idx="178">
                  <c:v>33.852704680996162</c:v>
                </c:pt>
                <c:pt idx="179">
                  <c:v>33.609322696488341</c:v>
                </c:pt>
                <c:pt idx="180">
                  <c:v>33.364492784040543</c:v>
                </c:pt>
                <c:pt idx="181">
                  <c:v>33.118188654920758</c:v>
                </c:pt>
                <c:pt idx="182">
                  <c:v>32.870385156319621</c:v>
                </c:pt>
                <c:pt idx="183">
                  <c:v>32.621058398728707</c:v>
                </c:pt>
                <c:pt idx="184">
                  <c:v>32.370185885397525</c:v>
                </c:pt>
                <c:pt idx="185">
                  <c:v>32.117746643249191</c:v>
                </c:pt>
                <c:pt idx="186">
                  <c:v>31.863721354580463</c:v>
                </c:pt>
                <c:pt idx="187">
                  <c:v>31.608092488829197</c:v>
                </c:pt>
                <c:pt idx="188">
                  <c:v>31.35084443364935</c:v>
                </c:pt>
                <c:pt idx="189">
                  <c:v>31.091963624496074</c:v>
                </c:pt>
                <c:pt idx="190">
                  <c:v>30.831438671896521</c:v>
                </c:pt>
                <c:pt idx="191">
                  <c:v>30.569260485557415</c:v>
                </c:pt>
                <c:pt idx="192">
                  <c:v>30.305422394447024</c:v>
                </c:pt>
                <c:pt idx="193">
                  <c:v>30.039920261982651</c:v>
                </c:pt>
                <c:pt idx="194">
                  <c:v>29.772752595458137</c:v>
                </c:pt>
                <c:pt idx="195">
                  <c:v>29.503920648858681</c:v>
                </c:pt>
                <c:pt idx="196">
                  <c:v>29.233428518229942</c:v>
                </c:pt>
                <c:pt idx="197">
                  <c:v>28.96128322880136</c:v>
                </c:pt>
                <c:pt idx="198">
                  <c:v>28.687494813103747</c:v>
                </c:pt>
                <c:pt idx="199">
                  <c:v>28.412076379368326</c:v>
                </c:pt>
                <c:pt idx="200">
                  <c:v>28.135044169553534</c:v>
                </c:pt>
                <c:pt idx="201">
                  <c:v>27.856417606410201</c:v>
                </c:pt>
                <c:pt idx="202">
                  <c:v>27.576219329066284</c:v>
                </c:pt>
                <c:pt idx="203">
                  <c:v>27.294475216689857</c:v>
                </c:pt>
                <c:pt idx="204">
                  <c:v>27.011214399871619</c:v>
                </c:pt>
                <c:pt idx="205">
                  <c:v>26.726469259450187</c:v>
                </c:pt>
                <c:pt idx="206">
                  <c:v>26.440275412594822</c:v>
                </c:pt>
                <c:pt idx="207">
                  <c:v>26.152671686042375</c:v>
                </c:pt>
                <c:pt idx="208">
                  <c:v>25.863700076478796</c:v>
                </c:pt>
                <c:pt idx="209">
                  <c:v>25.573405698136519</c:v>
                </c:pt>
                <c:pt idx="210">
                  <c:v>25.281836717763355</c:v>
                </c:pt>
                <c:pt idx="211">
                  <c:v>24.989044277199891</c:v>
                </c:pt>
                <c:pt idx="212">
                  <c:v>24.69508240387399</c:v>
                </c:pt>
                <c:pt idx="213">
                  <c:v>24.400007909592134</c:v>
                </c:pt>
                <c:pt idx="214">
                  <c:v>24.103880278069994</c:v>
                </c:pt>
                <c:pt idx="215">
                  <c:v>23.806761541702301</c:v>
                </c:pt>
                <c:pt idx="216">
                  <c:v>23.508716148120715</c:v>
                </c:pt>
                <c:pt idx="217">
                  <c:v>23.209810817135068</c:v>
                </c:pt>
                <c:pt idx="218">
                  <c:v>22.91011438868793</c:v>
                </c:pt>
                <c:pt idx="219">
                  <c:v>22.609697662484471</c:v>
                </c:pt>
                <c:pt idx="220">
                  <c:v>22.308633229986793</c:v>
                </c:pt>
                <c:pt idx="221">
                  <c:v>22.006995299477694</c:v>
                </c:pt>
                <c:pt idx="222">
                  <c:v>21.704859514919011</c:v>
                </c:pt>
                <c:pt idx="223">
                  <c:v>21.402302769336409</c:v>
                </c:pt>
                <c:pt idx="224">
                  <c:v>21.099403013474358</c:v>
                </c:pt>
                <c:pt idx="225">
                  <c:v>20.796239060466508</c:v>
                </c:pt>
                <c:pt idx="226">
                  <c:v>20.492890387273</c:v>
                </c:pt>
                <c:pt idx="227">
                  <c:v>20.189436933635179</c:v>
                </c:pt>
                <c:pt idx="228">
                  <c:v>19.88595889930264</c:v>
                </c:pt>
                <c:pt idx="229">
                  <c:v>19.58253654028049</c:v>
                </c:pt>
                <c:pt idx="230">
                  <c:v>19.279249964856898</c:v>
                </c:pt>
                <c:pt idx="231">
                  <c:v>18.976178930155946</c:v>
                </c:pt>
                <c:pt idx="232">
                  <c:v>18.673402639974789</c:v>
                </c:pt>
                <c:pt idx="233">
                  <c:v>18.370999544654484</c:v>
                </c:pt>
                <c:pt idx="234">
                  <c:v>18.069047143736586</c:v>
                </c:pt>
                <c:pt idx="235">
                  <c:v>17.767621792159286</c:v>
                </c:pt>
                <c:pt idx="236">
                  <c:v>17.466798510738833</c:v>
                </c:pt>
                <c:pt idx="237">
                  <c:v>17.166650801683584</c:v>
                </c:pt>
                <c:pt idx="238">
                  <c:v>16.867250469877419</c:v>
                </c:pt>
                <c:pt idx="239">
                  <c:v>16.568667450664378</c:v>
                </c:pt>
                <c:pt idx="240">
                  <c:v>16.270969644848286</c:v>
                </c:pt>
                <c:pt idx="241">
                  <c:v>15.974222761609955</c:v>
                </c:pt>
                <c:pt idx="242">
                  <c:v>15.678490170015822</c:v>
                </c:pt>
                <c:pt idx="243">
                  <c:v>15.383832759771284</c:v>
                </c:pt>
                <c:pt idx="244">
                  <c:v>15.090308811830717</c:v>
                </c:pt>
                <c:pt idx="245">
                  <c:v>14.797973879443449</c:v>
                </c:pt>
                <c:pt idx="246">
                  <c:v>14.506880680162542</c:v>
                </c:pt>
                <c:pt idx="247">
                  <c:v>14.217078999293328</c:v>
                </c:pt>
                <c:pt idx="248">
                  <c:v>13.928615605198154</c:v>
                </c:pt>
                <c:pt idx="249">
                  <c:v>13.641534176806454</c:v>
                </c:pt>
                <c:pt idx="250">
                  <c:v>13.355875243611091</c:v>
                </c:pt>
                <c:pt idx="251">
                  <c:v>13.071676138350384</c:v>
                </c:pt>
                <c:pt idx="252">
                  <c:v>12.788970962499189</c:v>
                </c:pt>
                <c:pt idx="253">
                  <c:v>12.507790564603782</c:v>
                </c:pt>
                <c:pt idx="254">
                  <c:v>12.228162531412721</c:v>
                </c:pt>
                <c:pt idx="255">
                  <c:v>11.950111191663193</c:v>
                </c:pt>
                <c:pt idx="256">
                  <c:v>11.673657632301119</c:v>
                </c:pt>
                <c:pt idx="257">
                  <c:v>11.398819726820463</c:v>
                </c:pt>
                <c:pt idx="258">
                  <c:v>11.125612175328058</c:v>
                </c:pt>
                <c:pt idx="259">
                  <c:v>10.854046555858838</c:v>
                </c:pt>
                <c:pt idx="260">
                  <c:v>10.584131386391514</c:v>
                </c:pt>
                <c:pt idx="261">
                  <c:v>10.315872196946625</c:v>
                </c:pt>
                <c:pt idx="262">
                  <c:v>10.049271611086068</c:v>
                </c:pt>
                <c:pt idx="263">
                  <c:v>9.7843294360808777</c:v>
                </c:pt>
                <c:pt idx="264">
                  <c:v>9.5210427609680277</c:v>
                </c:pt>
                <c:pt idx="265">
                  <c:v>9.2594060616791136</c:v>
                </c:pt>
                <c:pt idx="266">
                  <c:v>8.999411312400337</c:v>
                </c:pt>
                <c:pt idx="267">
                  <c:v>8.7410481023013347</c:v>
                </c:pt>
                <c:pt idx="268">
                  <c:v>8.4843037567651596</c:v>
                </c:pt>
                <c:pt idx="269">
                  <c:v>8.2291634622505772</c:v>
                </c:pt>
                <c:pt idx="270">
                  <c:v>7.9756103939292657</c:v>
                </c:pt>
                <c:pt idx="271">
                  <c:v>7.7236258452562137</c:v>
                </c:pt>
                <c:pt idx="272">
                  <c:v>7.4731893586592788</c:v>
                </c:pt>
                <c:pt idx="273">
                  <c:v>7.2242788565647054</c:v>
                </c:pt>
                <c:pt idx="274">
                  <c:v>6.9768707720147303</c:v>
                </c:pt>
                <c:pt idx="275">
                  <c:v>6.7309401781770459</c:v>
                </c:pt>
                <c:pt idx="276">
                  <c:v>6.4864609160940301</c:v>
                </c:pt>
                <c:pt idx="277">
                  <c:v>6.2434057200714541</c:v>
                </c:pt>
                <c:pt idx="278">
                  <c:v>6.0017463401602713</c:v>
                </c:pt>
                <c:pt idx="279">
                  <c:v>5.7614536612408003</c:v>
                </c:pt>
                <c:pt idx="280">
                  <c:v>5.5224978182772597</c:v>
                </c:pt>
                <c:pt idx="281">
                  <c:v>5.2848483073640082</c:v>
                </c:pt>
                <c:pt idx="282">
                  <c:v>5.0484740922445583</c:v>
                </c:pt>
                <c:pt idx="283">
                  <c:v>4.8133437060374371</c:v>
                </c:pt>
                <c:pt idx="284">
                  <c:v>4.5794253479567821</c:v>
                </c:pt>
                <c:pt idx="285">
                  <c:v>4.3466869748661843</c:v>
                </c:pt>
                <c:pt idx="286">
                  <c:v>4.1150963875531081</c:v>
                </c:pt>
                <c:pt idx="287">
                  <c:v>3.8846213116552191</c:v>
                </c:pt>
                <c:pt idx="288">
                  <c:v>3.6552294732133368</c:v>
                </c:pt>
                <c:pt idx="289">
                  <c:v>3.4268886688630258</c:v>
                </c:pt>
                <c:pt idx="290">
                  <c:v>3.1995668307116993</c:v>
                </c:pt>
                <c:pt idx="291">
                  <c:v>2.9732320859815404</c:v>
                </c:pt>
                <c:pt idx="292">
                  <c:v>2.7478528115219421</c:v>
                </c:pt>
                <c:pt idx="293">
                  <c:v>2.5233976833259524</c:v>
                </c:pt>
                <c:pt idx="294">
                  <c:v>2.2998357211990998</c:v>
                </c:pt>
                <c:pt idx="295">
                  <c:v>2.0771363287515343</c:v>
                </c:pt>
                <c:pt idx="296">
                  <c:v>1.855269328898044</c:v>
                </c:pt>
                <c:pt idx="297">
                  <c:v>1.6342049950600537</c:v>
                </c:pt>
                <c:pt idx="298">
                  <c:v>1.4139140782752397</c:v>
                </c:pt>
                <c:pt idx="299">
                  <c:v>1.1943678304255472</c:v>
                </c:pt>
                <c:pt idx="300">
                  <c:v>0.9755380237997181</c:v>
                </c:pt>
                <c:pt idx="301">
                  <c:v>0.75739696720700034</c:v>
                </c:pt>
                <c:pt idx="302">
                  <c:v>0.53991751886051831</c:v>
                </c:pt>
                <c:pt idx="303">
                  <c:v>0.32307309624808811</c:v>
                </c:pt>
                <c:pt idx="304">
                  <c:v>0.1068376832033861</c:v>
                </c:pt>
                <c:pt idx="305">
                  <c:v>-0.10881416561025954</c:v>
                </c:pt>
                <c:pt idx="306">
                  <c:v>-0.32390732259874655</c:v>
                </c:pt>
                <c:pt idx="307">
                  <c:v>-0.53846608731657764</c:v>
                </c:pt>
                <c:pt idx="308">
                  <c:v>-0.75251418853507235</c:v>
                </c:pt>
                <c:pt idx="309">
                  <c:v>-0.96607478810831604</c:v>
                </c:pt>
                <c:pt idx="310">
                  <c:v>-1.1791704864586985</c:v>
                </c:pt>
                <c:pt idx="311">
                  <c:v>-1.3918233295087661</c:v>
                </c:pt>
                <c:pt idx="312">
                  <c:v>-1.6040548168916695</c:v>
                </c:pt>
                <c:pt idx="313">
                  <c:v>-1.8158859112828027</c:v>
                </c:pt>
                <c:pt idx="314">
                  <c:v>-2.0273370487026461</c:v>
                </c:pt>
                <c:pt idx="315">
                  <c:v>-2.2384281496455491</c:v>
                </c:pt>
                <c:pt idx="316">
                  <c:v>-2.4491786308982331</c:v>
                </c:pt>
                <c:pt idx="317">
                  <c:v>-2.6596074179199931</c:v>
                </c:pt>
                <c:pt idx="318">
                  <c:v>-2.8697329576590631</c:v>
                </c:pt>
                <c:pt idx="319">
                  <c:v>-3.0795732316918119</c:v>
                </c:pt>
                <c:pt idx="320">
                  <c:v>-3.2891457695721362</c:v>
                </c:pt>
                <c:pt idx="321">
                  <c:v>-3.4984676622872843</c:v>
                </c:pt>
                <c:pt idx="322">
                  <c:v>-3.7075555757221279</c:v>
                </c:pt>
                <c:pt idx="323">
                  <c:v>-3.9164257640357736</c:v>
                </c:pt>
                <c:pt idx="324">
                  <c:v>-4.1250940828652896</c:v>
                </c:pt>
                <c:pt idx="325">
                  <c:v>-4.3335760022686829</c:v>
                </c:pt>
                <c:pt idx="326">
                  <c:v>-4.5418866193293699</c:v>
                </c:pt>
                <c:pt idx="327">
                  <c:v>-4.7500406703473343</c:v>
                </c:pt>
                <c:pt idx="328">
                  <c:v>-4.958052542542478</c:v>
                </c:pt>
                <c:pt idx="329">
                  <c:v>-5.1659362852062349</c:v>
                </c:pt>
                <c:pt idx="330">
                  <c:v>-5.3737056202342863</c:v>
                </c:pt>
                <c:pt idx="331">
                  <c:v>-5.581373951983033</c:v>
                </c:pt>
                <c:pt idx="332">
                  <c:v>-5.788954376390838</c:v>
                </c:pt>
                <c:pt idx="333">
                  <c:v>-5.9964596893142295</c:v>
                </c:pt>
                <c:pt idx="334">
                  <c:v>-6.2039023940281695</c:v>
                </c:pt>
                <c:pt idx="335">
                  <c:v>-6.4112947078480769</c:v>
                </c:pt>
                <c:pt idx="336">
                  <c:v>-6.6186485678319409</c:v>
                </c:pt>
                <c:pt idx="337">
                  <c:v>-6.8259756355289491</c:v>
                </c:pt>
                <c:pt idx="338">
                  <c:v>-7.0332873007437549</c:v>
                </c:pt>
                <c:pt idx="339">
                  <c:v>-7.2405946842924438</c:v>
                </c:pt>
                <c:pt idx="340">
                  <c:v>-7.4479086397317227</c:v>
                </c:pt>
                <c:pt idx="341">
                  <c:v>-7.6552397540506432</c:v>
                </c:pt>
                <c:pt idx="342">
                  <c:v>-7.862598347319862</c:v>
                </c:pt>
                <c:pt idx="343">
                  <c:v>-8.0699944713027421</c:v>
                </c:pt>
                <c:pt idx="344">
                  <c:v>-8.277437907041687</c:v>
                </c:pt>
                <c:pt idx="345">
                  <c:v>-8.4849381614405832</c:v>
                </c:pt>
                <c:pt idx="346">
                  <c:v>-8.6925044628770642</c:v>
                </c:pt>
                <c:pt idx="347">
                  <c:v>-8.9001457558867809</c:v>
                </c:pt>
                <c:pt idx="348">
                  <c:v>-9.1078706949757091</c:v>
                </c:pt>
                <c:pt idx="349">
                  <c:v>-9.3156876376274447</c:v>
                </c:pt>
                <c:pt idx="350">
                  <c:v>-9.5236046365855191</c:v>
                </c:pt>
                <c:pt idx="351">
                  <c:v>-9.7316294315050413</c:v>
                </c:pt>
                <c:pt idx="352">
                  <c:v>-9.9397694400812657</c:v>
                </c:pt>
                <c:pt idx="353">
                  <c:v>-10.148031748776079</c:v>
                </c:pt>
                <c:pt idx="354">
                  <c:v>-10.356423103278964</c:v>
                </c:pt>
                <c:pt idx="355">
                  <c:v>-10.56494989885257</c:v>
                </c:pt>
                <c:pt idx="356">
                  <c:v>-10.773618170725722</c:v>
                </c:pt>
                <c:pt idx="357">
                  <c:v>-10.982433584710643</c:v>
                </c:pt>
                <c:pt idx="358">
                  <c:v>-11.191401428234162</c:v>
                </c:pt>
                <c:pt idx="359">
                  <c:v>-11.400526601980939</c:v>
                </c:pt>
                <c:pt idx="360">
                  <c:v>-11.609813612360199</c:v>
                </c:pt>
                <c:pt idx="361">
                  <c:v>-11.819266565010293</c:v>
                </c:pt>
                <c:pt idx="362">
                  <c:v>-12.028889159566036</c:v>
                </c:pt>
                <c:pt idx="363">
                  <c:v>-12.238684685912339</c:v>
                </c:pt>
                <c:pt idx="364">
                  <c:v>-12.448656022151185</c:v>
                </c:pt>
                <c:pt idx="365">
                  <c:v>-12.658805634503903</c:v>
                </c:pt>
                <c:pt idx="366">
                  <c:v>-12.869135579366628</c:v>
                </c:pt>
                <c:pt idx="367">
                  <c:v>-13.079647507725484</c:v>
                </c:pt>
                <c:pt idx="368">
                  <c:v>-13.290342672126716</c:v>
                </c:pt>
                <c:pt idx="369">
                  <c:v>-13.501221936378512</c:v>
                </c:pt>
                <c:pt idx="370">
                  <c:v>-13.71228578814214</c:v>
                </c:pt>
                <c:pt idx="371">
                  <c:v>-13.923534354545223</c:v>
                </c:pt>
                <c:pt idx="372">
                  <c:v>-14.134967420922502</c:v>
                </c:pt>
                <c:pt idx="373">
                  <c:v>-14.346584452759444</c:v>
                </c:pt>
                <c:pt idx="374">
                  <c:v>-14.558384620879872</c:v>
                </c:pt>
                <c:pt idx="375">
                  <c:v>-14.770366829883038</c:v>
                </c:pt>
                <c:pt idx="376">
                  <c:v>-14.982529749798772</c:v>
                </c:pt>
                <c:pt idx="377">
                  <c:v>-15.194871850889681</c:v>
                </c:pt>
                <c:pt idx="378">
                  <c:v>-15.407391441489207</c:v>
                </c:pt>
                <c:pt idx="379">
                  <c:v>-15.620086708727746</c:v>
                </c:pt>
                <c:pt idx="380">
                  <c:v>-15.832955761955992</c:v>
                </c:pt>
                <c:pt idx="381">
                  <c:v>-16.045996678643423</c:v>
                </c:pt>
                <c:pt idx="382">
                  <c:v>-16.259207552489233</c:v>
                </c:pt>
                <c:pt idx="383">
                  <c:v>-16.472586543457254</c:v>
                </c:pt>
                <c:pt idx="384">
                  <c:v>-16.686131929412916</c:v>
                </c:pt>
                <c:pt idx="385">
                  <c:v>-16.89984215902221</c:v>
                </c:pt>
                <c:pt idx="386">
                  <c:v>-17.113715905548116</c:v>
                </c:pt>
                <c:pt idx="387">
                  <c:v>-17.327752121172168</c:v>
                </c:pt>
                <c:pt idx="388">
                  <c:v>-17.541950091453636</c:v>
                </c:pt>
                <c:pt idx="389">
                  <c:v>-17.756309489542616</c:v>
                </c:pt>
                <c:pt idx="390">
                  <c:v>-17.970830429760213</c:v>
                </c:pt>
                <c:pt idx="391">
                  <c:v>-18.185513520171071</c:v>
                </c:pt>
                <c:pt idx="392">
                  <c:v>-18.400359913783678</c:v>
                </c:pt>
                <c:pt idx="393">
                  <c:v>-18.615371358032352</c:v>
                </c:pt>
                <c:pt idx="394">
                  <c:v>-18.830550242218589</c:v>
                </c:pt>
                <c:pt idx="395">
                  <c:v>-19.045899642610511</c:v>
                </c:pt>
                <c:pt idx="396">
                  <c:v>-19.261423364933325</c:v>
                </c:pt>
                <c:pt idx="397">
                  <c:v>-19.477125984008353</c:v>
                </c:pt>
                <c:pt idx="398">
                  <c:v>-19.693012880336202</c:v>
                </c:pt>
                <c:pt idx="399">
                  <c:v>-19.909090273447774</c:v>
                </c:pt>
                <c:pt idx="400">
                  <c:v>-20.125365251881803</c:v>
                </c:pt>
                <c:pt idx="401">
                  <c:v>-20.341845799681082</c:v>
                </c:pt>
                <c:pt idx="402">
                  <c:v>-20.558540819326851</c:v>
                </c:pt>
                <c:pt idx="403">
                  <c:v>-20.77546015106374</c:v>
                </c:pt>
                <c:pt idx="404">
                  <c:v>-20.992614588589621</c:v>
                </c:pt>
                <c:pt idx="405">
                  <c:v>-21.210015891113073</c:v>
                </c:pt>
                <c:pt idx="406">
                  <c:v>-21.42767679179584</c:v>
                </c:pt>
                <c:pt idx="407">
                  <c:v>-21.645611002618345</c:v>
                </c:pt>
                <c:pt idx="408">
                  <c:v>-21.863833215718135</c:v>
                </c:pt>
                <c:pt idx="409">
                  <c:v>-22.082359101258511</c:v>
                </c:pt>
                <c:pt idx="410">
                  <c:v>-22.301205301892001</c:v>
                </c:pt>
                <c:pt idx="411">
                  <c:v>-22.520389423885291</c:v>
                </c:pt>
                <c:pt idx="412">
                  <c:v>-22.739930024969709</c:v>
                </c:pt>
                <c:pt idx="413">
                  <c:v>-22.959846598975709</c:v>
                </c:pt>
                <c:pt idx="414">
                  <c:v>-23.180159557308016</c:v>
                </c:pt>
                <c:pt idx="415">
                  <c:v>-23.400890207299906</c:v>
                </c:pt>
                <c:pt idx="416">
                  <c:v>-23.622060727482275</c:v>
                </c:pt>
                <c:pt idx="417">
                  <c:v>-23.843694139784102</c:v>
                </c:pt>
                <c:pt idx="418">
                  <c:v>-24.065814278669055</c:v>
                </c:pt>
                <c:pt idx="419">
                  <c:v>-24.288445757200215</c:v>
                </c:pt>
                <c:pt idx="420">
                  <c:v>-24.511613930007279</c:v>
                </c:pt>
                <c:pt idx="421">
                  <c:v>-24.735344853118377</c:v>
                </c:pt>
                <c:pt idx="422">
                  <c:v>-24.959665240607055</c:v>
                </c:pt>
                <c:pt idx="423">
                  <c:v>-25.184602417989392</c:v>
                </c:pt>
                <c:pt idx="424">
                  <c:v>-25.410184272302789</c:v>
                </c:pt>
                <c:pt idx="425">
                  <c:v>-25.636439198783414</c:v>
                </c:pt>
                <c:pt idx="426">
                  <c:v>-25.863396044061979</c:v>
                </c:pt>
                <c:pt idx="427">
                  <c:v>-26.09108404579143</c:v>
                </c:pt>
                <c:pt idx="428">
                  <c:v>-26.319532768623539</c:v>
                </c:pt>
                <c:pt idx="429">
                  <c:v>-26.548772036459773</c:v>
                </c:pt>
                <c:pt idx="430">
                  <c:v>-26.778831860907108</c:v>
                </c:pt>
                <c:pt idx="431">
                  <c:v>-27.009742365889366</c:v>
                </c:pt>
                <c:pt idx="432">
                  <c:v>-27.241533708378604</c:v>
                </c:pt>
                <c:pt idx="433">
                  <c:v>-27.474235995237308</c:v>
                </c:pt>
                <c:pt idx="434">
                  <c:v>-27.707879196190536</c:v>
                </c:pt>
                <c:pt idx="435">
                  <c:v>-27.942493052975422</c:v>
                </c:pt>
                <c:pt idx="436">
                  <c:v>-28.178106984759911</c:v>
                </c:pt>
                <c:pt idx="437">
                  <c:v>-28.414749989955013</c:v>
                </c:pt>
                <c:pt idx="438">
                  <c:v>-28.652450544600772</c:v>
                </c:pt>
                <c:pt idx="439">
                  <c:v>-28.891236497544028</c:v>
                </c:pt>
                <c:pt idx="440">
                  <c:v>-29.131134962689931</c:v>
                </c:pt>
                <c:pt idx="441">
                  <c:v>-29.372172208656799</c:v>
                </c:pt>
                <c:pt idx="442">
                  <c:v>-29.614373546225078</c:v>
                </c:pt>
                <c:pt idx="443">
                  <c:v>-29.857763214031753</c:v>
                </c:pt>
                <c:pt idx="444">
                  <c:v>-30.102364263018924</c:v>
                </c:pt>
                <c:pt idx="445">
                  <c:v>-30.348198440208666</c:v>
                </c:pt>
                <c:pt idx="446">
                  <c:v>-30.59528607243427</c:v>
                </c:pt>
                <c:pt idx="447">
                  <c:v>-30.843645950715654</c:v>
                </c:pt>
                <c:pt idx="448">
                  <c:v>-31.093295216023016</c:v>
                </c:pt>
                <c:pt idx="449">
                  <c:v>-31.344249247220823</c:v>
                </c:pt>
                <c:pt idx="450">
                  <c:v>-31.59652155203333</c:v>
                </c:pt>
                <c:pt idx="451">
                  <c:v>-31.850123661910501</c:v>
                </c:pt>
                <c:pt idx="452">
                  <c:v>-32.105065031705628</c:v>
                </c:pt>
                <c:pt idx="453">
                  <c:v>-32.361352945102539</c:v>
                </c:pt>
                <c:pt idx="454">
                  <c:v>-32.618992426743304</c:v>
                </c:pt>
                <c:pt idx="455">
                  <c:v>-32.87798616201453</c:v>
                </c:pt>
                <c:pt idx="456">
                  <c:v>-33.138334425444882</c:v>
                </c:pt>
                <c:pt idx="457">
                  <c:v>-33.400035018650293</c:v>
                </c:pt>
                <c:pt idx="458">
                  <c:v>-33.663083218737043</c:v>
                </c:pt>
                <c:pt idx="459">
                  <c:v>-33.927471738030789</c:v>
                </c:pt>
                <c:pt idx="460">
                  <c:v>-34.19319069595231</c:v>
                </c:pt>
                <c:pt idx="461">
                  <c:v>-34.460227603793484</c:v>
                </c:pt>
                <c:pt idx="462">
                  <c:v>-34.728567363077993</c:v>
                </c:pt>
                <c:pt idx="463">
                  <c:v>-34.998192278101278</c:v>
                </c:pt>
                <c:pt idx="464">
                  <c:v>-35.269082083153279</c:v>
                </c:pt>
                <c:pt idx="465">
                  <c:v>-35.541213984820892</c:v>
                </c:pt>
                <c:pt idx="466">
                  <c:v>-35.814562719655456</c:v>
                </c:pt>
                <c:pt idx="467">
                  <c:v>-36.089100627371678</c:v>
                </c:pt>
                <c:pt idx="468">
                  <c:v>-36.364797739619384</c:v>
                </c:pt>
                <c:pt idx="469">
                  <c:v>-36.641621884240074</c:v>
                </c:pt>
                <c:pt idx="470">
                  <c:v>-36.919538804787784</c:v>
                </c:pt>
                <c:pt idx="471">
                  <c:v>-37.198512294963088</c:v>
                </c:pt>
                <c:pt idx="472">
                  <c:v>-37.478504347473162</c:v>
                </c:pt>
                <c:pt idx="473">
                  <c:v>-37.759475316701902</c:v>
                </c:pt>
                <c:pt idx="474">
                  <c:v>-38.041384094446997</c:v>
                </c:pt>
                <c:pt idx="475">
                  <c:v>-38.324188297854597</c:v>
                </c:pt>
                <c:pt idx="476">
                  <c:v>-38.607844468570242</c:v>
                </c:pt>
                <c:pt idx="477">
                  <c:v>-38.892308282011911</c:v>
                </c:pt>
                <c:pt idx="478">
                  <c:v>-39.177534765569987</c:v>
                </c:pt>
                <c:pt idx="479">
                  <c:v>-39.463478524450764</c:v>
                </c:pt>
                <c:pt idx="480">
                  <c:v>-39.75009397379538</c:v>
                </c:pt>
                <c:pt idx="481">
                  <c:v>-40.037335575639247</c:v>
                </c:pt>
                <c:pt idx="482">
                  <c:v>-40.325158079218525</c:v>
                </c:pt>
                <c:pt idx="483">
                  <c:v>-40.613516763085222</c:v>
                </c:pt>
                <c:pt idx="484">
                  <c:v>-40.902367677459289</c:v>
                </c:pt>
                <c:pt idx="485">
                  <c:v>-41.191667885230324</c:v>
                </c:pt>
                <c:pt idx="486">
                  <c:v>-41.481375700012563</c:v>
                </c:pt>
                <c:pt idx="487">
                  <c:v>-41.771450919666925</c:v>
                </c:pt>
                <c:pt idx="488">
                  <c:v>-42.061855053724244</c:v>
                </c:pt>
                <c:pt idx="489">
                  <c:v>-42.35255154318083</c:v>
                </c:pt>
                <c:pt idx="490">
                  <c:v>-42.643505971180147</c:v>
                </c:pt>
                <c:pt idx="491">
                  <c:v>-42.934686263161019</c:v>
                </c:pt>
                <c:pt idx="492">
                  <c:v>-43.226062875117925</c:v>
                </c:pt>
                <c:pt idx="493">
                  <c:v>-43.517608968707151</c:v>
                </c:pt>
                <c:pt idx="494">
                  <c:v>-43.809300572022352</c:v>
                </c:pt>
                <c:pt idx="495">
                  <c:v>-44.101116724968669</c:v>
                </c:pt>
                <c:pt idx="496">
                  <c:v>-44.393039608273817</c:v>
                </c:pt>
                <c:pt idx="497">
                  <c:v>-44.685054655294429</c:v>
                </c:pt>
                <c:pt idx="498">
                  <c:v>-44.977150645901517</c:v>
                </c:pt>
                <c:pt idx="499">
                  <c:v>-45.269319781854989</c:v>
                </c:pt>
                <c:pt idx="500">
                  <c:v>-45.561557743217108</c:v>
                </c:pt>
                <c:pt idx="501">
                  <c:v>-45.853863725484452</c:v>
                </c:pt>
                <c:pt idx="502">
                  <c:v>-46.146240457257434</c:v>
                </c:pt>
                <c:pt idx="503">
                  <c:v>-46.438694198403788</c:v>
                </c:pt>
                <c:pt idx="504">
                  <c:v>-46.731234718805503</c:v>
                </c:pt>
                <c:pt idx="505">
                  <c:v>-47.023875257911158</c:v>
                </c:pt>
                <c:pt idx="506">
                  <c:v>-47.316632465444954</c:v>
                </c:pt>
                <c:pt idx="507">
                  <c:v>-47.609526323745619</c:v>
                </c:pt>
                <c:pt idx="508">
                  <c:v>-47.902580052326122</c:v>
                </c:pt>
                <c:pt idx="509">
                  <c:v>-48.195819995355613</c:v>
                </c:pt>
                <c:pt idx="510">
                  <c:v>-48.489275492868416</c:v>
                </c:pt>
                <c:pt idx="511">
                  <c:v>-48.78297873660037</c:v>
                </c:pt>
                <c:pt idx="512">
                  <c:v>-49.076964611437987</c:v>
                </c:pt>
                <c:pt idx="513">
                  <c:v>-49.371270523546784</c:v>
                </c:pt>
                <c:pt idx="514">
                  <c:v>-49.665936216312936</c:v>
                </c:pt>
                <c:pt idx="515">
                  <c:v>-49.961003575292736</c:v>
                </c:pt>
                <c:pt idx="516">
                  <c:v>-50.256516423416635</c:v>
                </c:pt>
                <c:pt idx="517">
                  <c:v>-50.552520307737758</c:v>
                </c:pt>
                <c:pt idx="518">
                  <c:v>-50.849062279047345</c:v>
                </c:pt>
                <c:pt idx="519">
                  <c:v>-51.146190665707167</c:v>
                </c:pt>
                <c:pt idx="520">
                  <c:v>-51.443954843063608</c:v>
                </c:pt>
                <c:pt idx="521">
                  <c:v>-51.742404999819314</c:v>
                </c:pt>
                <c:pt idx="522">
                  <c:v>-52.041591902738055</c:v>
                </c:pt>
                <c:pt idx="523">
                  <c:v>-52.341566661049853</c:v>
                </c:pt>
                <c:pt idx="524">
                  <c:v>-52.642380491913073</c:v>
                </c:pt>
                <c:pt idx="525">
                  <c:v>-52.944084488260437</c:v>
                </c:pt>
                <c:pt idx="526">
                  <c:v>-53.246729390332362</c:v>
                </c:pt>
                <c:pt idx="527">
                  <c:v>-53.550365362160107</c:v>
                </c:pt>
                <c:pt idx="528">
                  <c:v>-53.855041774213241</c:v>
                </c:pt>
                <c:pt idx="529">
                  <c:v>-54.160806993379573</c:v>
                </c:pt>
                <c:pt idx="530">
                  <c:v>-54.4677081813781</c:v>
                </c:pt>
                <c:pt idx="531">
                  <c:v>-54.775791102643751</c:v>
                </c:pt>
                <c:pt idx="532">
                  <c:v>-55.085099942644604</c:v>
                </c:pt>
                <c:pt idx="533">
                  <c:v>-55.395677137513189</c:v>
                </c:pt>
                <c:pt idx="534">
                  <c:v>-55.707563215785825</c:v>
                </c:pt>
                <c:pt idx="535">
                  <c:v>-56.020796652948668</c:v>
                </c:pt>
                <c:pt idx="536">
                  <c:v>-56.335413739394326</c:v>
                </c:pt>
                <c:pt idx="537">
                  <c:v>-56.651448462286005</c:v>
                </c:pt>
                <c:pt idx="538">
                  <c:v>-56.968932401724231</c:v>
                </c:pt>
                <c:pt idx="539">
                  <c:v>-57.287894641496138</c:v>
                </c:pt>
                <c:pt idx="540">
                  <c:v>-57.608361694581099</c:v>
                </c:pt>
                <c:pt idx="541">
                  <c:v>-57.93035744347516</c:v>
                </c:pt>
              </c:numCache>
            </c:numRef>
          </c:yVal>
          <c:smooth val="1"/>
          <c:extLst>
            <c:ext xmlns:c16="http://schemas.microsoft.com/office/drawing/2014/chart" uri="{C3380CC4-5D6E-409C-BE32-E72D297353CC}">
              <c16:uniqueId val="{00000000-8D57-4B49-BEDF-48E0FDEC8FDA}"/>
            </c:ext>
          </c:extLst>
        </c:ser>
        <c:dLbls>
          <c:showLegendKey val="0"/>
          <c:showVal val="0"/>
          <c:showCatName val="0"/>
          <c:showSerName val="0"/>
          <c:showPercent val="0"/>
          <c:showBubbleSize val="0"/>
        </c:dLbls>
        <c:axId val="178953600"/>
        <c:axId val="178959872"/>
      </c:scatterChart>
      <c:scatterChart>
        <c:scatterStyle val="smoothMarker"/>
        <c:varyColors val="0"/>
        <c:ser>
          <c:idx val="1"/>
          <c:order val="1"/>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Loop_Modeling!$BM$19:$BM$560</c:f>
              <c:numCache>
                <c:formatCode>General</c:formatCode>
                <c:ptCount val="542"/>
                <c:pt idx="0">
                  <c:v>89.613423716835911</c:v>
                </c:pt>
                <c:pt idx="1">
                  <c:v>89.604419952456638</c:v>
                </c:pt>
                <c:pt idx="2">
                  <c:v>89.595206517384483</c:v>
                </c:pt>
                <c:pt idx="3">
                  <c:v>89.585778531617464</c:v>
                </c:pt>
                <c:pt idx="4">
                  <c:v>89.576131001759506</c:v>
                </c:pt>
                <c:pt idx="5">
                  <c:v>89.566258818398808</c:v>
                </c:pt>
                <c:pt idx="6">
                  <c:v>89.556156753426592</c:v>
                </c:pt>
                <c:pt idx="7">
                  <c:v>89.545819457294996</c:v>
                </c:pt>
                <c:pt idx="8">
                  <c:v>89.535241456212546</c:v>
                </c:pt>
                <c:pt idx="9">
                  <c:v>89.524417149276161</c:v>
                </c:pt>
                <c:pt idx="10">
                  <c:v>89.513340805538277</c:v>
                </c:pt>
                <c:pt idx="11">
                  <c:v>89.502006561007363</c:v>
                </c:pt>
                <c:pt idx="12">
                  <c:v>89.49040841558103</c:v>
                </c:pt>
                <c:pt idx="13">
                  <c:v>89.478540229909783</c:v>
                </c:pt>
                <c:pt idx="14">
                  <c:v>89.466395722190214</c:v>
                </c:pt>
                <c:pt idx="15">
                  <c:v>89.453968464886188</c:v>
                </c:pt>
                <c:pt idx="16">
                  <c:v>89.441251881376331</c:v>
                </c:pt>
                <c:pt idx="17">
                  <c:v>89.428239242526558</c:v>
                </c:pt>
                <c:pt idx="18">
                  <c:v>89.414923663185917</c:v>
                </c:pt>
                <c:pt idx="19">
                  <c:v>89.401298098604329</c:v>
                </c:pt>
                <c:pt idx="20">
                  <c:v>89.387355340770469</c:v>
                </c:pt>
                <c:pt idx="21">
                  <c:v>89.373088014668468</c:v>
                </c:pt>
                <c:pt idx="22">
                  <c:v>89.358488574451542</c:v>
                </c:pt>
                <c:pt idx="23">
                  <c:v>89.343549299531105</c:v>
                </c:pt>
                <c:pt idx="24">
                  <c:v>89.328262290579616</c:v>
                </c:pt>
                <c:pt idx="25">
                  <c:v>89.312619465445579</c:v>
                </c:pt>
                <c:pt idx="26">
                  <c:v>89.296612554979049</c:v>
                </c:pt>
                <c:pt idx="27">
                  <c:v>89.280233098765692</c:v>
                </c:pt>
                <c:pt idx="28">
                  <c:v>89.263472440768069</c:v>
                </c:pt>
                <c:pt idx="29">
                  <c:v>89.246321724872374</c:v>
                </c:pt>
                <c:pt idx="30">
                  <c:v>89.228771890338422</c:v>
                </c:pt>
                <c:pt idx="31">
                  <c:v>89.210813667151996</c:v>
                </c:pt>
                <c:pt idx="32">
                  <c:v>89.192437571277068</c:v>
                </c:pt>
                <c:pt idx="33">
                  <c:v>89.173633899806688</c:v>
                </c:pt>
                <c:pt idx="34">
                  <c:v>89.154392726010528</c:v>
                </c:pt>
                <c:pt idx="35">
                  <c:v>89.134703894277393</c:v>
                </c:pt>
                <c:pt idx="36">
                  <c:v>89.11455701495133</c:v>
                </c:pt>
                <c:pt idx="37">
                  <c:v>89.093941459059067</c:v>
                </c:pt>
                <c:pt idx="38">
                  <c:v>89.072846352927613</c:v>
                </c:pt>
                <c:pt idx="39">
                  <c:v>89.051260572690111</c:v>
                </c:pt>
                <c:pt idx="40">
                  <c:v>89.029172738678326</c:v>
                </c:pt>
                <c:pt idx="41">
                  <c:v>89.006571209700411</c:v>
                </c:pt>
                <c:pt idx="42">
                  <c:v>88.983444077201895</c:v>
                </c:pt>
                <c:pt idx="43">
                  <c:v>88.959779159309008</c:v>
                </c:pt>
                <c:pt idx="44">
                  <c:v>88.935563994752243</c:v>
                </c:pt>
                <c:pt idx="45">
                  <c:v>88.910785836669334</c:v>
                </c:pt>
                <c:pt idx="46">
                  <c:v>88.885431646285809</c:v>
                </c:pt>
                <c:pt idx="47">
                  <c:v>88.859488086472098</c:v>
                </c:pt>
                <c:pt idx="48">
                  <c:v>88.832941515176103</c:v>
                </c:pt>
                <c:pt idx="49">
                  <c:v>88.805777978729694</c:v>
                </c:pt>
                <c:pt idx="50">
                  <c:v>88.777983205028676</c:v>
                </c:pt>
                <c:pt idx="51">
                  <c:v>88.749542596584959</c:v>
                </c:pt>
                <c:pt idx="52">
                  <c:v>88.720441223450294</c:v>
                </c:pt>
                <c:pt idx="53">
                  <c:v>88.690663816010911</c:v>
                </c:pt>
                <c:pt idx="54">
                  <c:v>88.660194757652718</c:v>
                </c:pt>
                <c:pt idx="55">
                  <c:v>88.629018077296422</c:v>
                </c:pt>
                <c:pt idx="56">
                  <c:v>88.597117441802965</c:v>
                </c:pt>
                <c:pt idx="57">
                  <c:v>88.564476148248872</c:v>
                </c:pt>
                <c:pt idx="58">
                  <c:v>88.531077116071941</c:v>
                </c:pt>
                <c:pt idx="59">
                  <c:v>88.496902879087955</c:v>
                </c:pt>
                <c:pt idx="60">
                  <c:v>88.461935577379194</c:v>
                </c:pt>
                <c:pt idx="61">
                  <c:v>88.426156949055539</c:v>
                </c:pt>
                <c:pt idx="62">
                  <c:v>88.389548321889805</c:v>
                </c:pt>
                <c:pt idx="63">
                  <c:v>88.3520906048293</c:v>
                </c:pt>
                <c:pt idx="64">
                  <c:v>88.313764279384799</c:v>
                </c:pt>
                <c:pt idx="65">
                  <c:v>88.274549390900518</c:v>
                </c:pt>
                <c:pt idx="66">
                  <c:v>88.234425539707274</c:v>
                </c:pt>
                <c:pt idx="67">
                  <c:v>88.193371872162373</c:v>
                </c:pt>
                <c:pt idx="68">
                  <c:v>88.151367071580168</c:v>
                </c:pt>
                <c:pt idx="69">
                  <c:v>88.108389349057703</c:v>
                </c:pt>
                <c:pt idx="70">
                  <c:v>88.064416434200453</c:v>
                </c:pt>
                <c:pt idx="71">
                  <c:v>88.019425565753565</c:v>
                </c:pt>
                <c:pt idx="72">
                  <c:v>87.973393482145241</c:v>
                </c:pt>
                <c:pt idx="73">
                  <c:v>87.926296411949096</c:v>
                </c:pt>
                <c:pt idx="74">
                  <c:v>87.878110064273315</c:v>
                </c:pt>
                <c:pt idx="75">
                  <c:v>87.828809619085348</c:v>
                </c:pt>
                <c:pt idx="76">
                  <c:v>87.778369717481709</c:v>
                </c:pt>
                <c:pt idx="77">
                  <c:v>87.726764451913368</c:v>
                </c:pt>
                <c:pt idx="78">
                  <c:v>87.673967356378313</c:v>
                </c:pt>
                <c:pt idx="79">
                  <c:v>87.619951396594303</c:v>
                </c:pt>
                <c:pt idx="80">
                  <c:v>87.564688960165313</c:v>
                </c:pt>
                <c:pt idx="81">
                  <c:v>87.508151846757116</c:v>
                </c:pt>
                <c:pt idx="82">
                  <c:v>87.450311258298797</c:v>
                </c:pt>
                <c:pt idx="83">
                  <c:v>87.391137789228011</c:v>
                </c:pt>
                <c:pt idx="84">
                  <c:v>87.330601416799539</c:v>
                </c:pt>
                <c:pt idx="85">
                  <c:v>87.268671491479395</c:v>
                </c:pt>
                <c:pt idx="86">
                  <c:v>87.205316727446274</c:v>
                </c:pt>
                <c:pt idx="87">
                  <c:v>87.140505193227057</c:v>
                </c:pt>
                <c:pt idx="88">
                  <c:v>87.074204302492191</c:v>
                </c:pt>
                <c:pt idx="89">
                  <c:v>87.006380805041431</c:v>
                </c:pt>
                <c:pt idx="90">
                  <c:v>86.937000778010926</c:v>
                </c:pt>
                <c:pt idx="91">
                  <c:v>86.866029617336849</c:v>
                </c:pt>
                <c:pt idx="92">
                  <c:v>86.793432029511138</c:v>
                </c:pt>
                <c:pt idx="93">
                  <c:v>86.719172023671092</c:v>
                </c:pt>
                <c:pt idx="94">
                  <c:v>86.643212904063773</c:v>
                </c:pt>
                <c:pt idx="95">
                  <c:v>86.565517262932431</c:v>
                </c:pt>
                <c:pt idx="96">
                  <c:v>86.48604697387411</c:v>
                </c:pt>
                <c:pt idx="97">
                  <c:v>86.404763185721762</c:v>
                </c:pt>
                <c:pt idx="98">
                  <c:v>86.321626317007116</c:v>
                </c:pt>
                <c:pt idx="99">
                  <c:v>86.236596051066272</c:v>
                </c:pt>
                <c:pt idx="100">
                  <c:v>86.149631331852987</c:v>
                </c:pt>
                <c:pt idx="101">
                  <c:v>86.060690360529193</c:v>
                </c:pt>
                <c:pt idx="102">
                  <c:v>85.969730592908164</c:v>
                </c:pt>
                <c:pt idx="103">
                  <c:v>85.876708737829915</c:v>
                </c:pt>
                <c:pt idx="104">
                  <c:v>85.781580756553538</c:v>
                </c:pt>
                <c:pt idx="105">
                  <c:v>85.684301863258582</c:v>
                </c:pt>
                <c:pt idx="106">
                  <c:v>85.584826526750874</c:v>
                </c:pt>
                <c:pt idx="107">
                  <c:v>85.483108473477401</c:v>
                </c:pt>
                <c:pt idx="108">
                  <c:v>85.379100691957873</c:v>
                </c:pt>
                <c:pt idx="109">
                  <c:v>85.27275543875254</c:v>
                </c:pt>
                <c:pt idx="110">
                  <c:v>85.164024246087138</c:v>
                </c:pt>
                <c:pt idx="111">
                  <c:v>85.052857931267511</c:v>
                </c:pt>
                <c:pt idx="112">
                  <c:v>84.939206608024392</c:v>
                </c:pt>
                <c:pt idx="113">
                  <c:v>84.8230196999328</c:v>
                </c:pt>
                <c:pt idx="114">
                  <c:v>84.704245956065265</c:v>
                </c:pt>
                <c:pt idx="115">
                  <c:v>84.582833469040992</c:v>
                </c:pt>
                <c:pt idx="116">
                  <c:v>84.458729695646653</c:v>
                </c:pt>
                <c:pt idx="117">
                  <c:v>84.331881480211251</c:v>
                </c:pt>
                <c:pt idx="118">
                  <c:v>84.202235080928006</c:v>
                </c:pt>
                <c:pt idx="119">
                  <c:v>84.069736199327082</c:v>
                </c:pt>
                <c:pt idx="120">
                  <c:v>83.934330013111975</c:v>
                </c:pt>
                <c:pt idx="121">
                  <c:v>83.795961212581659</c:v>
                </c:pt>
                <c:pt idx="122">
                  <c:v>83.654574040876554</c:v>
                </c:pt>
                <c:pt idx="123">
                  <c:v>83.51011233828757</c:v>
                </c:pt>
                <c:pt idx="124">
                  <c:v>83.36251959088851</c:v>
                </c:pt>
                <c:pt idx="125">
                  <c:v>83.211738983755083</c:v>
                </c:pt>
                <c:pt idx="126">
                  <c:v>83.057713459047903</c:v>
                </c:pt>
                <c:pt idx="127">
                  <c:v>82.900385779246704</c:v>
                </c:pt>
                <c:pt idx="128">
                  <c:v>82.739698595832621</c:v>
                </c:pt>
                <c:pt idx="129">
                  <c:v>82.575594523723751</c:v>
                </c:pt>
                <c:pt idx="130">
                  <c:v>82.408016221783555</c:v>
                </c:pt>
                <c:pt idx="131">
                  <c:v>82.236906479721725</c:v>
                </c:pt>
                <c:pt idx="132">
                  <c:v>82.062208311722515</c:v>
                </c:pt>
                <c:pt idx="133">
                  <c:v>81.883865057138664</c:v>
                </c:pt>
                <c:pt idx="134">
                  <c:v>81.70182048859229</c:v>
                </c:pt>
                <c:pt idx="135">
                  <c:v>81.516018927835759</c:v>
                </c:pt>
                <c:pt idx="136">
                  <c:v>81.326405369715843</c:v>
                </c:pt>
                <c:pt idx="137">
                  <c:v>81.132925614597568</c:v>
                </c:pt>
                <c:pt idx="138">
                  <c:v>80.935526409594416</c:v>
                </c:pt>
                <c:pt idx="139">
                  <c:v>80.734155598946913</c:v>
                </c:pt>
                <c:pt idx="140">
                  <c:v>80.528762283891581</c:v>
                </c:pt>
                <c:pt idx="141">
                  <c:v>80.319296992342373</c:v>
                </c:pt>
                <c:pt idx="142">
                  <c:v>80.105711858701696</c:v>
                </c:pt>
                <c:pt idx="143">
                  <c:v>79.88796081409312</c:v>
                </c:pt>
                <c:pt idx="144">
                  <c:v>79.665999787291142</c:v>
                </c:pt>
                <c:pt idx="145">
                  <c:v>79.43978691659359</c:v>
                </c:pt>
                <c:pt idx="146">
                  <c:v>79.20928277285104</c:v>
                </c:pt>
                <c:pt idx="147">
                  <c:v>78.97445059382882</c:v>
                </c:pt>
                <c:pt idx="148">
                  <c:v>78.735256530037901</c:v>
                </c:pt>
                <c:pt idx="149">
                  <c:v>78.491669902113543</c:v>
                </c:pt>
                <c:pt idx="150">
                  <c:v>78.243663469769714</c:v>
                </c:pt>
                <c:pt idx="151">
                  <c:v>77.991213712289891</c:v>
                </c:pt>
                <c:pt idx="152">
                  <c:v>77.734301120442595</c:v>
                </c:pt>
                <c:pt idx="153">
                  <c:v>77.472910499630785</c:v>
                </c:pt>
                <c:pt idx="154">
                  <c:v>77.207031283994681</c:v>
                </c:pt>
                <c:pt idx="155">
                  <c:v>76.936657861088577</c:v>
                </c:pt>
                <c:pt idx="156">
                  <c:v>76.66178990665054</c:v>
                </c:pt>
                <c:pt idx="157">
                  <c:v>76.3824327288619</c:v>
                </c:pt>
                <c:pt idx="158">
                  <c:v>76.098597621375063</c:v>
                </c:pt>
                <c:pt idx="159">
                  <c:v>75.810302224251913</c:v>
                </c:pt>
                <c:pt idx="160">
                  <c:v>75.517570891813349</c:v>
                </c:pt>
                <c:pt idx="161">
                  <c:v>75.22043506625478</c:v>
                </c:pt>
                <c:pt idx="162">
                  <c:v>74.918933655718078</c:v>
                </c:pt>
                <c:pt idx="163">
                  <c:v>74.613113415352998</c:v>
                </c:pt>
                <c:pt idx="164">
                  <c:v>74.303029329731331</c:v>
                </c:pt>
                <c:pt idx="165">
                  <c:v>73.98874499479605</c:v>
                </c:pt>
                <c:pt idx="166">
                  <c:v>73.670332997361697</c:v>
                </c:pt>
                <c:pt idx="167">
                  <c:v>73.347875289993084</c:v>
                </c:pt>
                <c:pt idx="168">
                  <c:v>73.021463558920999</c:v>
                </c:pt>
                <c:pt idx="169">
                  <c:v>72.691199582473331</c:v>
                </c:pt>
                <c:pt idx="170">
                  <c:v>72.357195577333414</c:v>
                </c:pt>
                <c:pt idx="171">
                  <c:v>72.019574529776207</c:v>
                </c:pt>
                <c:pt idx="172">
                  <c:v>71.678470508880665</c:v>
                </c:pt>
                <c:pt idx="173">
                  <c:v>71.334028958585407</c:v>
                </c:pt>
                <c:pt idx="174">
                  <c:v>70.986406965331341</c:v>
                </c:pt>
                <c:pt idx="175">
                  <c:v>70.635773497939311</c:v>
                </c:pt>
                <c:pt idx="176">
                  <c:v>70.282309616296914</c:v>
                </c:pt>
                <c:pt idx="177">
                  <c:v>69.926208645381891</c:v>
                </c:pt>
                <c:pt idx="178">
                  <c:v>69.567676311133781</c:v>
                </c:pt>
                <c:pt idx="179">
                  <c:v>69.206930834706498</c:v>
                </c:pt>
                <c:pt idx="180">
                  <c:v>68.844202981682869</c:v>
                </c:pt>
                <c:pt idx="181">
                  <c:v>68.479736062938201</c:v>
                </c:pt>
                <c:pt idx="182">
                  <c:v>68.113785883964397</c:v>
                </c:pt>
                <c:pt idx="183">
                  <c:v>67.746620639655802</c:v>
                </c:pt>
                <c:pt idx="184">
                  <c:v>67.378520751774985</c:v>
                </c:pt>
                <c:pt idx="185">
                  <c:v>67.009778646591414</c:v>
                </c:pt>
                <c:pt idx="186">
                  <c:v>66.640698470494996</c:v>
                </c:pt>
                <c:pt idx="187">
                  <c:v>66.271595741746026</c:v>
                </c:pt>
                <c:pt idx="188">
                  <c:v>65.902796936917369</c:v>
                </c:pt>
                <c:pt idx="189">
                  <c:v>65.534639011026798</c:v>
                </c:pt>
                <c:pt idx="190">
                  <c:v>65.167468850817926</c:v>
                </c:pt>
                <c:pt idx="191">
                  <c:v>64.80164266116121</c:v>
                </c:pt>
                <c:pt idx="192">
                  <c:v>64.437525285055131</c:v>
                </c:pt>
                <c:pt idx="193">
                  <c:v>64.075489458266915</c:v>
                </c:pt>
                <c:pt idx="194">
                  <c:v>63.715915000186492</c:v>
                </c:pt>
                <c:pt idx="195">
                  <c:v>63.359187943044574</c:v>
                </c:pt>
                <c:pt idx="196">
                  <c:v>63.005699602178808</c:v>
                </c:pt>
                <c:pt idx="197">
                  <c:v>62.65584559058788</c:v>
                </c:pt>
                <c:pt idx="198">
                  <c:v>62.310024781524255</c:v>
                </c:pt>
                <c:pt idx="199">
                  <c:v>61.968638223373993</c:v>
                </c:pt>
                <c:pt idx="200">
                  <c:v>61.632088011528666</c:v>
                </c:pt>
                <c:pt idx="201">
                  <c:v>61.30077612236574</c:v>
                </c:pt>
                <c:pt idx="202">
                  <c:v>60.97510321482801</c:v>
                </c:pt>
                <c:pt idx="203">
                  <c:v>60.655467405400415</c:v>
                </c:pt>
                <c:pt idx="204">
                  <c:v>60.342263022536372</c:v>
                </c:pt>
                <c:pt idx="205">
                  <c:v>60.035879346792797</c:v>
                </c:pt>
                <c:pt idx="206">
                  <c:v>59.736699343046496</c:v>
                </c:pt>
                <c:pt idx="207">
                  <c:v>59.445098391255222</c:v>
                </c:pt>
                <c:pt idx="208">
                  <c:v>59.161443022214179</c:v>
                </c:pt>
                <c:pt idx="209">
                  <c:v>58.886089664722931</c:v>
                </c:pt>
                <c:pt idx="210">
                  <c:v>58.619383410452699</c:v>
                </c:pt>
                <c:pt idx="211">
                  <c:v>58.361656802651517</c:v>
                </c:pt>
                <c:pt idx="212">
                  <c:v>58.113228654609067</c:v>
                </c:pt>
                <c:pt idx="213">
                  <c:v>57.874402903546745</c:v>
                </c:pt>
                <c:pt idx="214">
                  <c:v>57.645467505315906</c:v>
                </c:pt>
                <c:pt idx="215">
                  <c:v>57.426693374963456</c:v>
                </c:pt>
                <c:pt idx="216">
                  <c:v>57.218333377883695</c:v>
                </c:pt>
                <c:pt idx="217">
                  <c:v>57.0206213759203</c:v>
                </c:pt>
                <c:pt idx="218">
                  <c:v>56.833771332414237</c:v>
                </c:pt>
                <c:pt idx="219">
                  <c:v>56.657976479823994</c:v>
                </c:pt>
                <c:pt idx="220">
                  <c:v>56.493408553177467</c:v>
                </c:pt>
                <c:pt idx="221">
                  <c:v>56.340217092247286</c:v>
                </c:pt>
                <c:pt idx="222">
                  <c:v>56.198528815000707</c:v>
                </c:pt>
                <c:pt idx="223">
                  <c:v>56.068447064517507</c:v>
                </c:pt>
                <c:pt idx="224">
                  <c:v>55.950051331263836</c:v>
                </c:pt>
                <c:pt idx="225">
                  <c:v>55.84339685227809</c:v>
                </c:pt>
                <c:pt idx="226">
                  <c:v>55.748514288546346</c:v>
                </c:pt>
                <c:pt idx="227">
                  <c:v>55.665409481547321</c:v>
                </c:pt>
                <c:pt idx="228">
                  <c:v>55.59406328968717</c:v>
                </c:pt>
                <c:pt idx="229">
                  <c:v>55.534431505069342</c:v>
                </c:pt>
                <c:pt idx="230">
                  <c:v>55.486444850797369</c:v>
                </c:pt>
                <c:pt idx="231">
                  <c:v>55.450009058754482</c:v>
                </c:pt>
                <c:pt idx="232">
                  <c:v>55.425005027538504</c:v>
                </c:pt>
                <c:pt idx="233">
                  <c:v>55.411289059989087</c:v>
                </c:pt>
                <c:pt idx="234">
                  <c:v>55.408693179460201</c:v>
                </c:pt>
                <c:pt idx="235">
                  <c:v>55.417025523727716</c:v>
                </c:pt>
                <c:pt idx="236">
                  <c:v>55.436070815127948</c:v>
                </c:pt>
                <c:pt idx="237">
                  <c:v>55.465590905220097</c:v>
                </c:pt>
                <c:pt idx="238">
                  <c:v>55.505325391949611</c:v>
                </c:pt>
                <c:pt idx="239">
                  <c:v>55.554992306958816</c:v>
                </c:pt>
                <c:pt idx="240">
                  <c:v>55.61428887034176</c:v>
                </c:pt>
                <c:pt idx="241">
                  <c:v>55.682892309790397</c:v>
                </c:pt>
                <c:pt idx="242">
                  <c:v>55.760460740705959</c:v>
                </c:pt>
                <c:pt idx="243">
                  <c:v>55.846634103490615</c:v>
                </c:pt>
                <c:pt idx="244">
                  <c:v>55.941035153852738</c:v>
                </c:pt>
                <c:pt idx="245">
                  <c:v>56.043270501613186</c:v>
                </c:pt>
                <c:pt idx="246">
                  <c:v>56.15293169313091</c:v>
                </c:pt>
                <c:pt idx="247">
                  <c:v>56.269596332152467</c:v>
                </c:pt>
                <c:pt idx="248">
                  <c:v>56.392829233568904</c:v>
                </c:pt>
                <c:pt idx="249">
                  <c:v>56.522183604299656</c:v>
                </c:pt>
                <c:pt idx="250">
                  <c:v>56.657202245282392</c:v>
                </c:pt>
                <c:pt idx="251">
                  <c:v>56.797418768358675</c:v>
                </c:pt>
                <c:pt idx="252">
                  <c:v>56.942358821702733</c:v>
                </c:pt>
                <c:pt idx="253">
                  <c:v>57.091541317360758</c:v>
                </c:pt>
                <c:pt idx="254">
                  <c:v>57.2444796544331</c:v>
                </c:pt>
                <c:pt idx="255">
                  <c:v>57.400682931473561</c:v>
                </c:pt>
                <c:pt idx="256">
                  <c:v>57.559657141775403</c:v>
                </c:pt>
                <c:pt idx="257">
                  <c:v>57.720906345371894</c:v>
                </c:pt>
                <c:pt idx="258">
                  <c:v>57.883933811803907</c:v>
                </c:pt>
                <c:pt idx="259">
                  <c:v>58.04824312799132</c:v>
                </c:pt>
                <c:pt idx="260">
                  <c:v>58.21333926587846</c:v>
                </c:pt>
                <c:pt idx="261">
                  <c:v>58.378729604921254</c:v>
                </c:pt>
                <c:pt idx="262">
                  <c:v>58.543924904910327</c:v>
                </c:pt>
                <c:pt idx="263">
                  <c:v>58.708440225109513</c:v>
                </c:pt>
                <c:pt idx="264">
                  <c:v>58.871795786192251</c:v>
                </c:pt>
                <c:pt idx="265">
                  <c:v>59.033517771989686</c:v>
                </c:pt>
                <c:pt idx="266">
                  <c:v>59.193139068618521</c:v>
                </c:pt>
                <c:pt idx="267">
                  <c:v>59.350199939115491</c:v>
                </c:pt>
                <c:pt idx="268">
                  <c:v>59.504248632254821</c:v>
                </c:pt>
                <c:pt idx="269">
                  <c:v>59.654841924794972</c:v>
                </c:pt>
                <c:pt idx="270">
                  <c:v>59.801545596928868</c:v>
                </c:pt>
                <c:pt idx="271">
                  <c:v>59.943934841228199</c:v>
                </c:pt>
                <c:pt idx="272">
                  <c:v>60.081594605879431</c:v>
                </c:pt>
                <c:pt idx="273">
                  <c:v>60.214119873455374</c:v>
                </c:pt>
                <c:pt idx="274">
                  <c:v>60.341115876898371</c:v>
                </c:pt>
                <c:pt idx="275">
                  <c:v>60.462198254779231</c:v>
                </c:pt>
                <c:pt idx="276">
                  <c:v>60.576993148237158</c:v>
                </c:pt>
                <c:pt idx="277">
                  <c:v>60.685137242308066</c:v>
                </c:pt>
                <c:pt idx="278">
                  <c:v>60.786277754605706</c:v>
                </c:pt>
                <c:pt idx="279">
                  <c:v>60.880072374531977</c:v>
                </c:pt>
                <c:pt idx="280">
                  <c:v>60.966189156365715</c:v>
                </c:pt>
                <c:pt idx="281">
                  <c:v>61.044306369699314</c:v>
                </c:pt>
                <c:pt idx="282">
                  <c:v>61.11411231078467</c:v>
                </c:pt>
                <c:pt idx="283">
                  <c:v>61.175305078396612</c:v>
                </c:pt>
                <c:pt idx="284">
                  <c:v>61.22759231783548</c:v>
                </c:pt>
                <c:pt idx="285">
                  <c:v>61.270690936670121</c:v>
                </c:pt>
                <c:pt idx="286">
                  <c:v>61.304326795779382</c:v>
                </c:pt>
                <c:pt idx="287">
                  <c:v>61.328234379170553</c:v>
                </c:pt>
                <c:pt idx="288">
                  <c:v>61.342156445968385</c:v>
                </c:pt>
                <c:pt idx="289">
                  <c:v>61.345843667838494</c:v>
                </c:pt>
                <c:pt idx="290">
                  <c:v>61.339054254998288</c:v>
                </c:pt>
                <c:pt idx="291">
                  <c:v>61.321553573816502</c:v>
                </c:pt>
                <c:pt idx="292">
                  <c:v>61.293113758848797</c:v>
                </c:pt>
                <c:pt idx="293">
                  <c:v>61.253513322014435</c:v>
                </c:pt>
                <c:pt idx="294">
                  <c:v>61.202536761445238</c:v>
                </c:pt>
                <c:pt idx="295">
                  <c:v>61.139974172382743</c:v>
                </c:pt>
                <c:pt idx="296">
                  <c:v>61.065620862340666</c:v>
                </c:pt>
                <c:pt idx="297">
                  <c:v>60.979276972585374</c:v>
                </c:pt>
                <c:pt idx="298">
                  <c:v>60.880747107842645</c:v>
                </c:pt>
                <c:pt idx="299">
                  <c:v>60.7698399759811</c:v>
                </c:pt>
                <c:pt idx="300">
                  <c:v>60.646368039291829</c:v>
                </c:pt>
                <c:pt idx="301">
                  <c:v>60.510147178840768</c:v>
                </c:pt>
                <c:pt idx="302">
                  <c:v>60.360996373250465</c:v>
                </c:pt>
                <c:pt idx="303">
                  <c:v>60.198737393153863</c:v>
                </c:pt>
                <c:pt idx="304">
                  <c:v>60.023194512446139</c:v>
                </c:pt>
                <c:pt idx="305">
                  <c:v>59.834194237374042</c:v>
                </c:pt>
                <c:pt idx="306">
                  <c:v>59.631565054403971</c:v>
                </c:pt>
                <c:pt idx="307">
                  <c:v>59.415137197736229</c:v>
                </c:pt>
                <c:pt idx="308">
                  <c:v>59.184742437257469</c:v>
                </c:pt>
                <c:pt idx="309">
                  <c:v>58.940213887665202</c:v>
                </c:pt>
                <c:pt idx="310">
                  <c:v>58.681385839438292</c:v>
                </c:pt>
                <c:pt idx="311">
                  <c:v>58.408093612285946</c:v>
                </c:pt>
                <c:pt idx="312">
                  <c:v>58.120173431661009</c:v>
                </c:pt>
                <c:pt idx="313">
                  <c:v>57.817462328896241</c:v>
                </c:pt>
                <c:pt idx="314">
                  <c:v>57.499798065483922</c:v>
                </c:pt>
                <c:pt idx="315">
                  <c:v>57.167019082007322</c:v>
                </c:pt>
                <c:pt idx="316">
                  <c:v>56.81896447219853</c:v>
                </c:pt>
                <c:pt idx="317">
                  <c:v>56.455473982591521</c:v>
                </c:pt>
                <c:pt idx="318">
                  <c:v>56.076388038215875</c:v>
                </c:pt>
                <c:pt idx="319">
                  <c:v>55.681547794768235</c:v>
                </c:pt>
                <c:pt idx="320">
                  <c:v>55.270795217680401</c:v>
                </c:pt>
                <c:pt idx="321">
                  <c:v>54.843973188492754</c:v>
                </c:pt>
                <c:pt idx="322">
                  <c:v>54.400925638921336</c:v>
                </c:pt>
                <c:pt idx="323">
                  <c:v>53.941497712994597</c:v>
                </c:pt>
                <c:pt idx="324">
                  <c:v>53.465535957603528</c:v>
                </c:pt>
                <c:pt idx="325">
                  <c:v>52.972888541795029</c:v>
                </c:pt>
                <c:pt idx="326">
                  <c:v>52.463405505094507</c:v>
                </c:pt>
                <c:pt idx="327">
                  <c:v>51.936939035109418</c:v>
                </c:pt>
                <c:pt idx="328">
                  <c:v>51.393343774619261</c:v>
                </c:pt>
                <c:pt idx="329">
                  <c:v>50.832477158294672</c:v>
                </c:pt>
                <c:pt idx="330">
                  <c:v>50.254199779136059</c:v>
                </c:pt>
                <c:pt idx="331">
                  <c:v>49.65837578462299</c:v>
                </c:pt>
                <c:pt idx="332">
                  <c:v>49.044873302503937</c:v>
                </c:pt>
                <c:pt idx="333">
                  <c:v>48.413564896025122</c:v>
                </c:pt>
                <c:pt idx="334">
                  <c:v>47.764328048307704</c:v>
                </c:pt>
                <c:pt idx="335">
                  <c:v>47.097045675430785</c:v>
                </c:pt>
                <c:pt idx="336">
                  <c:v>46.411606667646836</c:v>
                </c:pt>
                <c:pt idx="337">
                  <c:v>45.707906457983519</c:v>
                </c:pt>
                <c:pt idx="338">
                  <c:v>44.985847617313944</c:v>
                </c:pt>
                <c:pt idx="339">
                  <c:v>44.245340474782033</c:v>
                </c:pt>
                <c:pt idx="340">
                  <c:v>43.486303762252497</c:v>
                </c:pt>
                <c:pt idx="341">
                  <c:v>42.708665281230253</c:v>
                </c:pt>
                <c:pt idx="342">
                  <c:v>41.912362590452766</c:v>
                </c:pt>
                <c:pt idx="343">
                  <c:v>41.097343712089426</c:v>
                </c:pt>
                <c:pt idx="344">
                  <c:v>40.263567854214095</c:v>
                </c:pt>
                <c:pt idx="345">
                  <c:v>39.411006146927065</c:v>
                </c:pt>
                <c:pt idx="346">
                  <c:v>38.539642389204325</c:v>
                </c:pt>
                <c:pt idx="347">
                  <c:v>37.649473803241506</c:v>
                </c:pt>
                <c:pt idx="348">
                  <c:v>36.740511792746773</c:v>
                </c:pt>
                <c:pt idx="349">
                  <c:v>35.812782701318376</c:v>
                </c:pt>
                <c:pt idx="350">
                  <c:v>34.86632856672729</c:v>
                </c:pt>
                <c:pt idx="351">
                  <c:v>33.901207866606946</c:v>
                </c:pt>
                <c:pt idx="352">
                  <c:v>32.917496250754731</c:v>
                </c:pt>
                <c:pt idx="353">
                  <c:v>31.915287254952247</c:v>
                </c:pt>
                <c:pt idx="354">
                  <c:v>30.894692990946588</c:v>
                </c:pt>
                <c:pt idx="355">
                  <c:v>29.85584480698558</c:v>
                </c:pt>
                <c:pt idx="356">
                  <c:v>28.798893913084733</c:v>
                </c:pt>
                <c:pt idx="357">
                  <c:v>27.724011965029153</c:v>
                </c:pt>
                <c:pt idx="358">
                  <c:v>26.631391600976542</c:v>
                </c:pt>
                <c:pt idx="359">
                  <c:v>25.521246924448121</c:v>
                </c:pt>
                <c:pt idx="360">
                  <c:v>24.393813927462411</c:v>
                </c:pt>
                <c:pt idx="361">
                  <c:v>23.249350847606607</c:v>
                </c:pt>
                <c:pt idx="362">
                  <c:v>22.088138452945039</c:v>
                </c:pt>
                <c:pt idx="363">
                  <c:v>20.910480248835157</c:v>
                </c:pt>
                <c:pt idx="364">
                  <c:v>19.716702600979705</c:v>
                </c:pt>
                <c:pt idx="365">
                  <c:v>18.507154769386293</c:v>
                </c:pt>
                <c:pt idx="366">
                  <c:v>17.282208848302286</c:v>
                </c:pt>
                <c:pt idx="367">
                  <c:v>16.042259607722698</c:v>
                </c:pt>
                <c:pt idx="368">
                  <c:v>14.787724232630413</c:v>
                </c:pt>
                <c:pt idx="369">
                  <c:v>13.519041956804129</c:v>
                </c:pt>
                <c:pt idx="370">
                  <c:v>12.236673588777835</c:v>
                </c:pt>
                <c:pt idx="371">
                  <c:v>10.941100928343216</c:v>
                </c:pt>
                <c:pt idx="372">
                  <c:v>9.6328260728644999</c:v>
                </c:pt>
                <c:pt idx="373">
                  <c:v>8.3123706136367801</c:v>
                </c:pt>
                <c:pt idx="374">
                  <c:v>6.9802747234633236</c:v>
                </c:pt>
                <c:pt idx="375">
                  <c:v>5.6370961376833462</c:v>
                </c:pt>
                <c:pt idx="376">
                  <c:v>4.2834090318949212</c:v>
                </c:pt>
                <c:pt idx="377">
                  <c:v>2.9198028006706584</c:v>
                </c:pt>
                <c:pt idx="378">
                  <c:v>1.5468807425984576</c:v>
                </c:pt>
                <c:pt idx="379">
                  <c:v>0.16525865798995307</c:v>
                </c:pt>
                <c:pt idx="380">
                  <c:v>-1.2244366334299337</c:v>
                </c:pt>
                <c:pt idx="381">
                  <c:v>-2.6215688466332647</c:v>
                </c:pt>
                <c:pt idx="382">
                  <c:v>-4.0254938481330482</c:v>
                </c:pt>
                <c:pt idx="383">
                  <c:v>-5.4355613257412854</c:v>
                </c:pt>
                <c:pt idx="384">
                  <c:v>-6.8511165007790469</c:v>
                </c:pt>
                <c:pt idx="385">
                  <c:v>-8.271501871720206</c:v>
                </c:pt>
                <c:pt idx="386">
                  <c:v>-9.6960589778450768</c:v>
                </c:pt>
                <c:pt idx="387">
                  <c:v>-11.124130171186074</c:v>
                </c:pt>
                <c:pt idx="388">
                  <c:v>-12.555060384887653</c:v>
                </c:pt>
                <c:pt idx="389">
                  <c:v>-13.988198886093549</c:v>
                </c:pt>
                <c:pt idx="390">
                  <c:v>-15.422901001589873</c:v>
                </c:pt>
                <c:pt idx="391">
                  <c:v>-16.858529804694697</c:v>
                </c:pt>
                <c:pt idx="392">
                  <c:v>-18.294457752261039</c:v>
                </c:pt>
                <c:pt idx="393">
                  <c:v>-19.730068261180886</c:v>
                </c:pt>
                <c:pt idx="394">
                  <c:v>-21.164757214401074</c:v>
                </c:pt>
                <c:pt idx="395">
                  <c:v>-22.597934387181461</c:v>
                </c:pt>
                <c:pt idx="396">
                  <c:v>-24.029024785147264</c:v>
                </c:pt>
                <c:pt idx="397">
                  <c:v>-25.457469886585748</c:v>
                </c:pt>
                <c:pt idx="398">
                  <c:v>-26.882728782380827</c:v>
                </c:pt>
                <c:pt idx="399">
                  <c:v>-28.30427920798083</c:v>
                </c:pt>
                <c:pt idx="400">
                  <c:v>-29.721618462826559</c:v>
                </c:pt>
                <c:pt idx="401">
                  <c:v>-31.134264213696813</c:v>
                </c:pt>
                <c:pt idx="402">
                  <c:v>-32.5417551794772</c:v>
                </c:pt>
                <c:pt idx="403">
                  <c:v>-33.943651695881606</c:v>
                </c:pt>
                <c:pt idx="404">
                  <c:v>-35.339536159635195</c:v>
                </c:pt>
                <c:pt idx="405">
                  <c:v>-36.729013352605556</c:v>
                </c:pt>
                <c:pt idx="406">
                  <c:v>-38.111710647249296</c:v>
                </c:pt>
                <c:pt idx="407">
                  <c:v>-39.487278095595954</c:v>
                </c:pt>
                <c:pt idx="408">
                  <c:v>-40.855388404773024</c:v>
                </c:pt>
                <c:pt idx="409">
                  <c:v>-42.215736802767935</c:v>
                </c:pt>
                <c:pt idx="410">
                  <c:v>-43.568040798761558</c:v>
                </c:pt>
                <c:pt idx="411">
                  <c:v>-44.91203984292995</c:v>
                </c:pt>
                <c:pt idx="412">
                  <c:v>-46.247494891070772</c:v>
                </c:pt>
                <c:pt idx="413">
                  <c:v>-47.574187879825686</c:v>
                </c:pt>
                <c:pt idx="414">
                  <c:v>-48.8919211185964</c:v>
                </c:pt>
                <c:pt idx="415">
                  <c:v>-50.200516604504777</c:v>
                </c:pt>
                <c:pt idx="416">
                  <c:v>-51.499815266944097</c:v>
                </c:pt>
                <c:pt idx="417">
                  <c:v>-52.789676148404759</c:v>
                </c:pt>
                <c:pt idx="418">
                  <c:v>-54.069975528324605</c:v>
                </c:pt>
                <c:pt idx="419">
                  <c:v>-55.340605996757525</c:v>
                </c:pt>
                <c:pt idx="420">
                  <c:v>-56.601475484628402</c:v>
                </c:pt>
                <c:pt idx="421">
                  <c:v>-57.852506257303375</c:v>
                </c:pt>
                <c:pt idx="422">
                  <c:v>-59.093633878114602</c:v>
                </c:pt>
                <c:pt idx="423">
                  <c:v>-60.324806148388866</c:v>
                </c:pt>
                <c:pt idx="424">
                  <c:v>-61.545982030390789</c:v>
                </c:pt>
                <c:pt idx="425">
                  <c:v>-62.757130559471236</c:v>
                </c:pt>
                <c:pt idx="426">
                  <c:v>-63.958229751554711</c:v>
                </c:pt>
                <c:pt idx="427">
                  <c:v>-65.149265511951384</c:v>
                </c:pt>
                <c:pt idx="428">
                  <c:v>-66.330230551324306</c:v>
                </c:pt>
                <c:pt idx="429">
                  <c:v>-67.501123314500262</c:v>
                </c:pt>
                <c:pt idx="430">
                  <c:v>-68.661946927628748</c:v>
                </c:pt>
                <c:pt idx="431">
                  <c:v>-69.81270816908237</c:v>
                </c:pt>
                <c:pt idx="432">
                  <c:v>-70.953416469307555</c:v>
                </c:pt>
                <c:pt idx="433">
                  <c:v>-72.084082944716869</c:v>
                </c:pt>
                <c:pt idx="434">
                  <c:v>-73.204719470535821</c:v>
                </c:pt>
                <c:pt idx="435">
                  <c:v>-74.31533779740613</c:v>
                </c:pt>
                <c:pt idx="436">
                  <c:v>-75.415948716360433</c:v>
                </c:pt>
                <c:pt idx="437">
                  <c:v>-76.506561276651425</c:v>
                </c:pt>
                <c:pt idx="438">
                  <c:v>-77.587182060735017</c:v>
                </c:pt>
                <c:pt idx="439">
                  <c:v>-78.657814520535183</c:v>
                </c:pt>
                <c:pt idx="440">
                  <c:v>-79.718458378913269</c:v>
                </c:pt>
                <c:pt idx="441">
                  <c:v>-80.769109100057818</c:v>
                </c:pt>
                <c:pt idx="442">
                  <c:v>-81.809757432249611</c:v>
                </c:pt>
                <c:pt idx="443">
                  <c:v>-82.840389026207873</c:v>
                </c:pt>
                <c:pt idx="444">
                  <c:v>-83.860984131907571</c:v>
                </c:pt>
                <c:pt idx="445">
                  <c:v>-84.871517376428471</c:v>
                </c:pt>
                <c:pt idx="446">
                  <c:v>-85.871957625021338</c:v>
                </c:pt>
                <c:pt idx="447">
                  <c:v>-86.862267927177456</c:v>
                </c:pt>
                <c:pt idx="448">
                  <c:v>-87.842405549024392</c:v>
                </c:pt>
                <c:pt idx="449">
                  <c:v>-88.812322092898668</c:v>
                </c:pt>
                <c:pt idx="450">
                  <c:v>-89.771963704413338</c:v>
                </c:pt>
                <c:pt idx="451">
                  <c:v>-90.721271366779447</c:v>
                </c:pt>
                <c:pt idx="452">
                  <c:v>-91.660181281544951</c:v>
                </c:pt>
                <c:pt idx="453">
                  <c:v>-92.588625334294818</c:v>
                </c:pt>
                <c:pt idx="454">
                  <c:v>-93.506531643198045</c:v>
                </c:pt>
                <c:pt idx="455">
                  <c:v>-94.413825187631289</c:v>
                </c:pt>
                <c:pt idx="456">
                  <c:v>-95.310428513413768</c:v>
                </c:pt>
                <c:pt idx="457">
                  <c:v>-96.196262510515993</c:v>
                </c:pt>
                <c:pt idx="458">
                  <c:v>-97.071247258413081</c:v>
                </c:pt>
                <c:pt idx="459">
                  <c:v>-97.935302933578996</c:v>
                </c:pt>
                <c:pt idx="460">
                  <c:v>-98.788350772980152</c:v>
                </c:pt>
                <c:pt idx="461">
                  <c:v>-99.63031408678583</c:v>
                </c:pt>
                <c:pt idx="462">
                  <c:v>-100.46111931294496</c:v>
                </c:pt>
                <c:pt idx="463">
                  <c:v>-101.28069710573446</c:v>
                </c:pt>
                <c:pt idx="464">
                  <c:v>-102.08898344990153</c:v>
                </c:pt>
                <c:pt idx="465">
                  <c:v>-102.88592079160806</c:v>
                </c:pt>
                <c:pt idx="466">
                  <c:v>-103.6714591770415</c:v>
                </c:pt>
                <c:pt idx="467">
                  <c:v>-104.44555738927231</c:v>
                </c:pt>
                <c:pt idx="468">
                  <c:v>-105.20818407376802</c:v>
                </c:pt>
                <c:pt idx="469">
                  <c:v>-105.95931884285282</c:v>
                </c:pt>
                <c:pt idx="470">
                  <c:v>-106.69895334940063</c:v>
                </c:pt>
                <c:pt idx="471">
                  <c:v>-107.42709232011852</c:v>
                </c:pt>
                <c:pt idx="472">
                  <c:v>-108.14375453894471</c:v>
                </c:pt>
                <c:pt idx="473">
                  <c:v>-108.84897377134553</c:v>
                </c:pt>
                <c:pt idx="474">
                  <c:v>-109.54279962064274</c:v>
                </c:pt>
                <c:pt idx="475">
                  <c:v>-110.22529830791999</c:v>
                </c:pt>
                <c:pt idx="476">
                  <c:v>-110.89655336758796</c:v>
                </c:pt>
                <c:pt idx="477">
                  <c:v>-111.55666625126004</c:v>
                </c:pt>
                <c:pt idx="478">
                  <c:v>-112.20575683325882</c:v>
                </c:pt>
                <c:pt idx="479">
                  <c:v>-112.84396381178784</c:v>
                </c:pt>
                <c:pt idx="480">
                  <c:v>-113.47144500059242</c:v>
                </c:pt>
                <c:pt idx="481">
                  <c:v>-114.08837750675235</c:v>
                </c:pt>
                <c:pt idx="482">
                  <c:v>-114.69495779113582</c:v>
                </c:pt>
                <c:pt idx="483">
                  <c:v>-115.29140160892943</c:v>
                </c:pt>
                <c:pt idx="484">
                  <c:v>-115.87794382860979</c:v>
                </c:pt>
                <c:pt idx="485">
                  <c:v>-116.45483812865646</c:v>
                </c:pt>
                <c:pt idx="486">
                  <c:v>-117.02235657226636</c:v>
                </c:pt>
                <c:pt idx="487">
                  <c:v>-117.58078906128991</c:v>
                </c:pt>
                <c:pt idx="488">
                  <c:v>-118.13044267154068</c:v>
                </c:pt>
                <c:pt idx="489">
                  <c:v>-118.67164087258189</c:v>
                </c:pt>
                <c:pt idx="490">
                  <c:v>-119.20472263597378</c:v>
                </c:pt>
                <c:pt idx="491">
                  <c:v>-119.73004143684753</c:v>
                </c:pt>
                <c:pt idx="492">
                  <c:v>-120.24796415449521</c:v>
                </c:pt>
                <c:pt idx="493">
                  <c:v>-120.75886987844331</c:v>
                </c:pt>
                <c:pt idx="494">
                  <c:v>-121.26314862719701</c:v>
                </c:pt>
                <c:pt idx="495">
                  <c:v>-121.76119998750141</c:v>
                </c:pt>
                <c:pt idx="496">
                  <c:v>-122.25343168256002</c:v>
                </c:pt>
                <c:pt idx="497">
                  <c:v>-122.74025807815865</c:v>
                </c:pt>
                <c:pt idx="498">
                  <c:v>-123.22209863609702</c:v>
                </c:pt>
                <c:pt idx="499">
                  <c:v>-123.6993763246637</c:v>
                </c:pt>
                <c:pt idx="500">
                  <c:v>-124.17251599619627</c:v>
                </c:pt>
                <c:pt idx="501">
                  <c:v>-124.64194274192825</c:v>
                </c:pt>
                <c:pt idx="502">
                  <c:v>-125.10808023445058</c:v>
                </c:pt>
                <c:pt idx="503">
                  <c:v>-125.57134906812313</c:v>
                </c:pt>
                <c:pt idx="504">
                  <c:v>-126.0321651077182</c:v>
                </c:pt>
                <c:pt idx="505">
                  <c:v>-126.49093785543035</c:v>
                </c:pt>
                <c:pt idx="506">
                  <c:v>-126.94806884617297</c:v>
                </c:pt>
                <c:pt idx="507">
                  <c:v>-127.40395008078727</c:v>
                </c:pt>
                <c:pt idx="508">
                  <c:v>-127.8589625064387</c:v>
                </c:pt>
                <c:pt idx="509">
                  <c:v>-128.31347455305044</c:v>
                </c:pt>
                <c:pt idx="510">
                  <c:v>-128.76784073415473</c:v>
                </c:pt>
                <c:pt idx="511">
                  <c:v>-129.22240032001463</c:v>
                </c:pt>
                <c:pt idx="512">
                  <c:v>-129.6774760903065</c:v>
                </c:pt>
                <c:pt idx="513">
                  <c:v>-130.13337317304624</c:v>
                </c:pt>
                <c:pt idx="514">
                  <c:v>-130.59037797580399</c:v>
                </c:pt>
                <c:pt idx="515">
                  <c:v>-131.04875721459982</c:v>
                </c:pt>
                <c:pt idx="516">
                  <c:v>-131.50875704518091</c:v>
                </c:pt>
                <c:pt idx="517">
                  <c:v>-131.97060230069283</c:v>
                </c:pt>
                <c:pt idx="518">
                  <c:v>-132.43449583904581</c:v>
                </c:pt>
                <c:pt idx="519">
                  <c:v>-132.90061800255953</c:v>
                </c:pt>
                <c:pt idx="520">
                  <c:v>-133.36912619176451</c:v>
                </c:pt>
                <c:pt idx="521">
                  <c:v>-133.84015455450449</c:v>
                </c:pt>
                <c:pt idx="522">
                  <c:v>-134.31381379078459</c:v>
                </c:pt>
                <c:pt idx="523">
                  <c:v>-134.7901910730908</c:v>
                </c:pt>
                <c:pt idx="524">
                  <c:v>-135.26935008121788</c:v>
                </c:pt>
                <c:pt idx="525">
                  <c:v>-135.7513311499396</c:v>
                </c:pt>
                <c:pt idx="526">
                  <c:v>-136.23615152720103</c:v>
                </c:pt>
                <c:pt idx="527">
                  <c:v>-136.72380573983204</c:v>
                </c:pt>
                <c:pt idx="528">
                  <c:v>-137.2142660631666</c:v>
                </c:pt>
                <c:pt idx="529">
                  <c:v>-137.70748309032325</c:v>
                </c:pt>
                <c:pt idx="530">
                  <c:v>-138.20338639632342</c:v>
                </c:pt>
                <c:pt idx="531">
                  <c:v>-138.70188529167163</c:v>
                </c:pt>
                <c:pt idx="532">
                  <c:v>-139.20286965949529</c:v>
                </c:pt>
                <c:pt idx="533">
                  <c:v>-139.70621086987688</c:v>
                </c:pt>
                <c:pt idx="534">
                  <c:v>-140.21176276456987</c:v>
                </c:pt>
                <c:pt idx="535">
                  <c:v>-140.71936270490252</c:v>
                </c:pt>
                <c:pt idx="536">
                  <c:v>-141.22883267536739</c:v>
                </c:pt>
                <c:pt idx="537">
                  <c:v>-141.73998043509766</c:v>
                </c:pt>
                <c:pt idx="538">
                  <c:v>-142.25260070924966</c:v>
                </c:pt>
                <c:pt idx="539">
                  <c:v>-142.76647641215663</c:v>
                </c:pt>
                <c:pt idx="540">
                  <c:v>-143.2813798940534</c:v>
                </c:pt>
                <c:pt idx="541">
                  <c:v>-143.7970742031718</c:v>
                </c:pt>
              </c:numCache>
            </c:numRef>
          </c:yVal>
          <c:smooth val="1"/>
          <c:extLst>
            <c:ext xmlns:c16="http://schemas.microsoft.com/office/drawing/2014/chart" uri="{C3380CC4-5D6E-409C-BE32-E72D297353CC}">
              <c16:uniqueId val="{00000001-8D57-4B49-BEDF-48E0FDEC8FDA}"/>
            </c:ext>
          </c:extLst>
        </c:ser>
        <c:dLbls>
          <c:showLegendKey val="0"/>
          <c:showVal val="0"/>
          <c:showCatName val="0"/>
          <c:showSerName val="0"/>
          <c:showPercent val="0"/>
          <c:showBubbleSize val="0"/>
        </c:dLbls>
        <c:axId val="178971776"/>
        <c:axId val="178961792"/>
      </c:scatterChart>
      <c:valAx>
        <c:axId val="17895360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78959872"/>
        <c:crosses val="autoZero"/>
        <c:crossBetween val="midCat"/>
      </c:valAx>
      <c:valAx>
        <c:axId val="178959872"/>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78953600"/>
        <c:crosses val="autoZero"/>
        <c:crossBetween val="midCat"/>
        <c:majorUnit val="20"/>
        <c:minorUnit val="10"/>
      </c:valAx>
      <c:valAx>
        <c:axId val="178961792"/>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78971776"/>
        <c:crosses val="max"/>
        <c:crossBetween val="midCat"/>
        <c:majorUnit val="90"/>
        <c:minorUnit val="45"/>
      </c:valAx>
      <c:valAx>
        <c:axId val="178971776"/>
        <c:scaling>
          <c:logBase val="10"/>
          <c:orientation val="minMax"/>
        </c:scaling>
        <c:delete val="1"/>
        <c:axPos val="b"/>
        <c:numFmt formatCode="0.00" sourceLinked="1"/>
        <c:majorTickMark val="out"/>
        <c:minorTickMark val="none"/>
        <c:tickLblPos val="nextTo"/>
        <c:crossAx val="178961792"/>
        <c:crosses val="autoZero"/>
        <c:crossBetween val="midCat"/>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Spin" dx="20" fmlaLink="Loop_Modeling!$B$16" max="60" noThreeD="1" page="10" val="7"/>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3.png"/><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chart" Target="../charts/chart4.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22860</xdr:colOff>
      <xdr:row>52</xdr:row>
      <xdr:rowOff>1</xdr:rowOff>
    </xdr:from>
    <xdr:to>
      <xdr:col>25</xdr:col>
      <xdr:colOff>598714</xdr:colOff>
      <xdr:row>73</xdr:row>
      <xdr:rowOff>175261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22861</xdr:colOff>
      <xdr:row>76</xdr:row>
      <xdr:rowOff>7620</xdr:rowOff>
    </xdr:from>
    <xdr:to>
      <xdr:col>25</xdr:col>
      <xdr:colOff>600637</xdr:colOff>
      <xdr:row>100</xdr:row>
      <xdr:rowOff>163286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749300</xdr:colOff>
          <xdr:row>58</xdr:row>
          <xdr:rowOff>0</xdr:rowOff>
        </xdr:from>
        <xdr:to>
          <xdr:col>8</xdr:col>
          <xdr:colOff>12700</xdr:colOff>
          <xdr:row>60</xdr:row>
          <xdr:rowOff>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13</xdr:col>
      <xdr:colOff>560313</xdr:colOff>
      <xdr:row>51</xdr:row>
      <xdr:rowOff>62752</xdr:rowOff>
    </xdr:from>
    <xdr:to>
      <xdr:col>15</xdr:col>
      <xdr:colOff>289878</xdr:colOff>
      <xdr:row>53</xdr:row>
      <xdr:rowOff>161363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225137" y="9849223"/>
          <a:ext cx="969682" cy="516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15</xdr:col>
      <xdr:colOff>130006</xdr:colOff>
      <xdr:row>51</xdr:row>
      <xdr:rowOff>71718</xdr:rowOff>
    </xdr:from>
    <xdr:to>
      <xdr:col>16</xdr:col>
      <xdr:colOff>461700</xdr:colOff>
      <xdr:row>53</xdr:row>
      <xdr:rowOff>170330</xdr:rowOff>
    </xdr:to>
    <xdr:sp macro="" textlink="VIN_var">
      <xdr:nvSpPr>
        <xdr:cNvPr id="3" name="TextBox 2">
          <a:extLst>
            <a:ext uri="{FF2B5EF4-FFF2-40B4-BE49-F238E27FC236}">
              <a16:creationId xmlns:a16="http://schemas.microsoft.com/office/drawing/2014/main" id="{00000000-0008-0000-0000-000003000000}"/>
            </a:ext>
          </a:extLst>
        </xdr:cNvPr>
        <xdr:cNvSpPr txBox="1"/>
      </xdr:nvSpPr>
      <xdr:spPr>
        <a:xfrm>
          <a:off x="9034947" y="9858189"/>
          <a:ext cx="951753" cy="5169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45AF08-B1D6-47C0-A1D9-CF710D8B3736}" type="TxLink">
            <a:rPr lang="en-US" sz="2400" b="0" i="0" u="none" strike="noStrike">
              <a:solidFill>
                <a:srgbClr val="000000"/>
              </a:solidFill>
              <a:latin typeface="Calibri"/>
              <a:cs typeface="Calibri"/>
            </a:rPr>
            <a:pPr/>
            <a:t>7</a:t>
          </a:fld>
          <a:endParaRPr lang="en-US" sz="4800"/>
        </a:p>
      </xdr:txBody>
    </xdr:sp>
    <xdr:clientData/>
  </xdr:twoCellAnchor>
  <xdr:twoCellAnchor>
    <xdr:from>
      <xdr:col>16</xdr:col>
      <xdr:colOff>271973</xdr:colOff>
      <xdr:row>51</xdr:row>
      <xdr:rowOff>62752</xdr:rowOff>
    </xdr:from>
    <xdr:to>
      <xdr:col>18</xdr:col>
      <xdr:colOff>11996</xdr:colOff>
      <xdr:row>53</xdr:row>
      <xdr:rowOff>161363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796973" y="9849223"/>
          <a:ext cx="980141" cy="516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376517</xdr:colOff>
      <xdr:row>76</xdr:row>
      <xdr:rowOff>26894</xdr:rowOff>
    </xdr:from>
    <xdr:to>
      <xdr:col>13</xdr:col>
      <xdr:colOff>116540</xdr:colOff>
      <xdr:row>78</xdr:row>
      <xdr:rowOff>134470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696635"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13</xdr:col>
      <xdr:colOff>67851</xdr:colOff>
      <xdr:row>76</xdr:row>
      <xdr:rowOff>35860</xdr:rowOff>
    </xdr:from>
    <xdr:to>
      <xdr:col>14</xdr:col>
      <xdr:colOff>417475</xdr:colOff>
      <xdr:row>78</xdr:row>
      <xdr:rowOff>143437</xdr:rowOff>
    </xdr:to>
    <xdr:sp macro="" textlink="VIN_var">
      <xdr:nvSpPr>
        <xdr:cNvPr id="10" name="TextBox 9">
          <a:extLst>
            <a:ext uri="{FF2B5EF4-FFF2-40B4-BE49-F238E27FC236}">
              <a16:creationId xmlns:a16="http://schemas.microsoft.com/office/drawing/2014/main" id="{00000000-0008-0000-0000-00000A000000}"/>
            </a:ext>
          </a:extLst>
        </xdr:cNvPr>
        <xdr:cNvSpPr txBox="1"/>
      </xdr:nvSpPr>
      <xdr:spPr>
        <a:xfrm>
          <a:off x="7835129" y="15596028"/>
          <a:ext cx="977153" cy="485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3B256A8-11FB-4B1E-A1DF-DFACC41BEEAC}" type="TxLink">
            <a:rPr lang="en-US" sz="2400" b="0" i="0" u="none" strike="noStrike">
              <a:solidFill>
                <a:srgbClr val="000000"/>
              </a:solidFill>
              <a:latin typeface="Calibri"/>
              <a:cs typeface="Calibri"/>
            </a:rPr>
            <a:pPr/>
            <a:t>7</a:t>
          </a:fld>
          <a:endParaRPr lang="en-US" sz="4800"/>
        </a:p>
      </xdr:txBody>
    </xdr:sp>
    <xdr:clientData/>
  </xdr:twoCellAnchor>
  <xdr:twoCellAnchor>
    <xdr:from>
      <xdr:col>13</xdr:col>
      <xdr:colOff>554332</xdr:colOff>
      <xdr:row>76</xdr:row>
      <xdr:rowOff>26894</xdr:rowOff>
    </xdr:from>
    <xdr:to>
      <xdr:col>15</xdr:col>
      <xdr:colOff>283896</xdr:colOff>
      <xdr:row>78</xdr:row>
      <xdr:rowOff>134470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8219156" y="14930718"/>
          <a:ext cx="969681" cy="4960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editAs="oneCell">
    <xdr:from>
      <xdr:col>10</xdr:col>
      <xdr:colOff>70437</xdr:colOff>
      <xdr:row>5</xdr:row>
      <xdr:rowOff>89645</xdr:rowOff>
    </xdr:from>
    <xdr:to>
      <xdr:col>25</xdr:col>
      <xdr:colOff>444576</xdr:colOff>
      <xdr:row>41</xdr:row>
      <xdr:rowOff>134469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55126" y="1402334"/>
          <a:ext cx="9665416" cy="7178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505866</xdr:colOff>
      <xdr:row>199</xdr:row>
      <xdr:rowOff>166488</xdr:rowOff>
    </xdr:from>
    <xdr:to>
      <xdr:col>15</xdr:col>
      <xdr:colOff>375236</xdr:colOff>
      <xdr:row>202</xdr:row>
      <xdr:rowOff>52509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623177" y="37875883"/>
          <a:ext cx="4012345" cy="4431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xdr:twoCellAnchor>
    <xdr:from>
      <xdr:col>8</xdr:col>
      <xdr:colOff>842683</xdr:colOff>
      <xdr:row>174</xdr:row>
      <xdr:rowOff>17930</xdr:rowOff>
    </xdr:from>
    <xdr:to>
      <xdr:col>14</xdr:col>
      <xdr:colOff>475130</xdr:colOff>
      <xdr:row>184</xdr:row>
      <xdr:rowOff>98613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votlage range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375238</xdr:colOff>
      <xdr:row>64</xdr:row>
      <xdr:rowOff>185055</xdr:rowOff>
    </xdr:from>
    <xdr:to>
      <xdr:col>16</xdr:col>
      <xdr:colOff>643009</xdr:colOff>
      <xdr:row>84</xdr:row>
      <xdr:rowOff>3117</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45</xdr:col>
      <xdr:colOff>186690</xdr:colOff>
      <xdr:row>39</xdr:row>
      <xdr:rowOff>167640</xdr:rowOff>
    </xdr:from>
    <xdr:to>
      <xdr:col>47</xdr:col>
      <xdr:colOff>515247</xdr:colOff>
      <xdr:row>45</xdr:row>
      <xdr:rowOff>69932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47</xdr:col>
      <xdr:colOff>247650</xdr:colOff>
      <xdr:row>40</xdr:row>
      <xdr:rowOff>60960</xdr:rowOff>
    </xdr:from>
    <xdr:to>
      <xdr:col>51</xdr:col>
      <xdr:colOff>567929</xdr:colOff>
      <xdr:row>44</xdr:row>
      <xdr:rowOff>129611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44</xdr:col>
      <xdr:colOff>30480</xdr:colOff>
      <xdr:row>49</xdr:row>
      <xdr:rowOff>64770</xdr:rowOff>
    </xdr:from>
    <xdr:to>
      <xdr:col>55</xdr:col>
      <xdr:colOff>144780</xdr:colOff>
      <xdr:row>73</xdr:row>
      <xdr:rowOff>38100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7620</xdr:colOff>
      <xdr:row>21</xdr:row>
      <xdr:rowOff>121920</xdr:rowOff>
    </xdr:from>
    <xdr:to>
      <xdr:col>26</xdr:col>
      <xdr:colOff>45720</xdr:colOff>
      <xdr:row>45</xdr:row>
      <xdr:rowOff>80010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8325</xdr:colOff>
      <xdr:row>32</xdr:row>
      <xdr:rowOff>8964</xdr:rowOff>
    </xdr:from>
    <xdr:to>
      <xdr:col>11</xdr:col>
      <xdr:colOff>591031</xdr:colOff>
      <xdr:row>40</xdr:row>
      <xdr:rowOff>131269</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289382" y="5952564"/>
          <a:ext cx="2411506" cy="1602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8</xdr:col>
      <xdr:colOff>0</xdr:colOff>
      <xdr:row>49</xdr:row>
      <xdr:rowOff>13855</xdr:rowOff>
    </xdr:from>
    <xdr:to>
      <xdr:col>12</xdr:col>
      <xdr:colOff>83127</xdr:colOff>
      <xdr:row>60</xdr:row>
      <xdr:rowOff>13855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276109" y="8936182"/>
          <a:ext cx="2521527"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error amplifier is the same regardless of the mode of operation</a:t>
          </a:r>
        </a:p>
      </xdr:txBody>
    </xdr:sp>
    <xdr:clientData/>
  </xdr:twoCellAnchor>
  <xdr:twoCellAnchor>
    <xdr:from>
      <xdr:col>31</xdr:col>
      <xdr:colOff>313764</xdr:colOff>
      <xdr:row>48</xdr:row>
      <xdr:rowOff>179295</xdr:rowOff>
    </xdr:from>
    <xdr:to>
      <xdr:col>42</xdr:col>
      <xdr:colOff>438673</xdr:colOff>
      <xdr:row>72</xdr:row>
      <xdr:rowOff>152625</xdr:rowOff>
    </xdr:to>
    <xdr:graphicFrame macro="">
      <xdr:nvGraphicFramePr>
        <xdr:cNvPr id="14" name="Chart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22</xdr:row>
      <xdr:rowOff>0</xdr:rowOff>
    </xdr:from>
    <xdr:to>
      <xdr:col>42</xdr:col>
      <xdr:colOff>97865</xdr:colOff>
      <xdr:row>45</xdr:row>
      <xdr:rowOff>144855</xdr:rowOff>
    </xdr:to>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22</xdr:row>
      <xdr:rowOff>0</xdr:rowOff>
    </xdr:from>
    <xdr:to>
      <xdr:col>55</xdr:col>
      <xdr:colOff>269688</xdr:colOff>
      <xdr:row>45</xdr:row>
      <xdr:rowOff>144855</xdr:rowOff>
    </xdr:to>
    <xdr:graphicFrame macro="">
      <xdr:nvGraphicFramePr>
        <xdr:cNvPr id="16" name="Chart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548640</xdr:colOff>
      <xdr:row>8</xdr:row>
      <xdr:rowOff>0</xdr:rowOff>
    </xdr:from>
    <xdr:to>
      <xdr:col>12</xdr:col>
      <xdr:colOff>449580</xdr:colOff>
      <xdr:row>10</xdr:row>
      <xdr:rowOff>123546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12</xdr:row>
      <xdr:rowOff>132742</xdr:rowOff>
    </xdr:from>
    <xdr:to>
      <xdr:col>13</xdr:col>
      <xdr:colOff>350520</xdr:colOff>
      <xdr:row>16</xdr:row>
      <xdr:rowOff>76286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22</xdr:row>
      <xdr:rowOff>0</xdr:rowOff>
    </xdr:from>
    <xdr:to>
      <xdr:col>13</xdr:col>
      <xdr:colOff>76200</xdr:colOff>
      <xdr:row>30</xdr:row>
      <xdr:rowOff>45370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9157</xdr:colOff>
      <xdr:row>3</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50800</xdr:colOff>
      <xdr:row>1</xdr:row>
      <xdr:rowOff>6351</xdr:rowOff>
    </xdr:from>
    <xdr:to>
      <xdr:col>1</xdr:col>
      <xdr:colOff>4946650</xdr:colOff>
      <xdr:row>2</xdr:row>
      <xdr:rowOff>7693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400" y="190501"/>
          <a:ext cx="4895850" cy="37414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02"/>
  <sheetViews>
    <sheetView tabSelected="1" topLeftCell="A4" zoomScale="85" zoomScaleNormal="85" workbookViewId="0">
      <selection activeCell="H40" sqref="H40"/>
    </sheetView>
  </sheetViews>
  <sheetFormatPr defaultColWidth="8.81640625" defaultRowHeight="14.5" x14ac:dyDescent="0.35"/>
  <cols>
    <col min="1" max="6" width="8.81640625" style="91" customWidth="1"/>
    <col min="7" max="7" width="8.81640625" style="147" customWidth="1"/>
    <col min="8" max="8" width="12" style="91" bestFit="1" customWidth="1"/>
    <col min="9" max="9" width="4.1796875" style="91" bestFit="1" customWidth="1"/>
    <col min="10" max="10" width="4.81640625" style="91" customWidth="1"/>
    <col min="11" max="21" width="8.81640625" style="91" customWidth="1"/>
    <col min="22" max="22" width="7.1796875" style="91" customWidth="1"/>
    <col min="23" max="26" width="8.81640625" style="91" customWidth="1"/>
    <col min="27" max="27" width="1.81640625" style="148" customWidth="1"/>
    <col min="28" max="16384" width="8.81640625" style="91"/>
  </cols>
  <sheetData>
    <row r="1" spans="1:27" ht="46.75" customHeight="1" x14ac:dyDescent="0.25">
      <c r="A1" s="87"/>
      <c r="B1" s="87"/>
      <c r="C1" s="87"/>
      <c r="D1" s="87"/>
      <c r="E1" s="88" t="s">
        <v>514</v>
      </c>
      <c r="F1" s="87"/>
      <c r="G1" s="89"/>
      <c r="H1" s="87"/>
      <c r="I1" s="87"/>
      <c r="J1" s="87"/>
      <c r="K1" s="87"/>
      <c r="L1" s="87"/>
      <c r="M1" s="87"/>
      <c r="N1" s="87"/>
      <c r="O1" s="87"/>
      <c r="P1" s="87"/>
      <c r="Q1" s="87"/>
      <c r="R1" s="87"/>
      <c r="S1" s="87"/>
      <c r="T1" s="87"/>
      <c r="U1" s="87"/>
      <c r="V1" s="87"/>
      <c r="W1" s="87"/>
      <c r="X1" s="87"/>
      <c r="Y1" s="87"/>
      <c r="Z1" s="87"/>
      <c r="AA1" s="90"/>
    </row>
    <row r="2" spans="1:27" x14ac:dyDescent="0.35">
      <c r="A2" s="92"/>
      <c r="B2" s="92"/>
      <c r="C2" s="92"/>
      <c r="D2" s="92"/>
      <c r="E2" s="92"/>
      <c r="F2" s="92"/>
      <c r="G2" s="93"/>
      <c r="H2" s="92"/>
      <c r="I2" s="92"/>
      <c r="J2" s="92"/>
      <c r="K2" s="92"/>
      <c r="L2" s="92"/>
      <c r="M2" s="92"/>
      <c r="N2" s="92"/>
      <c r="O2" s="92"/>
      <c r="P2" s="92"/>
      <c r="Q2" s="92"/>
      <c r="R2" s="92"/>
      <c r="S2" s="92"/>
      <c r="T2" s="92"/>
      <c r="U2" s="92"/>
      <c r="V2" s="92"/>
      <c r="W2" s="92"/>
      <c r="X2" s="92"/>
      <c r="Y2" s="92"/>
      <c r="Z2" s="92"/>
      <c r="AA2" s="90"/>
    </row>
    <row r="3" spans="1:27" x14ac:dyDescent="0.35">
      <c r="A3" s="94" t="s">
        <v>1</v>
      </c>
      <c r="B3" s="92"/>
      <c r="C3" s="92"/>
      <c r="D3" s="92"/>
      <c r="E3" s="95"/>
      <c r="F3" s="96" t="s">
        <v>2</v>
      </c>
      <c r="G3" s="93"/>
      <c r="H3" s="92"/>
      <c r="I3" s="92"/>
      <c r="J3" s="92"/>
      <c r="K3" s="92"/>
      <c r="L3" s="92"/>
      <c r="M3" s="92"/>
      <c r="N3" s="92"/>
      <c r="O3" s="97" t="s">
        <v>0</v>
      </c>
      <c r="P3" s="92"/>
      <c r="Q3" s="92"/>
      <c r="R3" s="92"/>
      <c r="S3" s="92"/>
      <c r="T3" s="92"/>
      <c r="U3" s="92"/>
      <c r="V3" s="92"/>
      <c r="W3" s="92"/>
      <c r="X3" s="92"/>
      <c r="Y3" s="92"/>
      <c r="Z3" s="92"/>
      <c r="AA3" s="90"/>
    </row>
    <row r="4" spans="1:27" s="101" customFormat="1" x14ac:dyDescent="0.35">
      <c r="A4" s="98"/>
      <c r="B4" s="98"/>
      <c r="C4" s="98"/>
      <c r="D4" s="98"/>
      <c r="E4" s="98"/>
      <c r="F4" s="98"/>
      <c r="G4" s="99"/>
      <c r="H4" s="98"/>
      <c r="I4" s="98"/>
      <c r="J4" s="98"/>
      <c r="K4" s="98"/>
      <c r="L4" s="98"/>
      <c r="M4" s="98"/>
      <c r="N4" s="98"/>
      <c r="O4" s="98"/>
      <c r="P4" s="98"/>
      <c r="Q4" s="98"/>
      <c r="R4" s="98"/>
      <c r="S4" s="98"/>
      <c r="T4" s="98"/>
      <c r="U4" s="98"/>
      <c r="V4" s="98"/>
      <c r="W4" s="98"/>
      <c r="X4" s="98"/>
      <c r="Y4" s="98"/>
      <c r="Z4" s="98"/>
      <c r="AA4" s="100"/>
    </row>
    <row r="5" spans="1:27" x14ac:dyDescent="0.35">
      <c r="A5" s="102"/>
      <c r="B5" s="102"/>
      <c r="C5" s="102"/>
      <c r="D5" s="102"/>
      <c r="E5" s="102"/>
      <c r="F5" s="102"/>
      <c r="G5" s="103"/>
      <c r="H5" s="102"/>
      <c r="I5" s="102"/>
      <c r="J5" s="102"/>
      <c r="K5" s="102"/>
      <c r="L5" s="102"/>
      <c r="M5" s="102"/>
      <c r="N5" s="102"/>
      <c r="O5" s="102" t="s">
        <v>590</v>
      </c>
      <c r="P5" s="104" t="s">
        <v>512</v>
      </c>
      <c r="Q5" s="102"/>
      <c r="R5" s="102"/>
      <c r="S5" s="102"/>
      <c r="T5" s="102"/>
      <c r="U5" s="102"/>
      <c r="V5" s="102"/>
      <c r="W5" s="102"/>
      <c r="X5" s="102"/>
      <c r="Y5" s="102"/>
      <c r="Z5" s="102"/>
      <c r="AA5" s="90"/>
    </row>
    <row r="6" spans="1:27" ht="15" thickBot="1" x14ac:dyDescent="0.4">
      <c r="A6" s="105" t="s">
        <v>3</v>
      </c>
      <c r="B6" s="102"/>
      <c r="C6" s="102"/>
      <c r="D6" s="102"/>
      <c r="E6" s="102"/>
      <c r="F6" s="102"/>
      <c r="G6" s="103"/>
      <c r="H6" s="102"/>
      <c r="I6" s="102"/>
      <c r="J6" s="102"/>
      <c r="K6" s="102"/>
      <c r="L6" s="102"/>
      <c r="M6" s="102"/>
      <c r="N6" s="102"/>
      <c r="O6" s="102"/>
      <c r="P6" s="102"/>
      <c r="Q6" s="102"/>
      <c r="R6" s="102"/>
      <c r="S6" s="102"/>
      <c r="T6" s="102"/>
      <c r="U6" s="102"/>
      <c r="V6" s="102"/>
      <c r="W6" s="102"/>
      <c r="X6" s="102"/>
      <c r="Y6" s="102"/>
      <c r="Z6" s="102"/>
      <c r="AA6" s="90"/>
    </row>
    <row r="7" spans="1:27" ht="15" x14ac:dyDescent="0.4">
      <c r="A7" s="106"/>
      <c r="B7" s="107"/>
      <c r="C7" s="107"/>
      <c r="D7" s="107"/>
      <c r="E7" s="107"/>
      <c r="F7" s="107"/>
      <c r="G7" s="108" t="s">
        <v>4</v>
      </c>
      <c r="H7" s="150">
        <v>6.5</v>
      </c>
      <c r="I7" s="109" t="s">
        <v>10</v>
      </c>
      <c r="J7" s="102"/>
      <c r="K7" s="102"/>
      <c r="L7" s="102"/>
      <c r="M7" s="102"/>
      <c r="N7" s="102"/>
      <c r="O7" s="102"/>
      <c r="P7" s="102"/>
      <c r="Q7" s="102"/>
      <c r="R7" s="102"/>
      <c r="S7" s="102"/>
      <c r="T7" s="102"/>
      <c r="U7" s="102"/>
      <c r="V7" s="102"/>
      <c r="W7" s="102"/>
      <c r="X7" s="102"/>
      <c r="Y7" s="102"/>
      <c r="Z7" s="102"/>
      <c r="AA7" s="90"/>
    </row>
    <row r="8" spans="1:27" ht="15" x14ac:dyDescent="0.4">
      <c r="A8" s="110"/>
      <c r="B8" s="102"/>
      <c r="C8" s="102"/>
      <c r="D8" s="102"/>
      <c r="E8" s="102"/>
      <c r="F8" s="102"/>
      <c r="G8" s="111" t="s">
        <v>5</v>
      </c>
      <c r="H8" s="151">
        <v>10</v>
      </c>
      <c r="I8" s="112" t="s">
        <v>10</v>
      </c>
      <c r="J8" s="102"/>
      <c r="K8" s="102"/>
      <c r="L8" s="102"/>
      <c r="M8" s="102"/>
      <c r="N8" s="102"/>
      <c r="O8" s="102"/>
      <c r="P8" s="102"/>
      <c r="Q8" s="102"/>
      <c r="R8" s="102"/>
      <c r="S8" s="102"/>
      <c r="T8" s="102"/>
      <c r="U8" s="102"/>
      <c r="V8" s="102"/>
      <c r="W8" s="102"/>
      <c r="X8" s="102"/>
      <c r="Y8" s="102"/>
      <c r="Z8" s="102"/>
      <c r="AA8" s="90"/>
    </row>
    <row r="9" spans="1:27" ht="15" x14ac:dyDescent="0.4">
      <c r="A9" s="110"/>
      <c r="B9" s="102"/>
      <c r="C9" s="102"/>
      <c r="D9" s="102"/>
      <c r="E9" s="102"/>
      <c r="F9" s="102"/>
      <c r="G9" s="111" t="s">
        <v>6</v>
      </c>
      <c r="H9" s="151">
        <v>35</v>
      </c>
      <c r="I9" s="112" t="s">
        <v>10</v>
      </c>
      <c r="J9" s="102"/>
      <c r="K9" s="102"/>
      <c r="L9" s="102"/>
      <c r="M9" s="102"/>
      <c r="N9" s="102"/>
      <c r="O9" s="102"/>
      <c r="P9" s="102"/>
      <c r="Q9" s="102"/>
      <c r="R9" s="102"/>
      <c r="S9" s="102"/>
      <c r="T9" s="102"/>
      <c r="U9" s="102"/>
      <c r="V9" s="102"/>
      <c r="W9" s="102"/>
      <c r="X9" s="102"/>
      <c r="Y9" s="102"/>
      <c r="Z9" s="102"/>
      <c r="AA9" s="90"/>
    </row>
    <row r="10" spans="1:27" ht="15" x14ac:dyDescent="0.4">
      <c r="A10" s="110"/>
      <c r="B10" s="102"/>
      <c r="C10" s="102"/>
      <c r="D10" s="102"/>
      <c r="E10" s="102"/>
      <c r="F10" s="102"/>
      <c r="G10" s="111" t="s">
        <v>7</v>
      </c>
      <c r="H10" s="151">
        <v>12</v>
      </c>
      <c r="I10" s="112" t="s">
        <v>10</v>
      </c>
      <c r="J10" s="102"/>
      <c r="K10" s="102"/>
      <c r="L10" s="102"/>
      <c r="M10" s="102"/>
      <c r="N10" s="102"/>
      <c r="O10" s="102"/>
      <c r="P10" s="102"/>
      <c r="Q10" s="102"/>
      <c r="R10" s="102"/>
      <c r="S10" s="102"/>
      <c r="T10" s="102"/>
      <c r="U10" s="102"/>
      <c r="V10" s="102"/>
      <c r="W10" s="102"/>
      <c r="X10" s="102"/>
      <c r="Y10" s="102"/>
      <c r="Z10" s="102"/>
      <c r="AA10" s="90"/>
    </row>
    <row r="11" spans="1:27" ht="15" x14ac:dyDescent="0.4">
      <c r="A11" s="110"/>
      <c r="B11" s="102"/>
      <c r="C11" s="102"/>
      <c r="D11" s="102"/>
      <c r="E11" s="102"/>
      <c r="F11" s="102"/>
      <c r="G11" s="111" t="s">
        <v>8</v>
      </c>
      <c r="H11" s="151">
        <v>2</v>
      </c>
      <c r="I11" s="112" t="s">
        <v>11</v>
      </c>
      <c r="J11" s="102"/>
      <c r="K11" s="102"/>
      <c r="L11" s="102"/>
      <c r="M11" s="102"/>
      <c r="N11" s="102"/>
      <c r="O11" s="102"/>
      <c r="P11" s="102"/>
      <c r="Q11" s="102"/>
      <c r="R11" s="102"/>
      <c r="S11" s="102"/>
      <c r="T11" s="102"/>
      <c r="U11" s="102"/>
      <c r="V11" s="102"/>
      <c r="W11" s="102"/>
      <c r="X11" s="102"/>
      <c r="Y11" s="102"/>
      <c r="Z11" s="102"/>
      <c r="AA11" s="90"/>
    </row>
    <row r="12" spans="1:27" ht="15" x14ac:dyDescent="0.4">
      <c r="A12" s="110"/>
      <c r="B12" s="102"/>
      <c r="C12" s="102"/>
      <c r="D12" s="102"/>
      <c r="E12" s="102"/>
      <c r="F12" s="102"/>
      <c r="G12" s="111" t="s">
        <v>9</v>
      </c>
      <c r="H12" s="151">
        <v>2150</v>
      </c>
      <c r="I12" s="112" t="s">
        <v>12</v>
      </c>
      <c r="J12" s="102"/>
      <c r="K12" s="102"/>
      <c r="L12" s="102"/>
      <c r="M12" s="102"/>
      <c r="N12" s="102"/>
      <c r="O12" s="102"/>
      <c r="P12" s="102"/>
      <c r="Q12" s="102"/>
      <c r="R12" s="102"/>
      <c r="S12" s="102"/>
      <c r="T12" s="102"/>
      <c r="U12" s="102"/>
      <c r="V12" s="102"/>
      <c r="W12" s="102"/>
      <c r="X12" s="102"/>
      <c r="Y12" s="102"/>
      <c r="Z12" s="102"/>
      <c r="AA12" s="90"/>
    </row>
    <row r="13" spans="1:27" ht="15" x14ac:dyDescent="0.4">
      <c r="A13" s="110"/>
      <c r="B13" s="102"/>
      <c r="C13" s="102"/>
      <c r="D13" s="102"/>
      <c r="E13" s="102"/>
      <c r="F13" s="102"/>
      <c r="G13" s="111" t="s">
        <v>72</v>
      </c>
      <c r="H13" s="152">
        <f>RT/1000</f>
        <v>9.3240697674418609</v>
      </c>
      <c r="I13" s="112" t="s">
        <v>73</v>
      </c>
      <c r="J13" s="102"/>
      <c r="K13" s="102"/>
      <c r="L13" s="102"/>
      <c r="M13" s="102"/>
      <c r="N13" s="102"/>
      <c r="O13" s="102"/>
      <c r="P13" s="102"/>
      <c r="Q13" s="102"/>
      <c r="R13" s="102"/>
      <c r="S13" s="102"/>
      <c r="T13" s="102"/>
      <c r="U13" s="102"/>
      <c r="V13" s="102"/>
      <c r="W13" s="102"/>
      <c r="X13" s="102"/>
      <c r="Y13" s="102"/>
      <c r="Z13" s="102"/>
      <c r="AA13" s="90"/>
    </row>
    <row r="14" spans="1:27" ht="15" x14ac:dyDescent="0.4">
      <c r="A14" s="110"/>
      <c r="B14" s="102"/>
      <c r="C14" s="102"/>
      <c r="D14" s="102"/>
      <c r="E14" s="102"/>
      <c r="F14" s="102"/>
      <c r="G14" s="111" t="s">
        <v>14</v>
      </c>
      <c r="H14" s="153">
        <f>POUT</f>
        <v>24</v>
      </c>
      <c r="I14" s="112" t="s">
        <v>38</v>
      </c>
      <c r="J14" s="102"/>
      <c r="K14" s="102"/>
      <c r="L14" s="102"/>
      <c r="M14" s="102"/>
      <c r="N14" s="102"/>
      <c r="O14" s="102"/>
      <c r="P14" s="102"/>
      <c r="Q14" s="102"/>
      <c r="R14" s="102"/>
      <c r="S14" s="102"/>
      <c r="T14" s="102"/>
      <c r="U14" s="102"/>
      <c r="V14" s="102"/>
      <c r="W14" s="102"/>
      <c r="X14" s="102"/>
      <c r="Y14" s="102"/>
      <c r="Z14" s="102"/>
      <c r="AA14" s="90"/>
    </row>
    <row r="15" spans="1:27" ht="15" x14ac:dyDescent="0.45">
      <c r="A15" s="113"/>
      <c r="B15" s="114"/>
      <c r="C15" s="114"/>
      <c r="D15" s="114"/>
      <c r="E15" s="114"/>
      <c r="F15" s="102"/>
      <c r="G15" s="115" t="s">
        <v>588</v>
      </c>
      <c r="H15" s="179">
        <f>Dc_max_IC*100</f>
        <v>80.454545454545453</v>
      </c>
      <c r="I15" s="112" t="s">
        <v>13</v>
      </c>
      <c r="J15" s="102"/>
      <c r="K15" s="102"/>
      <c r="L15" s="102"/>
      <c r="M15" s="102"/>
      <c r="N15" s="102"/>
      <c r="O15" s="102"/>
      <c r="P15" s="102"/>
      <c r="Q15" s="102"/>
      <c r="R15" s="102"/>
      <c r="S15" s="102"/>
      <c r="T15" s="102"/>
      <c r="U15" s="102"/>
      <c r="V15" s="102"/>
      <c r="W15" s="102"/>
      <c r="X15" s="102"/>
      <c r="Y15" s="102"/>
      <c r="Z15" s="102"/>
      <c r="AA15" s="90"/>
    </row>
    <row r="16" spans="1:27" ht="15.5" thickBot="1" x14ac:dyDescent="0.45">
      <c r="A16" s="116"/>
      <c r="B16" s="117"/>
      <c r="C16" s="117"/>
      <c r="D16" s="117"/>
      <c r="E16" s="117"/>
      <c r="F16" s="118"/>
      <c r="G16" s="119" t="s">
        <v>425</v>
      </c>
      <c r="H16" s="180">
        <f>Variable_Management!B19*100</f>
        <v>64.86486486486487</v>
      </c>
      <c r="I16" s="120" t="s">
        <v>13</v>
      </c>
      <c r="J16" s="102"/>
      <c r="K16" s="102"/>
      <c r="L16" s="102"/>
      <c r="M16" s="102"/>
      <c r="N16" s="102"/>
      <c r="O16" s="102"/>
      <c r="P16" s="102"/>
      <c r="Q16" s="102"/>
      <c r="R16" s="102"/>
      <c r="S16" s="102"/>
      <c r="T16" s="102"/>
      <c r="U16" s="102"/>
      <c r="V16" s="102"/>
      <c r="W16" s="102"/>
      <c r="X16" s="102"/>
      <c r="Y16" s="102"/>
      <c r="Z16" s="102"/>
      <c r="AA16" s="90"/>
    </row>
    <row r="17" spans="1:27" x14ac:dyDescent="0.35">
      <c r="A17" s="114"/>
      <c r="B17" s="114"/>
      <c r="C17" s="114"/>
      <c r="D17" s="114"/>
      <c r="E17" s="114"/>
      <c r="F17" s="102"/>
      <c r="G17" s="103"/>
      <c r="H17" s="102"/>
      <c r="I17" s="102"/>
      <c r="J17" s="102"/>
      <c r="K17" s="102"/>
      <c r="L17" s="102"/>
      <c r="M17" s="102"/>
      <c r="N17" s="102"/>
      <c r="O17" s="102"/>
      <c r="P17" s="102"/>
      <c r="Q17" s="102"/>
      <c r="R17" s="102"/>
      <c r="S17" s="102"/>
      <c r="T17" s="102"/>
      <c r="U17" s="102"/>
      <c r="V17" s="102"/>
      <c r="W17" s="102"/>
      <c r="X17" s="102"/>
      <c r="Y17" s="102"/>
      <c r="Z17" s="102"/>
      <c r="AA17" s="90"/>
    </row>
    <row r="18" spans="1:27" ht="15" thickBot="1" x14ac:dyDescent="0.4">
      <c r="A18" s="105" t="s">
        <v>74</v>
      </c>
      <c r="B18" s="114"/>
      <c r="C18" s="114"/>
      <c r="D18" s="114"/>
      <c r="E18" s="114"/>
      <c r="F18" s="102"/>
      <c r="G18" s="103"/>
      <c r="H18" s="102"/>
      <c r="I18" s="102"/>
      <c r="J18" s="102"/>
      <c r="K18" s="102"/>
      <c r="L18" s="102"/>
      <c r="M18" s="102"/>
      <c r="N18" s="102"/>
      <c r="O18" s="102"/>
      <c r="P18" s="102"/>
      <c r="Q18" s="102"/>
      <c r="R18" s="102"/>
      <c r="S18" s="102"/>
      <c r="T18" s="102"/>
      <c r="U18" s="102"/>
      <c r="V18" s="102"/>
      <c r="W18" s="102"/>
      <c r="X18" s="102"/>
      <c r="Y18" s="102"/>
      <c r="Z18" s="102"/>
      <c r="AA18" s="90"/>
    </row>
    <row r="19" spans="1:27" ht="14.65" x14ac:dyDescent="0.4">
      <c r="A19" s="128"/>
      <c r="B19" s="121"/>
      <c r="C19" s="121"/>
      <c r="D19" s="121"/>
      <c r="E19" s="121"/>
      <c r="F19" s="107"/>
      <c r="G19" s="184" t="s">
        <v>519</v>
      </c>
      <c r="H19" s="183" t="str">
        <f>IF(Variable_Management!B21=0, "CCM","DCM")</f>
        <v>CCM</v>
      </c>
      <c r="I19" s="109"/>
      <c r="J19" s="102"/>
      <c r="K19" s="102"/>
      <c r="L19" s="102"/>
      <c r="M19" s="102"/>
      <c r="N19" s="102"/>
      <c r="O19" s="102"/>
      <c r="P19" s="102"/>
      <c r="Q19" s="102"/>
      <c r="R19" s="102"/>
      <c r="S19" s="102"/>
      <c r="T19" s="102"/>
      <c r="U19" s="102"/>
      <c r="V19" s="102"/>
      <c r="W19" s="102"/>
      <c r="X19" s="102"/>
      <c r="Y19" s="102"/>
      <c r="Z19" s="102"/>
      <c r="AA19" s="90"/>
    </row>
    <row r="20" spans="1:27" ht="15" x14ac:dyDescent="0.4">
      <c r="A20" s="113"/>
      <c r="B20" s="114"/>
      <c r="C20" s="114"/>
      <c r="D20" s="114"/>
      <c r="E20" s="114"/>
      <c r="F20" s="102"/>
      <c r="G20" s="111" t="s">
        <v>426</v>
      </c>
      <c r="H20" s="151">
        <v>20</v>
      </c>
      <c r="I20" s="112" t="s">
        <v>13</v>
      </c>
      <c r="J20" s="102"/>
      <c r="K20" s="102"/>
      <c r="L20" s="102"/>
      <c r="M20" s="102"/>
      <c r="N20" s="102"/>
      <c r="O20" s="102"/>
      <c r="P20" s="102"/>
      <c r="Q20" s="102"/>
      <c r="R20" s="102"/>
      <c r="S20" s="102"/>
      <c r="T20" s="102"/>
      <c r="U20" s="102"/>
      <c r="V20" s="102"/>
      <c r="W20" s="102"/>
      <c r="X20" s="102"/>
      <c r="Y20" s="102"/>
      <c r="Z20" s="102"/>
      <c r="AA20" s="90"/>
    </row>
    <row r="21" spans="1:27" ht="15" x14ac:dyDescent="0.4">
      <c r="A21" s="110"/>
      <c r="B21" s="102"/>
      <c r="C21" s="102"/>
      <c r="D21" s="102"/>
      <c r="E21" s="102"/>
      <c r="F21" s="102"/>
      <c r="G21" s="111" t="s">
        <v>397</v>
      </c>
      <c r="H21" s="158">
        <f>Variable_Management!B38*10^6</f>
        <v>2.6427061310782238</v>
      </c>
      <c r="I21" s="112" t="s">
        <v>90</v>
      </c>
      <c r="J21" s="102"/>
      <c r="K21" s="102"/>
      <c r="L21" s="102"/>
      <c r="M21" s="102"/>
      <c r="N21" s="102"/>
      <c r="O21" s="102"/>
      <c r="P21" s="102"/>
      <c r="Q21" s="102"/>
      <c r="R21" s="102"/>
      <c r="S21" s="102"/>
      <c r="T21" s="102"/>
      <c r="U21" s="102"/>
      <c r="V21" s="102"/>
      <c r="W21" s="102"/>
      <c r="X21" s="102"/>
      <c r="Y21" s="102"/>
      <c r="Z21" s="102"/>
      <c r="AA21" s="90"/>
    </row>
    <row r="22" spans="1:27" ht="15" x14ac:dyDescent="0.45">
      <c r="A22" s="110"/>
      <c r="B22" s="102"/>
      <c r="C22" s="102"/>
      <c r="D22" s="102"/>
      <c r="E22" s="102"/>
      <c r="F22" s="102"/>
      <c r="G22" s="111" t="s">
        <v>398</v>
      </c>
      <c r="H22" s="151">
        <v>2.7</v>
      </c>
      <c r="I22" s="112" t="s">
        <v>90</v>
      </c>
      <c r="J22" s="102"/>
      <c r="K22" s="102"/>
      <c r="L22" s="102"/>
      <c r="M22" s="102"/>
      <c r="N22" s="102"/>
      <c r="O22" s="102"/>
      <c r="P22" s="102"/>
      <c r="Q22" s="102"/>
      <c r="R22" s="102"/>
      <c r="S22" s="102"/>
      <c r="T22" s="102"/>
      <c r="U22" s="102"/>
      <c r="V22" s="102"/>
      <c r="W22" s="102"/>
      <c r="X22" s="102"/>
      <c r="Y22" s="102"/>
      <c r="Z22" s="102"/>
      <c r="AA22" s="90"/>
    </row>
    <row r="23" spans="1:27" ht="15.5" thickBot="1" x14ac:dyDescent="0.5">
      <c r="A23" s="122"/>
      <c r="B23" s="118"/>
      <c r="C23" s="118"/>
      <c r="D23" s="118"/>
      <c r="E23" s="118"/>
      <c r="F23" s="118"/>
      <c r="G23" s="123" t="s">
        <v>93</v>
      </c>
      <c r="H23" s="154">
        <f>ISW_peak_VIN_min</f>
        <v>6.4186153953595815</v>
      </c>
      <c r="I23" s="120" t="s">
        <v>11</v>
      </c>
      <c r="J23" s="102"/>
      <c r="K23" s="102"/>
      <c r="L23" s="102"/>
      <c r="M23" s="102"/>
      <c r="N23" s="102"/>
      <c r="O23" s="102"/>
      <c r="P23" s="102"/>
      <c r="Q23" s="102"/>
      <c r="R23" s="102"/>
      <c r="S23" s="102"/>
      <c r="T23" s="102"/>
      <c r="U23" s="102"/>
      <c r="V23" s="102"/>
      <c r="W23" s="102"/>
      <c r="X23" s="102"/>
      <c r="Y23" s="102"/>
      <c r="Z23" s="102"/>
      <c r="AA23" s="90"/>
    </row>
    <row r="24" spans="1:27" x14ac:dyDescent="0.35">
      <c r="A24" s="102"/>
      <c r="B24" s="102"/>
      <c r="C24" s="102"/>
      <c r="D24" s="102"/>
      <c r="E24" s="102"/>
      <c r="F24" s="102"/>
      <c r="G24" s="103"/>
      <c r="H24" s="102"/>
      <c r="I24" s="102"/>
      <c r="J24" s="102"/>
      <c r="K24" s="102"/>
      <c r="L24" s="102"/>
      <c r="M24" s="102"/>
      <c r="N24" s="102"/>
      <c r="O24" s="102"/>
      <c r="P24" s="102"/>
      <c r="Q24" s="102"/>
      <c r="R24" s="102"/>
      <c r="S24" s="102"/>
      <c r="T24" s="102"/>
      <c r="U24" s="102"/>
      <c r="V24" s="102"/>
      <c r="W24" s="102"/>
      <c r="X24" s="102"/>
      <c r="Y24" s="102"/>
      <c r="Z24" s="102"/>
      <c r="AA24" s="90"/>
    </row>
    <row r="25" spans="1:27" ht="15" thickBot="1" x14ac:dyDescent="0.45">
      <c r="A25" s="105" t="s">
        <v>104</v>
      </c>
      <c r="B25" s="102"/>
      <c r="C25" s="102"/>
      <c r="D25" s="102"/>
      <c r="E25" s="102"/>
      <c r="F25" s="102"/>
      <c r="G25" s="103"/>
      <c r="H25" s="102"/>
      <c r="I25" s="102"/>
      <c r="J25" s="102"/>
      <c r="K25" s="102"/>
      <c r="L25" s="102"/>
      <c r="M25" s="102"/>
      <c r="N25" s="102"/>
      <c r="O25" s="102"/>
      <c r="P25" s="102"/>
      <c r="Q25" s="102"/>
      <c r="R25" s="102"/>
      <c r="S25" s="102"/>
      <c r="T25" s="102"/>
      <c r="U25" s="102"/>
      <c r="V25" s="102"/>
      <c r="W25" s="102"/>
      <c r="X25" s="102"/>
      <c r="Y25" s="102"/>
      <c r="Z25" s="102"/>
      <c r="AA25" s="90"/>
    </row>
    <row r="26" spans="1:27" ht="14.65" x14ac:dyDescent="0.4">
      <c r="A26" s="106"/>
      <c r="B26" s="107"/>
      <c r="C26" s="107"/>
      <c r="D26" s="107"/>
      <c r="E26" s="107"/>
      <c r="F26" s="107"/>
      <c r="G26" s="108" t="s">
        <v>427</v>
      </c>
      <c r="H26" s="150">
        <v>30</v>
      </c>
      <c r="I26" s="109" t="s">
        <v>13</v>
      </c>
      <c r="J26" s="102"/>
      <c r="K26" s="102"/>
      <c r="L26" s="102"/>
      <c r="M26" s="102"/>
      <c r="N26" s="102"/>
      <c r="O26" s="102"/>
      <c r="P26" s="102"/>
      <c r="Q26" s="102"/>
      <c r="R26" s="102"/>
      <c r="S26" s="102"/>
      <c r="T26" s="102"/>
      <c r="U26" s="102"/>
      <c r="V26" s="102"/>
      <c r="W26" s="102"/>
      <c r="X26" s="102"/>
      <c r="Y26" s="102"/>
      <c r="Z26" s="102"/>
      <c r="AA26" s="90"/>
    </row>
    <row r="27" spans="1:27" ht="17.149999999999999" x14ac:dyDescent="0.55000000000000004">
      <c r="A27" s="110"/>
      <c r="B27" s="102"/>
      <c r="C27" s="102"/>
      <c r="D27" s="102"/>
      <c r="E27" s="102"/>
      <c r="F27" s="102"/>
      <c r="G27" s="103" t="s">
        <v>589</v>
      </c>
      <c r="H27" s="152">
        <f>Ipk_selected</f>
        <v>8.3442000139674555</v>
      </c>
      <c r="I27" s="112" t="s">
        <v>11</v>
      </c>
      <c r="J27" s="102"/>
      <c r="K27" s="102"/>
      <c r="L27" s="102"/>
      <c r="M27" s="102"/>
      <c r="N27" s="102"/>
      <c r="O27" s="102"/>
      <c r="P27" s="102"/>
      <c r="Q27" s="102"/>
      <c r="R27" s="102"/>
      <c r="S27" s="102"/>
      <c r="T27" s="102"/>
      <c r="U27" s="102"/>
      <c r="V27" s="102"/>
      <c r="W27" s="102"/>
      <c r="X27" s="102"/>
      <c r="Y27" s="102"/>
      <c r="Z27" s="102"/>
      <c r="AA27" s="90"/>
    </row>
    <row r="28" spans="1:27" ht="16.5" x14ac:dyDescent="0.45">
      <c r="A28" s="110"/>
      <c r="B28" s="102"/>
      <c r="C28" s="102"/>
      <c r="D28" s="102"/>
      <c r="E28" s="102"/>
      <c r="F28" s="102"/>
      <c r="G28" s="103" t="s">
        <v>432</v>
      </c>
      <c r="H28" s="152">
        <f>Variable_Management!B115*1000</f>
        <v>11.98437235835776</v>
      </c>
      <c r="I28" s="112" t="s">
        <v>92</v>
      </c>
      <c r="J28" s="102"/>
      <c r="K28" s="102"/>
      <c r="L28" s="102"/>
      <c r="M28" s="102"/>
      <c r="N28" s="102"/>
      <c r="O28" s="102"/>
      <c r="P28" s="102"/>
      <c r="Q28" s="102"/>
      <c r="R28" s="102"/>
      <c r="S28" s="102"/>
      <c r="T28" s="102"/>
      <c r="U28" s="102"/>
      <c r="V28" s="102"/>
      <c r="W28" s="102"/>
      <c r="X28" s="102"/>
      <c r="Y28" s="102"/>
      <c r="Z28" s="102"/>
      <c r="AA28" s="90"/>
    </row>
    <row r="29" spans="1:27" ht="16.5" x14ac:dyDescent="0.45">
      <c r="A29" s="110"/>
      <c r="B29" s="102"/>
      <c r="C29" s="102"/>
      <c r="D29" s="102"/>
      <c r="E29" s="102"/>
      <c r="F29" s="102"/>
      <c r="G29" s="103" t="s">
        <v>134</v>
      </c>
      <c r="H29" s="155">
        <f>Variable_Management!B116</f>
        <v>0</v>
      </c>
      <c r="I29" s="124" t="s">
        <v>36</v>
      </c>
      <c r="J29" s="102"/>
      <c r="K29" s="102"/>
      <c r="L29" s="102"/>
      <c r="M29" s="102"/>
      <c r="N29" s="102"/>
      <c r="O29" s="102"/>
      <c r="P29" s="102"/>
      <c r="Q29" s="102"/>
      <c r="R29" s="102"/>
      <c r="S29" s="102"/>
      <c r="T29" s="102"/>
      <c r="U29" s="102"/>
      <c r="V29" s="102"/>
      <c r="W29" s="102"/>
      <c r="X29" s="102"/>
      <c r="Y29" s="102"/>
      <c r="Z29" s="102"/>
      <c r="AA29" s="90"/>
    </row>
    <row r="30" spans="1:27" ht="16.5" x14ac:dyDescent="0.45">
      <c r="A30" s="110"/>
      <c r="B30" s="102"/>
      <c r="C30" s="102"/>
      <c r="D30" s="102"/>
      <c r="E30" s="102"/>
      <c r="F30" s="102"/>
      <c r="G30" s="103" t="s">
        <v>433</v>
      </c>
      <c r="H30" s="151">
        <v>12</v>
      </c>
      <c r="I30" s="112" t="s">
        <v>92</v>
      </c>
      <c r="J30" s="102"/>
      <c r="K30" s="102"/>
      <c r="L30" s="102"/>
      <c r="M30" s="102"/>
      <c r="N30" s="102"/>
      <c r="O30" s="102"/>
      <c r="P30" s="102"/>
      <c r="Q30" s="102"/>
      <c r="R30" s="102"/>
      <c r="S30" s="102"/>
      <c r="T30" s="102"/>
      <c r="U30" s="102"/>
      <c r="V30" s="102"/>
      <c r="W30" s="102"/>
      <c r="X30" s="102"/>
      <c r="Y30" s="102"/>
      <c r="Z30" s="102"/>
      <c r="AA30" s="90"/>
    </row>
    <row r="31" spans="1:27" ht="16.5" x14ac:dyDescent="0.45">
      <c r="A31" s="110"/>
      <c r="B31" s="102"/>
      <c r="C31" s="102"/>
      <c r="D31" s="102"/>
      <c r="E31" s="102"/>
      <c r="F31" s="102"/>
      <c r="G31" s="103" t="s">
        <v>137</v>
      </c>
      <c r="H31" s="151">
        <v>0</v>
      </c>
      <c r="I31" s="124" t="s">
        <v>36</v>
      </c>
      <c r="J31" s="102"/>
      <c r="K31" s="102"/>
      <c r="L31" s="102"/>
      <c r="M31" s="102"/>
      <c r="N31" s="102"/>
      <c r="O31" s="102"/>
      <c r="P31" s="102"/>
      <c r="Q31" s="102"/>
      <c r="R31" s="102"/>
      <c r="S31" s="102"/>
      <c r="T31" s="102"/>
      <c r="U31" s="102"/>
      <c r="V31" s="102"/>
      <c r="W31" s="102"/>
      <c r="X31" s="102"/>
      <c r="Y31" s="102"/>
      <c r="Z31" s="102"/>
      <c r="AA31" s="90"/>
    </row>
    <row r="32" spans="1:27" ht="15" thickBot="1" x14ac:dyDescent="0.45">
      <c r="A32" s="122"/>
      <c r="B32" s="118"/>
      <c r="C32" s="118"/>
      <c r="D32" s="118"/>
      <c r="E32" s="118"/>
      <c r="F32" s="118"/>
      <c r="G32" s="125" t="s">
        <v>553</v>
      </c>
      <c r="H32" s="156">
        <f>IL_pk_max</f>
        <v>8.3333333333333339</v>
      </c>
      <c r="I32" s="126" t="s">
        <v>11</v>
      </c>
      <c r="J32" s="102"/>
      <c r="K32" s="102"/>
      <c r="L32" s="102"/>
      <c r="M32" s="102"/>
      <c r="N32" s="102"/>
      <c r="O32" s="102"/>
      <c r="P32" s="102"/>
      <c r="Q32" s="102"/>
      <c r="R32" s="102"/>
      <c r="S32" s="102"/>
      <c r="T32" s="102"/>
      <c r="U32" s="102"/>
      <c r="V32" s="102"/>
      <c r="W32" s="102"/>
      <c r="X32" s="102"/>
      <c r="Y32" s="102"/>
      <c r="Z32" s="102"/>
      <c r="AA32" s="90"/>
    </row>
    <row r="33" spans="1:27" ht="14.65" x14ac:dyDescent="0.4">
      <c r="A33" s="102"/>
      <c r="B33" s="102"/>
      <c r="C33" s="102"/>
      <c r="D33" s="102"/>
      <c r="E33" s="102"/>
      <c r="F33" s="102"/>
      <c r="G33" s="103"/>
      <c r="H33" s="102"/>
      <c r="I33" s="102"/>
      <c r="J33" s="102"/>
      <c r="K33" s="102"/>
      <c r="L33" s="102"/>
      <c r="M33" s="102"/>
      <c r="N33" s="102"/>
      <c r="O33" s="102"/>
      <c r="P33" s="102"/>
      <c r="Q33" s="102"/>
      <c r="R33" s="102"/>
      <c r="S33" s="102"/>
      <c r="T33" s="102"/>
      <c r="U33" s="102"/>
      <c r="V33" s="102"/>
      <c r="W33" s="102"/>
      <c r="X33" s="102"/>
      <c r="Y33" s="102"/>
      <c r="Z33" s="102"/>
      <c r="AA33" s="90"/>
    </row>
    <row r="34" spans="1:27" ht="17.649999999999999" thickBot="1" x14ac:dyDescent="0.6">
      <c r="A34" s="105" t="s">
        <v>554</v>
      </c>
      <c r="B34" s="102"/>
      <c r="C34" s="102"/>
      <c r="D34" s="102"/>
      <c r="E34" s="102"/>
      <c r="F34" s="102"/>
      <c r="G34" s="103"/>
      <c r="H34" s="102"/>
      <c r="I34" s="102"/>
      <c r="J34" s="102"/>
      <c r="K34" s="102"/>
      <c r="L34" s="102"/>
      <c r="M34" s="102"/>
      <c r="N34" s="102"/>
      <c r="O34" s="102"/>
      <c r="P34" s="102"/>
      <c r="Q34" s="102"/>
      <c r="R34" s="102"/>
      <c r="S34" s="102"/>
      <c r="T34" s="102"/>
      <c r="U34" s="102"/>
      <c r="V34" s="102"/>
      <c r="W34" s="102"/>
      <c r="X34" s="102"/>
      <c r="Y34" s="102"/>
      <c r="Z34" s="102"/>
      <c r="AA34" s="90"/>
    </row>
    <row r="35" spans="1:27" ht="17.149999999999999" x14ac:dyDescent="0.55000000000000004">
      <c r="A35" s="106"/>
      <c r="B35" s="107"/>
      <c r="C35" s="107"/>
      <c r="D35" s="107"/>
      <c r="E35" s="107"/>
      <c r="F35" s="107"/>
      <c r="G35" s="127" t="s">
        <v>555</v>
      </c>
      <c r="H35" s="189">
        <f>Cac_min*(10^6)</f>
        <v>0.34479662386639137</v>
      </c>
      <c r="I35" s="109" t="s">
        <v>153</v>
      </c>
      <c r="J35" s="102"/>
      <c r="K35" s="102"/>
      <c r="L35" s="102"/>
      <c r="M35" s="102"/>
      <c r="N35" s="102"/>
      <c r="O35" s="102"/>
      <c r="P35" s="102"/>
      <c r="Q35" s="102"/>
      <c r="R35" s="102"/>
      <c r="S35" s="102"/>
      <c r="T35" s="102"/>
      <c r="U35" s="102"/>
      <c r="V35" s="102"/>
      <c r="W35" s="102"/>
      <c r="X35" s="102"/>
      <c r="Y35" s="102"/>
      <c r="Z35" s="102"/>
      <c r="AA35" s="90"/>
    </row>
    <row r="36" spans="1:27" ht="17.149999999999999" x14ac:dyDescent="0.55000000000000004">
      <c r="A36" s="110"/>
      <c r="B36" s="102"/>
      <c r="C36" s="102"/>
      <c r="D36" s="102"/>
      <c r="E36" s="102"/>
      <c r="F36" s="102"/>
      <c r="G36" s="103" t="s">
        <v>556</v>
      </c>
      <c r="H36" s="151">
        <v>4.7</v>
      </c>
      <c r="I36" s="112" t="s">
        <v>153</v>
      </c>
      <c r="J36" s="102"/>
      <c r="K36" s="102"/>
      <c r="L36" s="102"/>
      <c r="M36" s="102"/>
      <c r="N36" s="102"/>
      <c r="O36" s="102"/>
      <c r="P36" s="102"/>
      <c r="Q36" s="102"/>
      <c r="R36" s="102"/>
      <c r="S36" s="102"/>
      <c r="T36" s="102"/>
      <c r="U36" s="102"/>
      <c r="V36" s="102"/>
      <c r="W36" s="102"/>
      <c r="X36" s="102"/>
      <c r="Y36" s="102"/>
      <c r="Z36" s="102"/>
      <c r="AA36" s="90"/>
    </row>
    <row r="37" spans="1:27" ht="17.649999999999999" thickBot="1" x14ac:dyDescent="0.6">
      <c r="A37" s="122"/>
      <c r="B37" s="118"/>
      <c r="C37" s="118"/>
      <c r="D37" s="118"/>
      <c r="E37" s="118"/>
      <c r="F37" s="118"/>
      <c r="G37" s="125" t="s">
        <v>557</v>
      </c>
      <c r="H37" s="156">
        <f>Variable_Management!B134</f>
        <v>2.7174648819470297</v>
      </c>
      <c r="I37" s="120" t="s">
        <v>11</v>
      </c>
      <c r="J37" s="102"/>
      <c r="K37" s="102"/>
      <c r="L37" s="102"/>
      <c r="M37" s="102"/>
      <c r="N37" s="102"/>
      <c r="O37" s="102"/>
      <c r="P37" s="102"/>
      <c r="Q37" s="102"/>
      <c r="R37" s="102"/>
      <c r="S37" s="102"/>
      <c r="T37" s="102"/>
      <c r="U37" s="102"/>
      <c r="V37" s="102"/>
      <c r="W37" s="102"/>
      <c r="X37" s="102"/>
      <c r="Y37" s="102"/>
      <c r="Z37" s="102"/>
      <c r="AA37" s="90"/>
    </row>
    <row r="38" spans="1:27" ht="14.65" x14ac:dyDescent="0.4">
      <c r="A38" s="102"/>
      <c r="B38" s="102"/>
      <c r="C38" s="102"/>
      <c r="D38" s="102"/>
      <c r="E38" s="102"/>
      <c r="F38" s="102"/>
      <c r="G38" s="103"/>
      <c r="H38" s="102"/>
      <c r="I38" s="102"/>
      <c r="J38" s="102"/>
      <c r="K38" s="102"/>
      <c r="L38" s="102"/>
      <c r="M38" s="102"/>
      <c r="N38" s="102"/>
      <c r="O38" s="102"/>
      <c r="P38" s="102"/>
      <c r="Q38" s="102"/>
      <c r="R38" s="102"/>
      <c r="S38" s="102"/>
      <c r="T38" s="102"/>
      <c r="U38" s="102"/>
      <c r="V38" s="102"/>
      <c r="W38" s="102"/>
      <c r="X38" s="102"/>
      <c r="Y38" s="102"/>
      <c r="Z38" s="102"/>
      <c r="AA38" s="90"/>
    </row>
    <row r="39" spans="1:27" ht="15" thickBot="1" x14ac:dyDescent="0.45">
      <c r="A39" s="105" t="s">
        <v>558</v>
      </c>
      <c r="B39" s="102"/>
      <c r="C39" s="102"/>
      <c r="D39" s="102"/>
      <c r="E39" s="102"/>
      <c r="F39" s="102"/>
      <c r="G39" s="103"/>
      <c r="H39" s="102"/>
      <c r="I39" s="102"/>
      <c r="J39" s="102"/>
      <c r="K39" s="102"/>
      <c r="L39" s="102"/>
      <c r="M39" s="102"/>
      <c r="N39" s="102"/>
      <c r="O39" s="102"/>
      <c r="P39" s="102"/>
      <c r="Q39" s="102"/>
      <c r="R39" s="102"/>
      <c r="S39" s="102"/>
      <c r="T39" s="102"/>
      <c r="U39" s="102"/>
      <c r="V39" s="102"/>
      <c r="W39" s="102"/>
      <c r="X39" s="102"/>
      <c r="Y39" s="102"/>
      <c r="Z39" s="102"/>
      <c r="AA39" s="90"/>
    </row>
    <row r="40" spans="1:27" ht="16.5" x14ac:dyDescent="0.45">
      <c r="A40" s="106"/>
      <c r="B40" s="107"/>
      <c r="C40" s="107"/>
      <c r="D40" s="107"/>
      <c r="E40" s="107"/>
      <c r="F40" s="107"/>
      <c r="G40" s="127" t="s">
        <v>468</v>
      </c>
      <c r="H40" s="150">
        <v>350</v>
      </c>
      <c r="I40" s="109" t="s">
        <v>151</v>
      </c>
      <c r="J40" s="102"/>
      <c r="K40" s="102"/>
      <c r="L40" s="102"/>
      <c r="M40" s="102"/>
      <c r="N40" s="102"/>
      <c r="O40" s="102"/>
      <c r="P40" s="102"/>
      <c r="Q40" s="102"/>
      <c r="R40" s="102"/>
      <c r="S40" s="102"/>
      <c r="T40" s="102"/>
      <c r="U40" s="102"/>
      <c r="V40" s="102"/>
      <c r="W40" s="102"/>
      <c r="X40" s="102"/>
      <c r="Y40" s="102"/>
      <c r="Z40" s="102"/>
      <c r="AA40" s="90"/>
    </row>
    <row r="41" spans="1:27" x14ac:dyDescent="0.35">
      <c r="A41" s="110"/>
      <c r="B41" s="102"/>
      <c r="C41" s="102"/>
      <c r="D41" s="102"/>
      <c r="E41" s="102"/>
      <c r="F41" s="102"/>
      <c r="G41" s="103" t="s">
        <v>152</v>
      </c>
      <c r="H41" s="152">
        <f>Cout_min*10^6</f>
        <v>40.534234995773474</v>
      </c>
      <c r="I41" s="112" t="s">
        <v>153</v>
      </c>
      <c r="J41" s="102"/>
      <c r="K41" s="102"/>
      <c r="L41" s="102"/>
      <c r="M41" s="102"/>
      <c r="N41" s="102"/>
      <c r="O41" s="102"/>
      <c r="P41" s="102"/>
      <c r="Q41" s="102"/>
      <c r="R41" s="102"/>
      <c r="S41" s="102"/>
      <c r="T41" s="102"/>
      <c r="U41" s="102"/>
      <c r="V41" s="102"/>
      <c r="W41" s="102"/>
      <c r="X41" s="102"/>
      <c r="Y41" s="102"/>
      <c r="Z41" s="102"/>
      <c r="AA41" s="90"/>
    </row>
    <row r="42" spans="1:27" ht="16.5" x14ac:dyDescent="0.45">
      <c r="A42" s="110"/>
      <c r="B42" s="102"/>
      <c r="C42" s="102"/>
      <c r="D42" s="102"/>
      <c r="E42" s="102"/>
      <c r="F42" s="102"/>
      <c r="G42" s="103" t="s">
        <v>160</v>
      </c>
      <c r="H42" s="152">
        <f>IRMS_COUT</f>
        <v>2.7174648819470297</v>
      </c>
      <c r="I42" s="112" t="s">
        <v>11</v>
      </c>
      <c r="J42" s="102"/>
      <c r="K42" s="102"/>
      <c r="L42" s="102"/>
      <c r="M42" s="102"/>
      <c r="N42" s="102"/>
      <c r="O42" s="102"/>
      <c r="P42" s="102"/>
      <c r="Q42" s="102"/>
      <c r="R42" s="102"/>
      <c r="S42" s="102"/>
      <c r="T42" s="102"/>
      <c r="U42" s="102"/>
      <c r="V42" s="102"/>
      <c r="W42" s="102"/>
      <c r="X42" s="102"/>
      <c r="Y42" s="102"/>
      <c r="Z42" s="102"/>
      <c r="AA42" s="90"/>
    </row>
    <row r="43" spans="1:27" ht="16.5" x14ac:dyDescent="0.45">
      <c r="A43" s="110"/>
      <c r="B43" s="102"/>
      <c r="C43" s="102"/>
      <c r="D43" s="102"/>
      <c r="E43" s="102"/>
      <c r="F43" s="102"/>
      <c r="G43" s="103" t="s">
        <v>154</v>
      </c>
      <c r="H43" s="151">
        <v>40</v>
      </c>
      <c r="I43" s="112" t="s">
        <v>153</v>
      </c>
      <c r="J43" s="102"/>
      <c r="K43" s="102"/>
      <c r="L43" s="102"/>
      <c r="M43" s="102"/>
      <c r="N43" s="102"/>
      <c r="O43" s="102"/>
      <c r="P43" s="102"/>
      <c r="Q43" s="102"/>
      <c r="R43" s="102"/>
      <c r="S43" s="102"/>
      <c r="T43" s="102"/>
      <c r="U43" s="102"/>
      <c r="V43" s="102"/>
      <c r="W43" s="102"/>
      <c r="X43" s="102"/>
      <c r="Y43" s="102"/>
      <c r="Z43" s="102"/>
      <c r="AA43" s="90"/>
    </row>
    <row r="44" spans="1:27" ht="17" thickBot="1" x14ac:dyDescent="0.5">
      <c r="A44" s="122"/>
      <c r="B44" s="118"/>
      <c r="C44" s="118"/>
      <c r="D44" s="118"/>
      <c r="E44" s="118"/>
      <c r="F44" s="118"/>
      <c r="G44" s="125" t="s">
        <v>162</v>
      </c>
      <c r="H44" s="157">
        <v>4</v>
      </c>
      <c r="I44" s="120" t="s">
        <v>92</v>
      </c>
      <c r="J44" s="102"/>
      <c r="K44" s="102"/>
      <c r="L44" s="102"/>
      <c r="M44" s="102"/>
      <c r="N44" s="102"/>
      <c r="O44" s="102"/>
      <c r="P44" s="102"/>
      <c r="Q44" s="102"/>
      <c r="R44" s="102"/>
      <c r="S44" s="102"/>
      <c r="T44" s="102"/>
      <c r="U44" s="102"/>
      <c r="V44" s="102"/>
      <c r="W44" s="102"/>
      <c r="X44" s="102"/>
      <c r="Y44" s="102"/>
      <c r="Z44" s="102"/>
      <c r="AA44" s="90"/>
    </row>
    <row r="45" spans="1:27" ht="14.65" x14ac:dyDescent="0.4">
      <c r="A45" s="102"/>
      <c r="B45" s="102"/>
      <c r="C45" s="102"/>
      <c r="D45" s="102"/>
      <c r="E45" s="102"/>
      <c r="F45" s="102"/>
      <c r="G45" s="103"/>
      <c r="H45" s="102"/>
      <c r="I45" s="102"/>
      <c r="J45" s="102"/>
      <c r="K45" s="102"/>
      <c r="L45" s="102"/>
      <c r="M45" s="102"/>
      <c r="N45" s="102"/>
      <c r="O45" s="102"/>
      <c r="P45" s="102"/>
      <c r="Q45" s="102"/>
      <c r="R45" s="102"/>
      <c r="S45" s="102"/>
      <c r="T45" s="102"/>
      <c r="U45" s="102"/>
      <c r="V45" s="102"/>
      <c r="W45" s="102"/>
      <c r="X45" s="102"/>
      <c r="Y45" s="102"/>
      <c r="Z45" s="102"/>
      <c r="AA45" s="90"/>
    </row>
    <row r="46" spans="1:27" ht="15" thickBot="1" x14ac:dyDescent="0.4">
      <c r="A46" s="105" t="s">
        <v>559</v>
      </c>
      <c r="B46" s="102"/>
      <c r="C46" s="102"/>
      <c r="D46" s="102"/>
      <c r="E46" s="102"/>
      <c r="F46" s="102"/>
      <c r="G46" s="103"/>
      <c r="H46" s="102"/>
      <c r="I46" s="102"/>
      <c r="J46" s="102"/>
      <c r="K46" s="102"/>
      <c r="L46" s="102"/>
      <c r="M46" s="102"/>
      <c r="N46" s="102"/>
      <c r="O46" s="102"/>
      <c r="P46" s="102"/>
      <c r="Q46" s="102"/>
      <c r="R46" s="102"/>
      <c r="S46" s="102"/>
      <c r="T46" s="102"/>
      <c r="U46" s="102"/>
      <c r="V46" s="102"/>
      <c r="W46" s="102"/>
      <c r="X46" s="102"/>
      <c r="Y46" s="102"/>
      <c r="Z46" s="102"/>
      <c r="AA46" s="90"/>
    </row>
    <row r="47" spans="1:27" ht="16.5" x14ac:dyDescent="0.45">
      <c r="A47" s="106"/>
      <c r="B47" s="107"/>
      <c r="C47" s="107"/>
      <c r="D47" s="107"/>
      <c r="E47" s="107"/>
      <c r="F47" s="107"/>
      <c r="G47" s="127" t="s">
        <v>285</v>
      </c>
      <c r="H47" s="160">
        <f>Variable_Management!B149*(10^9)</f>
        <v>2.3999999999999995</v>
      </c>
      <c r="I47" s="109" t="s">
        <v>180</v>
      </c>
      <c r="J47" s="102"/>
      <c r="K47" s="102"/>
      <c r="L47" s="102"/>
      <c r="M47" s="102"/>
      <c r="N47" s="102"/>
      <c r="O47" s="102"/>
      <c r="P47" s="102"/>
      <c r="Q47" s="102"/>
      <c r="R47" s="102"/>
      <c r="S47" s="102"/>
      <c r="T47" s="102"/>
      <c r="U47" s="102"/>
      <c r="V47" s="102"/>
      <c r="W47" s="102"/>
      <c r="X47" s="102"/>
      <c r="Y47" s="102"/>
      <c r="Z47" s="102"/>
      <c r="AA47" s="90"/>
    </row>
    <row r="48" spans="1:27" ht="16.5" x14ac:dyDescent="0.45">
      <c r="A48" s="110"/>
      <c r="B48" s="102"/>
      <c r="C48" s="102"/>
      <c r="D48" s="102"/>
      <c r="E48" s="102"/>
      <c r="F48" s="102"/>
      <c r="G48" s="103" t="s">
        <v>290</v>
      </c>
      <c r="H48" s="151">
        <v>20</v>
      </c>
      <c r="I48" s="112" t="s">
        <v>286</v>
      </c>
      <c r="J48" s="102"/>
      <c r="K48" s="102"/>
      <c r="L48" s="102"/>
      <c r="M48" s="102"/>
      <c r="N48" s="102"/>
      <c r="O48" s="102"/>
      <c r="P48" s="102"/>
      <c r="Q48" s="102"/>
      <c r="R48" s="102"/>
      <c r="S48" s="102"/>
      <c r="T48" s="102"/>
      <c r="U48" s="102"/>
      <c r="V48" s="102"/>
      <c r="W48" s="102"/>
      <c r="X48" s="102"/>
      <c r="Y48" s="102"/>
      <c r="Z48" s="102"/>
      <c r="AA48" s="90"/>
    </row>
    <row r="49" spans="1:27" ht="17" thickBot="1" x14ac:dyDescent="0.5">
      <c r="A49" s="122"/>
      <c r="B49" s="118"/>
      <c r="C49" s="118"/>
      <c r="D49" s="118"/>
      <c r="E49" s="118"/>
      <c r="F49" s="118"/>
      <c r="G49" s="125" t="s">
        <v>289</v>
      </c>
      <c r="H49" s="161">
        <f>Variable_Management!B151*(10^9)</f>
        <v>436.36363636363632</v>
      </c>
      <c r="I49" s="120" t="s">
        <v>180</v>
      </c>
      <c r="J49" s="102"/>
      <c r="K49" s="102"/>
      <c r="L49" s="102"/>
      <c r="M49" s="102"/>
      <c r="N49" s="102"/>
      <c r="O49" s="102"/>
      <c r="P49" s="102"/>
      <c r="Q49" s="102"/>
      <c r="R49" s="102"/>
      <c r="S49" s="102"/>
      <c r="T49" s="102"/>
      <c r="U49" s="102"/>
      <c r="V49" s="102"/>
      <c r="W49" s="102"/>
      <c r="X49" s="102"/>
      <c r="Y49" s="102"/>
      <c r="Z49" s="102"/>
      <c r="AA49" s="90"/>
    </row>
    <row r="50" spans="1:27" x14ac:dyDescent="0.35">
      <c r="A50" s="102"/>
      <c r="B50" s="102"/>
      <c r="C50" s="102"/>
      <c r="D50" s="102"/>
      <c r="E50" s="102"/>
      <c r="F50" s="102"/>
      <c r="G50" s="103"/>
      <c r="H50" s="102"/>
      <c r="I50" s="102"/>
      <c r="J50" s="102"/>
      <c r="K50" s="102"/>
      <c r="L50" s="102"/>
      <c r="M50" s="102"/>
      <c r="N50" s="102"/>
      <c r="O50" s="102"/>
      <c r="P50" s="102"/>
      <c r="Q50" s="102"/>
      <c r="R50" s="102"/>
      <c r="S50" s="102"/>
      <c r="T50" s="102"/>
      <c r="U50" s="102"/>
      <c r="V50" s="102"/>
      <c r="W50" s="102"/>
      <c r="X50" s="102"/>
      <c r="Y50" s="102"/>
      <c r="Z50" s="102"/>
      <c r="AA50" s="90"/>
    </row>
    <row r="51" spans="1:27" ht="15" thickBot="1" x14ac:dyDescent="0.4">
      <c r="A51" s="105" t="s">
        <v>560</v>
      </c>
      <c r="B51" s="102"/>
      <c r="C51" s="102"/>
      <c r="D51" s="102"/>
      <c r="E51" s="102"/>
      <c r="F51" s="102"/>
      <c r="G51" s="103"/>
      <c r="H51" s="102"/>
      <c r="I51" s="102"/>
      <c r="J51" s="102"/>
      <c r="K51" s="102"/>
      <c r="L51" s="102"/>
      <c r="M51" s="102"/>
      <c r="N51" s="102"/>
      <c r="O51" s="102"/>
      <c r="P51" s="102"/>
      <c r="Q51" s="102"/>
      <c r="R51" s="102"/>
      <c r="S51" s="102"/>
      <c r="T51" s="102"/>
      <c r="U51" s="102"/>
      <c r="V51" s="102"/>
      <c r="W51" s="102"/>
      <c r="X51" s="102"/>
      <c r="Y51" s="102"/>
      <c r="Z51" s="102"/>
      <c r="AA51" s="90"/>
    </row>
    <row r="52" spans="1:27" ht="16.5" x14ac:dyDescent="0.45">
      <c r="A52" s="106"/>
      <c r="B52" s="107"/>
      <c r="C52" s="107"/>
      <c r="D52" s="107"/>
      <c r="E52" s="107"/>
      <c r="F52" s="107"/>
      <c r="G52" s="127" t="s">
        <v>292</v>
      </c>
      <c r="H52" s="150">
        <v>5.8</v>
      </c>
      <c r="I52" s="109" t="s">
        <v>10</v>
      </c>
      <c r="J52" s="102"/>
      <c r="K52" s="102"/>
      <c r="L52" s="102"/>
      <c r="M52" s="102"/>
      <c r="N52" s="102"/>
      <c r="O52" s="102"/>
      <c r="P52" s="102"/>
      <c r="Q52" s="102"/>
      <c r="R52" s="102"/>
      <c r="S52" s="102"/>
      <c r="T52" s="102"/>
      <c r="U52" s="102"/>
      <c r="V52" s="102"/>
      <c r="W52" s="102"/>
      <c r="X52" s="102"/>
      <c r="Y52" s="102"/>
      <c r="Z52" s="102"/>
      <c r="AA52" s="90"/>
    </row>
    <row r="53" spans="1:27" ht="16.5" x14ac:dyDescent="0.45">
      <c r="A53" s="110"/>
      <c r="B53" s="102"/>
      <c r="C53" s="102"/>
      <c r="D53" s="102"/>
      <c r="E53" s="102"/>
      <c r="F53" s="102"/>
      <c r="G53" s="103" t="s">
        <v>291</v>
      </c>
      <c r="H53" s="151">
        <v>5.4</v>
      </c>
      <c r="I53" s="112" t="s">
        <v>10</v>
      </c>
      <c r="J53" s="102"/>
      <c r="K53" s="102"/>
      <c r="L53" s="102"/>
      <c r="M53" s="102"/>
      <c r="N53" s="102"/>
      <c r="O53" s="102"/>
      <c r="P53" s="102"/>
      <c r="Q53" s="149">
        <f>VIN_min</f>
        <v>6.5</v>
      </c>
      <c r="R53" s="102"/>
      <c r="S53" s="102"/>
      <c r="T53" s="102"/>
      <c r="U53" s="102"/>
      <c r="V53" s="102"/>
      <c r="W53" s="102"/>
      <c r="X53" s="102"/>
      <c r="Y53" s="102"/>
      <c r="Z53" s="102"/>
      <c r="AA53" s="90"/>
    </row>
    <row r="54" spans="1:27" ht="16.5" x14ac:dyDescent="0.45">
      <c r="A54" s="110"/>
      <c r="B54" s="102"/>
      <c r="C54" s="102"/>
      <c r="D54" s="102"/>
      <c r="E54" s="102"/>
      <c r="F54" s="102"/>
      <c r="G54" s="103" t="s">
        <v>402</v>
      </c>
      <c r="H54" s="158">
        <f>Ruvlo_top_calc/1000</f>
        <v>41.719999999999942</v>
      </c>
      <c r="I54" s="124" t="s">
        <v>177</v>
      </c>
      <c r="J54" s="102"/>
      <c r="K54" s="102"/>
      <c r="L54" s="102"/>
      <c r="M54" s="102"/>
      <c r="N54" s="102"/>
      <c r="O54" s="102"/>
      <c r="P54" s="102"/>
      <c r="Q54" s="102"/>
      <c r="R54" s="102"/>
      <c r="S54" s="102"/>
      <c r="T54" s="102"/>
      <c r="U54" s="102"/>
      <c r="V54" s="102"/>
      <c r="W54" s="102"/>
      <c r="X54" s="102"/>
      <c r="Y54" s="102"/>
      <c r="Z54" s="102"/>
      <c r="AA54" s="90"/>
    </row>
    <row r="55" spans="1:27" ht="16.5" x14ac:dyDescent="0.45">
      <c r="A55" s="110"/>
      <c r="B55" s="102"/>
      <c r="C55" s="102"/>
      <c r="D55" s="102"/>
      <c r="E55" s="102"/>
      <c r="F55" s="102"/>
      <c r="G55" s="103" t="s">
        <v>403</v>
      </c>
      <c r="H55" s="151">
        <v>22</v>
      </c>
      <c r="I55" s="124" t="s">
        <v>177</v>
      </c>
      <c r="J55" s="102"/>
      <c r="K55" s="102"/>
      <c r="L55" s="102"/>
      <c r="M55" s="102"/>
      <c r="N55" s="102"/>
      <c r="O55" s="102"/>
      <c r="P55" s="102"/>
      <c r="Q55" s="102"/>
      <c r="R55" s="102"/>
      <c r="S55" s="102"/>
      <c r="T55" s="102"/>
      <c r="U55" s="102"/>
      <c r="V55" s="102"/>
      <c r="W55" s="102"/>
      <c r="X55" s="102"/>
      <c r="Y55" s="102"/>
      <c r="Z55" s="102"/>
      <c r="AA55" s="90"/>
    </row>
    <row r="56" spans="1:27" ht="17" thickBot="1" x14ac:dyDescent="0.5">
      <c r="A56" s="122"/>
      <c r="B56" s="118"/>
      <c r="C56" s="118"/>
      <c r="D56" s="118"/>
      <c r="E56" s="118"/>
      <c r="F56" s="118"/>
      <c r="G56" s="125" t="s">
        <v>404</v>
      </c>
      <c r="H56" s="159">
        <f>Ruvlo_bottom_calc/1000</f>
        <v>7.6744186046511631</v>
      </c>
      <c r="I56" s="126" t="s">
        <v>177</v>
      </c>
      <c r="J56" s="102"/>
      <c r="K56" s="102"/>
      <c r="L56" s="102"/>
      <c r="M56" s="102"/>
      <c r="N56" s="102"/>
      <c r="O56" s="102"/>
      <c r="P56" s="102"/>
      <c r="Q56" s="102"/>
      <c r="R56" s="102"/>
      <c r="S56" s="102"/>
      <c r="T56" s="102"/>
      <c r="U56" s="102"/>
      <c r="V56" s="102"/>
      <c r="W56" s="102"/>
      <c r="X56" s="102"/>
      <c r="Y56" s="102"/>
      <c r="Z56" s="102"/>
      <c r="AA56" s="90"/>
    </row>
    <row r="57" spans="1:27" x14ac:dyDescent="0.35">
      <c r="A57" s="102"/>
      <c r="B57" s="102"/>
      <c r="C57" s="102"/>
      <c r="D57" s="102"/>
      <c r="E57" s="102"/>
      <c r="F57" s="102"/>
      <c r="G57" s="103"/>
      <c r="H57" s="102"/>
      <c r="I57" s="102"/>
      <c r="J57" s="102"/>
      <c r="K57" s="102"/>
      <c r="L57" s="102"/>
      <c r="M57" s="102"/>
      <c r="N57" s="102"/>
      <c r="O57" s="102"/>
      <c r="P57" s="102"/>
      <c r="Q57" s="102"/>
      <c r="R57" s="102"/>
      <c r="S57" s="102"/>
      <c r="T57" s="102"/>
      <c r="U57" s="102"/>
      <c r="V57" s="102"/>
      <c r="W57" s="102"/>
      <c r="X57" s="102"/>
      <c r="Y57" s="102"/>
      <c r="Z57" s="102"/>
      <c r="AA57" s="90"/>
    </row>
    <row r="58" spans="1:27" ht="15" thickBot="1" x14ac:dyDescent="0.4">
      <c r="A58" s="105" t="s">
        <v>561</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90"/>
    </row>
    <row r="59" spans="1:27" ht="16.5" x14ac:dyDescent="0.45">
      <c r="A59" s="128"/>
      <c r="B59" s="107"/>
      <c r="C59" s="107"/>
      <c r="D59" s="107"/>
      <c r="E59" s="107"/>
      <c r="F59" s="107"/>
      <c r="G59" s="129" t="s">
        <v>428</v>
      </c>
      <c r="H59" s="162" t="str">
        <f>VIN_var&amp;"V"</f>
        <v>7V</v>
      </c>
      <c r="I59" s="109"/>
      <c r="J59" s="102"/>
      <c r="K59" s="102"/>
      <c r="L59" s="102"/>
      <c r="M59" s="102"/>
      <c r="N59" s="102"/>
      <c r="O59" s="102"/>
      <c r="P59" s="102"/>
      <c r="Q59" s="102"/>
      <c r="R59" s="102"/>
      <c r="S59" s="102"/>
      <c r="T59" s="102"/>
      <c r="U59" s="102"/>
      <c r="V59" s="102"/>
      <c r="W59" s="102"/>
      <c r="X59" s="102"/>
      <c r="Y59" s="102"/>
      <c r="Z59" s="102"/>
      <c r="AA59" s="90"/>
    </row>
    <row r="60" spans="1:27" x14ac:dyDescent="0.35">
      <c r="A60" s="110"/>
      <c r="B60" s="102"/>
      <c r="C60" s="102"/>
      <c r="D60" s="102"/>
      <c r="E60" s="102"/>
      <c r="F60" s="102"/>
      <c r="G60" s="102"/>
      <c r="H60" s="163"/>
      <c r="I60" s="112"/>
      <c r="J60" s="102"/>
      <c r="K60" s="102"/>
      <c r="L60" s="102"/>
      <c r="M60" s="102"/>
      <c r="N60" s="102"/>
      <c r="O60" s="102"/>
      <c r="P60" s="102"/>
      <c r="Q60" s="102"/>
      <c r="R60" s="102"/>
      <c r="S60" s="102"/>
      <c r="T60" s="102"/>
      <c r="U60" s="102"/>
      <c r="V60" s="102"/>
      <c r="W60" s="102"/>
      <c r="X60" s="102"/>
      <c r="Y60" s="102"/>
      <c r="Z60" s="102"/>
      <c r="AA60" s="90"/>
    </row>
    <row r="61" spans="1:27" x14ac:dyDescent="0.35">
      <c r="A61" s="130"/>
      <c r="B61" s="102"/>
      <c r="C61" s="102"/>
      <c r="D61" s="102"/>
      <c r="E61" s="102"/>
      <c r="F61" s="102"/>
      <c r="G61" s="131" t="s">
        <v>178</v>
      </c>
      <c r="H61" s="153"/>
      <c r="I61" s="112"/>
      <c r="J61" s="102"/>
      <c r="K61" s="102"/>
      <c r="L61" s="102"/>
      <c r="M61" s="102"/>
      <c r="N61" s="102"/>
      <c r="O61" s="102"/>
      <c r="P61" s="102"/>
      <c r="Q61" s="102"/>
      <c r="R61" s="102"/>
      <c r="S61" s="102"/>
      <c r="T61" s="102"/>
      <c r="U61" s="102"/>
      <c r="V61" s="102"/>
      <c r="W61" s="102"/>
      <c r="X61" s="102"/>
      <c r="Y61" s="102"/>
      <c r="Z61" s="102"/>
      <c r="AA61" s="90"/>
    </row>
    <row r="62" spans="1:27" ht="16.5" x14ac:dyDescent="0.45">
      <c r="A62" s="130"/>
      <c r="B62" s="102"/>
      <c r="C62" s="102"/>
      <c r="D62" s="102"/>
      <c r="E62" s="102"/>
      <c r="F62" s="102"/>
      <c r="G62" s="103" t="s">
        <v>264</v>
      </c>
      <c r="H62" s="151">
        <v>220</v>
      </c>
      <c r="I62" s="124" t="s">
        <v>177</v>
      </c>
      <c r="J62" s="102"/>
      <c r="K62" s="102"/>
      <c r="L62" s="102"/>
      <c r="M62" s="102"/>
      <c r="N62" s="102"/>
      <c r="O62" s="102"/>
      <c r="P62" s="102"/>
      <c r="Q62" s="102"/>
      <c r="R62" s="102"/>
      <c r="S62" s="102"/>
      <c r="T62" s="102"/>
      <c r="U62" s="102"/>
      <c r="V62" s="102"/>
      <c r="W62" s="102"/>
      <c r="X62" s="102"/>
      <c r="Y62" s="102"/>
      <c r="Z62" s="102"/>
      <c r="AA62" s="90"/>
    </row>
    <row r="63" spans="1:27" ht="16.5" x14ac:dyDescent="0.45">
      <c r="A63" s="130"/>
      <c r="B63" s="102"/>
      <c r="C63" s="102"/>
      <c r="D63" s="102"/>
      <c r="E63" s="102"/>
      <c r="F63" s="102"/>
      <c r="G63" s="103" t="s">
        <v>253</v>
      </c>
      <c r="H63" s="158">
        <f>RFBB_calc/1000</f>
        <v>20</v>
      </c>
      <c r="I63" s="124" t="s">
        <v>177</v>
      </c>
      <c r="J63" s="102"/>
      <c r="K63" s="102"/>
      <c r="L63" s="102"/>
      <c r="M63" s="102"/>
      <c r="N63" s="102"/>
      <c r="O63" s="102"/>
      <c r="P63" s="102"/>
      <c r="Q63" s="102"/>
      <c r="R63" s="102"/>
      <c r="S63" s="102"/>
      <c r="T63" s="102"/>
      <c r="U63" s="102"/>
      <c r="V63" s="102"/>
      <c r="W63" s="102"/>
      <c r="X63" s="102"/>
      <c r="Y63" s="102"/>
      <c r="Z63" s="102"/>
      <c r="AA63" s="90"/>
    </row>
    <row r="64" spans="1:27" ht="16.5" x14ac:dyDescent="0.45">
      <c r="A64" s="130"/>
      <c r="B64" s="102"/>
      <c r="C64" s="102"/>
      <c r="D64" s="102"/>
      <c r="E64" s="102"/>
      <c r="F64" s="102"/>
      <c r="G64" s="103" t="s">
        <v>265</v>
      </c>
      <c r="H64" s="151">
        <v>20</v>
      </c>
      <c r="I64" s="124" t="s">
        <v>177</v>
      </c>
      <c r="J64" s="102"/>
      <c r="K64" s="102"/>
      <c r="L64" s="102"/>
      <c r="M64" s="102"/>
      <c r="N64" s="102"/>
      <c r="O64" s="102"/>
      <c r="P64" s="102"/>
      <c r="Q64" s="102"/>
      <c r="R64" s="102"/>
      <c r="S64" s="102"/>
      <c r="T64" s="102"/>
      <c r="U64" s="102"/>
      <c r="V64" s="102"/>
      <c r="W64" s="102"/>
      <c r="X64" s="102"/>
      <c r="Y64" s="102"/>
      <c r="Z64" s="102"/>
      <c r="AA64" s="90"/>
    </row>
    <row r="65" spans="1:27" x14ac:dyDescent="0.35">
      <c r="A65" s="110"/>
      <c r="B65" s="102"/>
      <c r="C65" s="102"/>
      <c r="D65" s="102"/>
      <c r="E65" s="102"/>
      <c r="F65" s="102"/>
      <c r="G65" s="103"/>
      <c r="H65" s="153"/>
      <c r="I65" s="112"/>
      <c r="J65" s="102"/>
      <c r="K65" s="102"/>
      <c r="L65" s="102"/>
      <c r="M65" s="102"/>
      <c r="N65" s="102"/>
      <c r="O65" s="102"/>
      <c r="P65" s="102"/>
      <c r="Q65" s="102"/>
      <c r="R65" s="102"/>
      <c r="S65" s="102"/>
      <c r="T65" s="102"/>
      <c r="U65" s="102"/>
      <c r="V65" s="102"/>
      <c r="W65" s="102"/>
      <c r="X65" s="102"/>
      <c r="Y65" s="102"/>
      <c r="Z65" s="102"/>
      <c r="AA65" s="90"/>
    </row>
    <row r="66" spans="1:27" x14ac:dyDescent="0.35">
      <c r="A66" s="110"/>
      <c r="B66" s="102"/>
      <c r="C66" s="102"/>
      <c r="D66" s="102"/>
      <c r="E66" s="102"/>
      <c r="F66" s="102"/>
      <c r="G66" s="103"/>
      <c r="H66" s="153"/>
      <c r="I66" s="112"/>
      <c r="J66" s="102"/>
      <c r="K66" s="102"/>
      <c r="L66" s="102"/>
      <c r="M66" s="102"/>
      <c r="N66" s="102"/>
      <c r="O66" s="102"/>
      <c r="P66" s="102"/>
      <c r="Q66" s="102"/>
      <c r="R66" s="102"/>
      <c r="S66" s="102"/>
      <c r="T66" s="102"/>
      <c r="U66" s="102"/>
      <c r="V66" s="102"/>
      <c r="W66" s="102"/>
      <c r="X66" s="102"/>
      <c r="Y66" s="102"/>
      <c r="Z66" s="102"/>
      <c r="AA66" s="90"/>
    </row>
    <row r="67" spans="1:27" x14ac:dyDescent="0.35">
      <c r="A67" s="110"/>
      <c r="B67" s="102"/>
      <c r="C67" s="102"/>
      <c r="D67" s="102"/>
      <c r="E67" s="102"/>
      <c r="F67" s="102"/>
      <c r="G67" s="103" t="s">
        <v>175</v>
      </c>
      <c r="H67" s="164">
        <f>fcross_est/1000</f>
        <v>11.218378955009301</v>
      </c>
      <c r="I67" s="112" t="s">
        <v>12</v>
      </c>
      <c r="J67" s="102"/>
      <c r="K67" s="102"/>
      <c r="L67" s="102"/>
      <c r="M67" s="102"/>
      <c r="N67" s="102"/>
      <c r="O67" s="102"/>
      <c r="P67" s="102"/>
      <c r="Q67" s="102"/>
      <c r="R67" s="102"/>
      <c r="S67" s="102"/>
      <c r="T67" s="102"/>
      <c r="U67" s="102"/>
      <c r="V67" s="102"/>
      <c r="W67" s="102"/>
      <c r="X67" s="102"/>
      <c r="Y67" s="102"/>
      <c r="Z67" s="102"/>
      <c r="AA67" s="90"/>
    </row>
    <row r="68" spans="1:27" ht="16.5" x14ac:dyDescent="0.45">
      <c r="A68" s="110"/>
      <c r="B68" s="102"/>
      <c r="C68" s="102"/>
      <c r="D68" s="102"/>
      <c r="E68" s="102"/>
      <c r="F68" s="102"/>
      <c r="G68" s="103" t="s">
        <v>401</v>
      </c>
      <c r="H68" s="151">
        <v>11</v>
      </c>
      <c r="I68" s="112" t="s">
        <v>12</v>
      </c>
      <c r="J68" s="102"/>
      <c r="K68" s="102"/>
      <c r="L68" s="102"/>
      <c r="M68" s="102"/>
      <c r="N68" s="102"/>
      <c r="O68" s="102"/>
      <c r="P68" s="102"/>
      <c r="Q68" s="102"/>
      <c r="R68" s="102"/>
      <c r="S68" s="102"/>
      <c r="T68" s="102"/>
      <c r="U68" s="102"/>
      <c r="V68" s="102"/>
      <c r="W68" s="102"/>
      <c r="X68" s="102"/>
      <c r="Y68" s="102"/>
      <c r="Z68" s="102"/>
      <c r="AA68" s="90"/>
    </row>
    <row r="69" spans="1:27" x14ac:dyDescent="0.35">
      <c r="A69" s="110"/>
      <c r="B69" s="102"/>
      <c r="C69" s="102"/>
      <c r="D69" s="102"/>
      <c r="E69" s="102"/>
      <c r="F69" s="102"/>
      <c r="G69" s="103"/>
      <c r="H69" s="153"/>
      <c r="I69" s="112"/>
      <c r="J69" s="102"/>
      <c r="K69" s="102"/>
      <c r="L69" s="102"/>
      <c r="M69" s="102"/>
      <c r="N69" s="102"/>
      <c r="O69" s="102"/>
      <c r="P69" s="102"/>
      <c r="Q69" s="102"/>
      <c r="R69" s="102"/>
      <c r="S69" s="102"/>
      <c r="T69" s="102"/>
      <c r="U69" s="102"/>
      <c r="V69" s="102"/>
      <c r="W69" s="102"/>
      <c r="X69" s="102"/>
      <c r="Y69" s="102"/>
      <c r="Z69" s="102"/>
      <c r="AA69" s="90"/>
    </row>
    <row r="70" spans="1:27" ht="15" thickBot="1" x14ac:dyDescent="0.4">
      <c r="A70" s="110"/>
      <c r="B70" s="102"/>
      <c r="C70" s="102"/>
      <c r="D70" s="102"/>
      <c r="E70" s="102"/>
      <c r="F70" s="133" t="s">
        <v>268</v>
      </c>
      <c r="G70" s="133"/>
      <c r="H70" s="165" t="s">
        <v>269</v>
      </c>
      <c r="I70" s="134"/>
      <c r="J70" s="102"/>
      <c r="K70" s="102"/>
      <c r="L70" s="102"/>
      <c r="M70" s="102"/>
      <c r="N70" s="102"/>
      <c r="O70" s="102"/>
      <c r="P70" s="102"/>
      <c r="Q70" s="102"/>
      <c r="R70" s="102"/>
      <c r="S70" s="102"/>
      <c r="T70" s="102"/>
      <c r="U70" s="102"/>
      <c r="V70" s="102"/>
      <c r="W70" s="102"/>
      <c r="X70" s="102"/>
      <c r="Y70" s="102"/>
      <c r="Z70" s="102"/>
      <c r="AA70" s="90"/>
    </row>
    <row r="71" spans="1:27" ht="17" thickBot="1" x14ac:dyDescent="0.5">
      <c r="A71" s="110"/>
      <c r="B71" s="102"/>
      <c r="C71" s="102"/>
      <c r="D71" s="102"/>
      <c r="E71" s="103" t="s">
        <v>267</v>
      </c>
      <c r="F71" s="167">
        <f>RCOMP_Calc/1000</f>
        <v>3.9071079520761924</v>
      </c>
      <c r="G71" s="171" t="s">
        <v>177</v>
      </c>
      <c r="H71" s="168">
        <v>3.9</v>
      </c>
      <c r="I71" s="124" t="s">
        <v>177</v>
      </c>
      <c r="J71" s="102"/>
      <c r="K71" s="102"/>
      <c r="L71" s="102"/>
      <c r="M71" s="102"/>
      <c r="N71" s="102"/>
      <c r="O71" s="102"/>
      <c r="P71" s="102"/>
      <c r="Q71" s="102"/>
      <c r="R71" s="102"/>
      <c r="S71" s="102"/>
      <c r="T71" s="102"/>
      <c r="U71" s="102"/>
      <c r="V71" s="102"/>
      <c r="W71" s="102"/>
      <c r="X71" s="102"/>
      <c r="Y71" s="102"/>
      <c r="Z71" s="102"/>
      <c r="AA71" s="90"/>
    </row>
    <row r="72" spans="1:27" ht="17" thickBot="1" x14ac:dyDescent="0.5">
      <c r="A72" s="110"/>
      <c r="B72" s="102"/>
      <c r="C72" s="102"/>
      <c r="D72" s="102"/>
      <c r="E72" s="103" t="s">
        <v>387</v>
      </c>
      <c r="F72" s="169">
        <f>CCOMP_Calc*(10^9)</f>
        <v>11.746267254793954</v>
      </c>
      <c r="G72" s="171" t="s">
        <v>180</v>
      </c>
      <c r="H72" s="168">
        <v>12</v>
      </c>
      <c r="I72" s="112" t="s">
        <v>180</v>
      </c>
      <c r="J72" s="102"/>
      <c r="K72" s="102"/>
      <c r="L72" s="102"/>
      <c r="M72" s="102"/>
      <c r="N72" s="102"/>
      <c r="O72" s="102"/>
      <c r="P72" s="102"/>
      <c r="Q72" s="102"/>
      <c r="R72" s="102"/>
      <c r="S72" s="102"/>
      <c r="T72" s="102"/>
      <c r="U72" s="102"/>
      <c r="V72" s="102"/>
      <c r="W72" s="102"/>
      <c r="X72" s="102"/>
      <c r="Y72" s="102"/>
      <c r="Z72" s="102"/>
      <c r="AA72" s="90"/>
    </row>
    <row r="73" spans="1:27" ht="17" thickBot="1" x14ac:dyDescent="0.5">
      <c r="A73" s="122"/>
      <c r="B73" s="118"/>
      <c r="C73" s="118"/>
      <c r="D73" s="118"/>
      <c r="E73" s="125" t="s">
        <v>388</v>
      </c>
      <c r="F73" s="166">
        <f>CHF_calc*(10^12)</f>
        <v>605.17832381970709</v>
      </c>
      <c r="G73" s="172" t="s">
        <v>179</v>
      </c>
      <c r="H73" s="157">
        <v>620</v>
      </c>
      <c r="I73" s="120" t="s">
        <v>179</v>
      </c>
      <c r="J73" s="102"/>
      <c r="K73" s="102"/>
      <c r="L73" s="102"/>
      <c r="M73" s="102"/>
      <c r="N73" s="102"/>
      <c r="O73" s="102"/>
      <c r="P73" s="102"/>
      <c r="Q73" s="102"/>
      <c r="R73" s="102"/>
      <c r="S73" s="102"/>
      <c r="T73" s="102"/>
      <c r="U73" s="102"/>
      <c r="V73" s="102"/>
      <c r="W73" s="102"/>
      <c r="X73" s="102"/>
      <c r="Y73" s="102"/>
      <c r="Z73" s="102"/>
      <c r="AA73" s="90"/>
    </row>
    <row r="74" spans="1:27" x14ac:dyDescent="0.35">
      <c r="A74" s="102"/>
      <c r="B74" s="102"/>
      <c r="C74" s="102"/>
      <c r="D74" s="102"/>
      <c r="E74" s="103"/>
      <c r="F74" s="135"/>
      <c r="G74" s="103"/>
      <c r="H74" s="132"/>
      <c r="I74" s="102"/>
      <c r="J74" s="102"/>
      <c r="K74" s="102"/>
      <c r="L74" s="102"/>
      <c r="M74" s="102"/>
      <c r="N74" s="102"/>
      <c r="O74" s="102"/>
      <c r="P74" s="102"/>
      <c r="Q74" s="102"/>
      <c r="R74" s="102"/>
      <c r="S74" s="102"/>
      <c r="T74" s="102"/>
      <c r="U74" s="102"/>
      <c r="V74" s="102"/>
      <c r="W74" s="102"/>
      <c r="X74" s="102"/>
      <c r="Y74" s="102"/>
      <c r="Z74" s="102"/>
      <c r="AA74" s="90"/>
    </row>
    <row r="75" spans="1:27" ht="23.5" x14ac:dyDescent="0.55000000000000004">
      <c r="A75" s="136" t="s">
        <v>266</v>
      </c>
      <c r="B75" s="137"/>
      <c r="C75" s="137"/>
      <c r="D75" s="137"/>
      <c r="E75" s="137"/>
      <c r="F75" s="137"/>
      <c r="G75" s="138"/>
      <c r="H75" s="137"/>
      <c r="I75" s="137"/>
      <c r="J75" s="137"/>
      <c r="K75" s="137"/>
      <c r="L75" s="137"/>
      <c r="M75" s="137"/>
      <c r="N75" s="137"/>
      <c r="O75" s="137"/>
      <c r="P75" s="137"/>
      <c r="Q75" s="137"/>
      <c r="R75" s="137"/>
      <c r="S75" s="137"/>
      <c r="T75" s="139"/>
      <c r="U75" s="139"/>
      <c r="V75" s="139"/>
      <c r="W75" s="139"/>
      <c r="X75" s="139"/>
      <c r="Y75" s="139"/>
      <c r="Z75" s="139"/>
    </row>
    <row r="76" spans="1:27" x14ac:dyDescent="0.35">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90"/>
    </row>
    <row r="77" spans="1:27" ht="15" thickBot="1" x14ac:dyDescent="0.4">
      <c r="A77" s="140" t="s">
        <v>340</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90"/>
    </row>
    <row r="78" spans="1:27" ht="15.5" x14ac:dyDescent="0.4">
      <c r="A78" s="106"/>
      <c r="B78" s="107"/>
      <c r="C78" s="107"/>
      <c r="D78" s="107"/>
      <c r="E78" s="107"/>
      <c r="F78" s="107"/>
      <c r="G78" s="141" t="s">
        <v>328</v>
      </c>
      <c r="H78" s="150">
        <v>4.5</v>
      </c>
      <c r="I78" s="142" t="s">
        <v>335</v>
      </c>
      <c r="J78" s="132"/>
      <c r="K78" s="132"/>
      <c r="L78" s="132"/>
      <c r="M78" s="132"/>
      <c r="N78" s="132"/>
      <c r="O78" s="132"/>
      <c r="P78" s="132"/>
      <c r="Q78" s="132"/>
      <c r="R78" s="132"/>
      <c r="S78" s="132"/>
      <c r="T78" s="132"/>
      <c r="U78" s="132"/>
      <c r="V78" s="132"/>
      <c r="W78" s="132"/>
      <c r="X78" s="132"/>
      <c r="Y78" s="132"/>
      <c r="Z78" s="132"/>
      <c r="AA78" s="90"/>
    </row>
    <row r="79" spans="1:27" ht="15.5" x14ac:dyDescent="0.4">
      <c r="A79" s="130"/>
      <c r="B79" s="102"/>
      <c r="C79" s="102"/>
      <c r="D79" s="102"/>
      <c r="E79" s="102"/>
      <c r="F79" s="102"/>
      <c r="G79" s="143" t="s">
        <v>329</v>
      </c>
      <c r="H79" s="151">
        <v>17</v>
      </c>
      <c r="I79" s="144" t="s">
        <v>336</v>
      </c>
      <c r="J79" s="132"/>
      <c r="K79" s="132"/>
      <c r="L79" s="132"/>
      <c r="M79" s="132"/>
      <c r="N79" s="132"/>
      <c r="O79" s="132"/>
      <c r="P79" s="132"/>
      <c r="Q79" s="132"/>
      <c r="R79" s="132"/>
      <c r="S79" s="132"/>
      <c r="T79" s="132"/>
      <c r="U79" s="132"/>
      <c r="V79" s="132"/>
      <c r="W79" s="132"/>
      <c r="X79" s="132"/>
      <c r="Y79" s="132"/>
      <c r="Z79" s="132"/>
      <c r="AA79" s="90"/>
    </row>
    <row r="80" spans="1:27" ht="15.5" x14ac:dyDescent="0.4">
      <c r="A80" s="130"/>
      <c r="B80" s="102"/>
      <c r="C80" s="102"/>
      <c r="D80" s="102"/>
      <c r="E80" s="102"/>
      <c r="F80" s="102"/>
      <c r="G80" s="143" t="s">
        <v>330</v>
      </c>
      <c r="H80" s="151">
        <v>2.7</v>
      </c>
      <c r="I80" s="144" t="s">
        <v>336</v>
      </c>
      <c r="J80" s="132"/>
      <c r="K80" s="132"/>
      <c r="L80" s="132"/>
      <c r="M80" s="132"/>
      <c r="N80" s="132"/>
      <c r="O80" s="132"/>
      <c r="P80" s="132"/>
      <c r="Q80" s="132"/>
      <c r="R80" s="132"/>
      <c r="S80" s="132"/>
      <c r="T80" s="132"/>
      <c r="U80" s="132"/>
      <c r="V80" s="132"/>
      <c r="W80" s="132"/>
      <c r="X80" s="132"/>
      <c r="Y80" s="132"/>
      <c r="Z80" s="132"/>
      <c r="AA80" s="90"/>
    </row>
    <row r="81" spans="1:27" ht="15.5" x14ac:dyDescent="0.4">
      <c r="A81" s="110"/>
      <c r="B81" s="102"/>
      <c r="C81" s="102"/>
      <c r="D81" s="102"/>
      <c r="E81" s="102"/>
      <c r="F81" s="102"/>
      <c r="G81" s="143" t="s">
        <v>331</v>
      </c>
      <c r="H81" s="151">
        <v>3.6</v>
      </c>
      <c r="I81" s="144" t="s">
        <v>336</v>
      </c>
      <c r="J81" s="132"/>
      <c r="K81" s="132"/>
      <c r="L81" s="132"/>
      <c r="M81" s="132"/>
      <c r="N81" s="132"/>
      <c r="O81" s="132"/>
      <c r="P81" s="132"/>
      <c r="Q81" s="132"/>
      <c r="R81" s="132"/>
      <c r="S81" s="132"/>
      <c r="T81" s="132"/>
      <c r="U81" s="132"/>
      <c r="V81" s="132"/>
      <c r="W81" s="132"/>
      <c r="X81" s="132"/>
      <c r="Y81" s="132"/>
      <c r="Z81" s="132"/>
      <c r="AA81" s="90"/>
    </row>
    <row r="82" spans="1:27" ht="15.5" x14ac:dyDescent="0.4">
      <c r="A82" s="110"/>
      <c r="B82" s="102"/>
      <c r="C82" s="102"/>
      <c r="D82" s="102"/>
      <c r="E82" s="102"/>
      <c r="F82" s="102"/>
      <c r="G82" s="143" t="s">
        <v>332</v>
      </c>
      <c r="H82" s="151">
        <v>1.5</v>
      </c>
      <c r="I82" s="144" t="s">
        <v>337</v>
      </c>
      <c r="J82" s="132"/>
      <c r="K82" s="132"/>
      <c r="L82" s="132"/>
      <c r="M82" s="132"/>
      <c r="N82" s="132"/>
      <c r="O82" s="132"/>
      <c r="P82" s="132"/>
      <c r="Q82" s="132"/>
      <c r="R82" s="132"/>
      <c r="S82" s="132"/>
      <c r="T82" s="132"/>
      <c r="U82" s="132"/>
      <c r="V82" s="132"/>
      <c r="W82" s="132"/>
      <c r="X82" s="132"/>
      <c r="Y82" s="132"/>
      <c r="Z82" s="132"/>
      <c r="AA82" s="90"/>
    </row>
    <row r="83" spans="1:27" ht="15.5" x14ac:dyDescent="0.4">
      <c r="A83" s="110"/>
      <c r="B83" s="102"/>
      <c r="C83" s="102"/>
      <c r="D83" s="102"/>
      <c r="E83" s="102"/>
      <c r="F83" s="102"/>
      <c r="G83" s="143" t="s">
        <v>333</v>
      </c>
      <c r="H83" s="151">
        <v>50</v>
      </c>
      <c r="I83" s="144" t="s">
        <v>338</v>
      </c>
      <c r="J83" s="132"/>
      <c r="K83" s="132"/>
      <c r="L83" s="132"/>
      <c r="M83" s="132"/>
      <c r="N83" s="132"/>
      <c r="O83" s="132"/>
      <c r="P83" s="132"/>
      <c r="Q83" s="132"/>
      <c r="R83" s="132"/>
      <c r="S83" s="132"/>
      <c r="T83" s="132"/>
      <c r="U83" s="132"/>
      <c r="V83" s="132"/>
      <c r="W83" s="132"/>
      <c r="X83" s="132"/>
      <c r="Y83" s="132"/>
      <c r="Z83" s="132"/>
      <c r="AA83" s="90"/>
    </row>
    <row r="84" spans="1:27" ht="16" thickBot="1" x14ac:dyDescent="0.45">
      <c r="A84" s="122"/>
      <c r="B84" s="118"/>
      <c r="C84" s="118"/>
      <c r="D84" s="118"/>
      <c r="E84" s="118"/>
      <c r="F84" s="118"/>
      <c r="G84" s="145" t="s">
        <v>334</v>
      </c>
      <c r="H84" s="157">
        <v>1.6</v>
      </c>
      <c r="I84" s="146" t="s">
        <v>10</v>
      </c>
      <c r="J84" s="132"/>
      <c r="K84" s="132"/>
      <c r="L84" s="132"/>
      <c r="M84" s="132"/>
      <c r="N84" s="132"/>
      <c r="O84" s="132"/>
      <c r="P84" s="132"/>
      <c r="Q84" s="132"/>
      <c r="R84" s="132"/>
      <c r="S84" s="132"/>
      <c r="T84" s="132"/>
      <c r="U84" s="132"/>
      <c r="V84" s="132"/>
      <c r="W84" s="132"/>
      <c r="X84" s="132"/>
      <c r="Y84" s="132"/>
      <c r="Z84" s="132"/>
      <c r="AA84" s="90"/>
    </row>
    <row r="85" spans="1:27" x14ac:dyDescent="0.35">
      <c r="A85" s="102"/>
      <c r="B85" s="102"/>
      <c r="C85" s="102"/>
      <c r="D85" s="102"/>
      <c r="E85" s="102"/>
      <c r="F85" s="102"/>
      <c r="G85" s="103"/>
      <c r="H85" s="102"/>
      <c r="I85" s="102"/>
      <c r="J85" s="102"/>
      <c r="K85" s="102"/>
      <c r="L85" s="102"/>
      <c r="M85" s="102"/>
      <c r="N85" s="102"/>
      <c r="O85" s="102"/>
      <c r="P85" s="102"/>
      <c r="Q85" s="102"/>
      <c r="R85" s="102"/>
      <c r="S85" s="102"/>
      <c r="T85" s="102"/>
      <c r="U85" s="102"/>
      <c r="V85" s="102"/>
      <c r="W85" s="102"/>
      <c r="X85" s="102"/>
      <c r="Y85" s="102"/>
      <c r="Z85" s="102"/>
      <c r="AA85" s="90"/>
    </row>
    <row r="86" spans="1:27" ht="15" thickBot="1" x14ac:dyDescent="0.4">
      <c r="A86" s="140" t="s">
        <v>339</v>
      </c>
      <c r="B86" s="102"/>
      <c r="C86" s="102"/>
      <c r="D86" s="102"/>
      <c r="E86" s="102"/>
      <c r="F86" s="102"/>
      <c r="G86" s="103"/>
      <c r="H86" s="102"/>
      <c r="I86" s="102"/>
      <c r="J86" s="102"/>
      <c r="K86" s="102"/>
      <c r="L86" s="102"/>
      <c r="M86" s="102"/>
      <c r="N86" s="102"/>
      <c r="O86" s="102"/>
      <c r="P86" s="102"/>
      <c r="Q86" s="102"/>
      <c r="R86" s="102"/>
      <c r="S86" s="102"/>
      <c r="T86" s="102"/>
      <c r="U86" s="102"/>
      <c r="V86" s="102"/>
      <c r="W86" s="102"/>
      <c r="X86" s="102"/>
      <c r="Y86" s="102"/>
      <c r="Z86" s="102"/>
      <c r="AA86" s="90"/>
    </row>
    <row r="87" spans="1:27" ht="16.5" x14ac:dyDescent="0.45">
      <c r="A87" s="106"/>
      <c r="B87" s="107"/>
      <c r="C87" s="107"/>
      <c r="D87" s="107"/>
      <c r="E87" s="107"/>
      <c r="F87" s="107"/>
      <c r="G87" s="127" t="s">
        <v>431</v>
      </c>
      <c r="H87" s="170">
        <f>IOUT</f>
        <v>2</v>
      </c>
      <c r="I87" s="109" t="s">
        <v>11</v>
      </c>
      <c r="J87" s="132"/>
      <c r="K87" s="132"/>
      <c r="L87" s="132"/>
      <c r="M87" s="132"/>
      <c r="N87" s="132"/>
      <c r="O87" s="132"/>
      <c r="P87" s="132"/>
      <c r="Q87" s="132"/>
      <c r="R87" s="132"/>
      <c r="S87" s="132"/>
      <c r="T87" s="132"/>
      <c r="U87" s="132"/>
      <c r="V87" s="132"/>
      <c r="W87" s="132"/>
      <c r="X87" s="132"/>
      <c r="Y87" s="132"/>
      <c r="Z87" s="132"/>
      <c r="AA87" s="90"/>
    </row>
    <row r="88" spans="1:27" ht="16.5" x14ac:dyDescent="0.45">
      <c r="A88" s="110"/>
      <c r="B88" s="102"/>
      <c r="C88" s="102"/>
      <c r="D88" s="102"/>
      <c r="E88" s="102"/>
      <c r="F88" s="102"/>
      <c r="G88" s="103" t="s">
        <v>341</v>
      </c>
      <c r="H88" s="151">
        <v>700</v>
      </c>
      <c r="I88" s="112" t="s">
        <v>151</v>
      </c>
      <c r="J88" s="132"/>
      <c r="K88" s="132"/>
      <c r="L88" s="132"/>
      <c r="M88" s="132"/>
      <c r="N88" s="132"/>
      <c r="O88" s="132"/>
      <c r="P88" s="132"/>
      <c r="Q88" s="132"/>
      <c r="R88" s="132"/>
      <c r="S88" s="132"/>
      <c r="T88" s="132"/>
      <c r="U88" s="132"/>
      <c r="V88" s="132"/>
      <c r="W88" s="132"/>
      <c r="X88" s="132"/>
      <c r="Y88" s="132"/>
      <c r="Z88" s="132"/>
      <c r="AA88" s="90"/>
    </row>
    <row r="89" spans="1:27" ht="15" thickBot="1" x14ac:dyDescent="0.4">
      <c r="A89" s="122"/>
      <c r="B89" s="118"/>
      <c r="C89" s="118"/>
      <c r="D89" s="118"/>
      <c r="E89" s="118"/>
      <c r="F89" s="118"/>
      <c r="G89" s="125" t="s">
        <v>349</v>
      </c>
      <c r="H89" s="157">
        <v>10</v>
      </c>
      <c r="I89" s="120" t="s">
        <v>336</v>
      </c>
      <c r="J89" s="132"/>
      <c r="K89" s="132"/>
      <c r="L89" s="132"/>
      <c r="M89" s="132"/>
      <c r="N89" s="132"/>
      <c r="O89" s="132"/>
      <c r="P89" s="132"/>
      <c r="Q89" s="132"/>
      <c r="R89" s="132"/>
      <c r="S89" s="132"/>
      <c r="T89" s="132"/>
      <c r="U89" s="132"/>
      <c r="V89" s="132"/>
      <c r="W89" s="132"/>
      <c r="X89" s="132"/>
      <c r="Y89" s="132"/>
      <c r="Z89" s="132"/>
      <c r="AA89" s="90"/>
    </row>
    <row r="90" spans="1:27" x14ac:dyDescent="0.35">
      <c r="A90" s="102"/>
      <c r="B90" s="102"/>
      <c r="C90" s="102"/>
      <c r="D90" s="102"/>
      <c r="E90" s="102"/>
      <c r="F90" s="102"/>
      <c r="G90" s="103"/>
      <c r="H90" s="102"/>
      <c r="I90" s="102"/>
      <c r="J90" s="102"/>
      <c r="K90" s="102"/>
      <c r="L90" s="102"/>
      <c r="M90" s="102"/>
      <c r="N90" s="102"/>
      <c r="O90" s="102"/>
      <c r="P90" s="102"/>
      <c r="Q90" s="102"/>
      <c r="R90" s="102"/>
      <c r="S90" s="102"/>
      <c r="T90" s="102"/>
      <c r="U90" s="102"/>
      <c r="V90" s="102"/>
      <c r="W90" s="102"/>
      <c r="X90" s="102"/>
      <c r="Y90" s="102"/>
      <c r="Z90" s="102"/>
      <c r="AA90" s="90"/>
    </row>
    <row r="91" spans="1:27" x14ac:dyDescent="0.35">
      <c r="A91" s="102"/>
      <c r="B91" s="102"/>
      <c r="C91" s="102"/>
      <c r="D91" s="102"/>
      <c r="E91" s="102"/>
      <c r="F91" s="102"/>
      <c r="G91" s="103"/>
      <c r="H91" s="102"/>
      <c r="I91" s="102"/>
      <c r="J91" s="102"/>
      <c r="K91" s="102"/>
      <c r="L91" s="102"/>
      <c r="M91" s="102"/>
      <c r="N91" s="102"/>
      <c r="O91" s="102"/>
      <c r="P91" s="102"/>
      <c r="Q91" s="102"/>
      <c r="R91" s="102"/>
      <c r="S91" s="102"/>
      <c r="T91" s="102"/>
      <c r="U91" s="102"/>
      <c r="V91" s="102"/>
      <c r="W91" s="102"/>
      <c r="X91" s="102"/>
      <c r="Y91" s="102"/>
      <c r="Z91" s="102"/>
      <c r="AA91" s="90"/>
    </row>
    <row r="92" spans="1:27" x14ac:dyDescent="0.35">
      <c r="A92" s="102"/>
      <c r="B92" s="102"/>
      <c r="C92" s="102"/>
      <c r="D92" s="102"/>
      <c r="E92" s="102"/>
      <c r="F92" s="102"/>
      <c r="G92" s="103"/>
      <c r="H92" s="102"/>
      <c r="I92" s="102"/>
      <c r="J92" s="102"/>
      <c r="K92" s="102"/>
      <c r="L92" s="102"/>
      <c r="M92" s="102"/>
      <c r="N92" s="102"/>
      <c r="O92" s="102"/>
      <c r="P92" s="102"/>
      <c r="Q92" s="102"/>
      <c r="R92" s="102"/>
      <c r="S92" s="102"/>
      <c r="T92" s="102"/>
      <c r="U92" s="102"/>
      <c r="V92" s="102"/>
      <c r="W92" s="102"/>
      <c r="X92" s="102"/>
      <c r="Y92" s="102"/>
      <c r="Z92" s="102"/>
      <c r="AA92" s="90"/>
    </row>
    <row r="93" spans="1:27" x14ac:dyDescent="0.35">
      <c r="A93" s="102"/>
      <c r="B93" s="102"/>
      <c r="C93" s="102"/>
      <c r="D93" s="102"/>
      <c r="E93" s="102"/>
      <c r="F93" s="102"/>
      <c r="G93" s="103"/>
      <c r="H93" s="102"/>
      <c r="I93" s="102"/>
      <c r="J93" s="102"/>
      <c r="K93" s="102"/>
      <c r="L93" s="102"/>
      <c r="M93" s="102"/>
      <c r="N93" s="102"/>
      <c r="O93" s="102"/>
      <c r="P93" s="102"/>
      <c r="Q93" s="102"/>
      <c r="R93" s="102"/>
      <c r="S93" s="102"/>
      <c r="T93" s="102"/>
      <c r="U93" s="102"/>
      <c r="V93" s="102"/>
      <c r="W93" s="102"/>
      <c r="X93" s="102"/>
      <c r="Y93" s="102"/>
      <c r="Z93" s="102"/>
      <c r="AA93" s="90"/>
    </row>
    <row r="94" spans="1:27" x14ac:dyDescent="0.35">
      <c r="A94" s="102"/>
      <c r="B94" s="102"/>
      <c r="C94" s="102"/>
      <c r="D94" s="102"/>
      <c r="E94" s="102"/>
      <c r="F94" s="102"/>
      <c r="G94" s="103"/>
      <c r="H94" s="102"/>
      <c r="I94" s="102"/>
      <c r="J94" s="102"/>
      <c r="K94" s="102"/>
      <c r="L94" s="102"/>
      <c r="M94" s="102"/>
      <c r="N94" s="102"/>
      <c r="O94" s="102"/>
      <c r="P94" s="102"/>
      <c r="Q94" s="102"/>
      <c r="R94" s="102"/>
      <c r="S94" s="102"/>
      <c r="T94" s="102"/>
      <c r="U94" s="102"/>
      <c r="V94" s="102"/>
      <c r="W94" s="102"/>
      <c r="X94" s="102"/>
      <c r="Y94" s="102"/>
      <c r="Z94" s="102"/>
      <c r="AA94" s="90"/>
    </row>
    <row r="95" spans="1:27" x14ac:dyDescent="0.35">
      <c r="A95" s="102"/>
      <c r="B95" s="102"/>
      <c r="C95" s="102"/>
      <c r="D95" s="102"/>
      <c r="E95" s="102"/>
      <c r="F95" s="102"/>
      <c r="G95" s="103"/>
      <c r="H95" s="102"/>
      <c r="I95" s="102"/>
      <c r="J95" s="102"/>
      <c r="K95" s="102"/>
      <c r="L95" s="102"/>
      <c r="M95" s="102"/>
      <c r="N95" s="102"/>
      <c r="O95" s="102"/>
      <c r="P95" s="102"/>
      <c r="Q95" s="102"/>
      <c r="R95" s="102"/>
      <c r="S95" s="102"/>
      <c r="T95" s="102"/>
      <c r="U95" s="102"/>
      <c r="V95" s="102"/>
      <c r="W95" s="102"/>
      <c r="X95" s="102"/>
      <c r="Y95" s="102"/>
      <c r="Z95" s="102"/>
      <c r="AA95" s="90"/>
    </row>
    <row r="96" spans="1:27" x14ac:dyDescent="0.35">
      <c r="A96" s="102"/>
      <c r="B96" s="102"/>
      <c r="C96" s="102"/>
      <c r="D96" s="102"/>
      <c r="E96" s="102"/>
      <c r="F96" s="102"/>
      <c r="G96" s="103"/>
      <c r="H96" s="102"/>
      <c r="I96" s="102"/>
      <c r="J96" s="102"/>
      <c r="K96" s="102"/>
      <c r="L96" s="102"/>
      <c r="M96" s="102"/>
      <c r="N96" s="102"/>
      <c r="O96" s="102"/>
      <c r="P96" s="102"/>
      <c r="Q96" s="102"/>
      <c r="R96" s="102"/>
      <c r="S96" s="102"/>
      <c r="T96" s="102"/>
      <c r="U96" s="102"/>
      <c r="V96" s="102"/>
      <c r="W96" s="102"/>
      <c r="X96" s="102"/>
      <c r="Y96" s="102"/>
      <c r="Z96" s="102"/>
      <c r="AA96" s="90"/>
    </row>
    <row r="97" spans="1:27" x14ac:dyDescent="0.35">
      <c r="A97" s="102"/>
      <c r="B97" s="102"/>
      <c r="C97" s="102"/>
      <c r="D97" s="102"/>
      <c r="E97" s="102"/>
      <c r="F97" s="102"/>
      <c r="G97" s="103"/>
      <c r="H97" s="102"/>
      <c r="I97" s="102"/>
      <c r="J97" s="102"/>
      <c r="K97" s="102"/>
      <c r="L97" s="102"/>
      <c r="M97" s="102"/>
      <c r="N97" s="102"/>
      <c r="O97" s="102"/>
      <c r="P97" s="102"/>
      <c r="Q97" s="102"/>
      <c r="R97" s="102"/>
      <c r="S97" s="102"/>
      <c r="T97" s="102"/>
      <c r="U97" s="102"/>
      <c r="V97" s="102"/>
      <c r="W97" s="102"/>
      <c r="X97" s="102"/>
      <c r="Y97" s="102"/>
      <c r="Z97" s="102"/>
      <c r="AA97" s="90"/>
    </row>
    <row r="98" spans="1:27" x14ac:dyDescent="0.35">
      <c r="A98" s="102"/>
      <c r="B98" s="102"/>
      <c r="C98" s="102"/>
      <c r="D98" s="102"/>
      <c r="E98" s="102"/>
      <c r="F98" s="102"/>
      <c r="G98" s="103"/>
      <c r="H98" s="102"/>
      <c r="I98" s="102"/>
      <c r="J98" s="102"/>
      <c r="K98" s="102"/>
      <c r="L98" s="102"/>
      <c r="M98" s="102"/>
      <c r="N98" s="102"/>
      <c r="O98" s="102"/>
      <c r="P98" s="102"/>
      <c r="Q98" s="102"/>
      <c r="R98" s="102"/>
      <c r="S98" s="102"/>
      <c r="T98" s="102"/>
      <c r="U98" s="102"/>
      <c r="V98" s="102"/>
      <c r="W98" s="102"/>
      <c r="X98" s="102"/>
      <c r="Y98" s="102"/>
      <c r="Z98" s="102"/>
      <c r="AA98" s="90"/>
    </row>
    <row r="99" spans="1:27" x14ac:dyDescent="0.35">
      <c r="A99" s="102"/>
      <c r="B99" s="102"/>
      <c r="C99" s="102"/>
      <c r="D99" s="102"/>
      <c r="E99" s="102"/>
      <c r="F99" s="102"/>
      <c r="G99" s="103"/>
      <c r="H99" s="102"/>
      <c r="I99" s="102"/>
      <c r="J99" s="102"/>
      <c r="K99" s="102"/>
      <c r="L99" s="102"/>
      <c r="M99" s="102"/>
      <c r="N99" s="102"/>
      <c r="O99" s="102"/>
      <c r="P99" s="102"/>
      <c r="Q99" s="102"/>
      <c r="R99" s="102"/>
      <c r="S99" s="102"/>
      <c r="T99" s="102"/>
      <c r="U99" s="102"/>
      <c r="V99" s="102"/>
      <c r="W99" s="102"/>
      <c r="X99" s="102"/>
      <c r="Y99" s="102"/>
      <c r="Z99" s="102"/>
      <c r="AA99" s="90"/>
    </row>
    <row r="100" spans="1:27" x14ac:dyDescent="0.35">
      <c r="A100" s="102"/>
      <c r="B100" s="102"/>
      <c r="C100" s="102"/>
      <c r="D100" s="102"/>
      <c r="E100" s="102"/>
      <c r="F100" s="102"/>
      <c r="G100" s="103"/>
      <c r="H100" s="102"/>
      <c r="I100" s="102"/>
      <c r="J100" s="102"/>
      <c r="K100" s="102"/>
      <c r="L100" s="102"/>
      <c r="M100" s="102"/>
      <c r="N100" s="102"/>
      <c r="O100" s="102"/>
      <c r="P100" s="102"/>
      <c r="Q100" s="102"/>
      <c r="R100" s="102"/>
      <c r="S100" s="102"/>
      <c r="T100" s="102"/>
      <c r="U100" s="102"/>
      <c r="V100" s="102"/>
      <c r="W100" s="102"/>
      <c r="X100" s="102"/>
      <c r="Y100" s="102"/>
      <c r="Z100" s="102"/>
      <c r="AA100" s="90"/>
    </row>
    <row r="101" spans="1:27" x14ac:dyDescent="0.35">
      <c r="A101" s="102"/>
      <c r="B101" s="102"/>
      <c r="C101" s="102"/>
      <c r="D101" s="102"/>
      <c r="E101" s="102"/>
      <c r="F101" s="102"/>
      <c r="G101" s="103"/>
      <c r="H101" s="102"/>
      <c r="I101" s="102"/>
      <c r="J101" s="102"/>
      <c r="K101" s="102"/>
      <c r="L101" s="102"/>
      <c r="M101" s="102"/>
      <c r="N101" s="102"/>
      <c r="O101" s="102"/>
      <c r="P101" s="102"/>
      <c r="Q101" s="102"/>
      <c r="R101" s="102"/>
      <c r="S101" s="102"/>
      <c r="T101" s="102"/>
      <c r="U101" s="102"/>
      <c r="V101" s="102"/>
      <c r="W101" s="102"/>
      <c r="X101" s="102"/>
      <c r="Y101" s="102"/>
      <c r="Z101" s="102"/>
      <c r="AA101" s="90"/>
    </row>
    <row r="102" spans="1:27" x14ac:dyDescent="0.35">
      <c r="A102" s="92"/>
      <c r="B102" s="92"/>
      <c r="C102" s="92"/>
      <c r="D102" s="92"/>
      <c r="E102" s="92"/>
      <c r="F102" s="92"/>
      <c r="G102" s="93"/>
      <c r="H102" s="92"/>
      <c r="I102" s="92"/>
      <c r="J102" s="92"/>
      <c r="K102" s="92"/>
      <c r="L102" s="92"/>
      <c r="M102" s="92"/>
      <c r="N102" s="92"/>
      <c r="O102" s="92"/>
      <c r="P102" s="92"/>
      <c r="Q102" s="92"/>
      <c r="R102" s="92"/>
      <c r="S102" s="92"/>
      <c r="T102" s="92"/>
      <c r="U102" s="92"/>
      <c r="V102" s="92"/>
      <c r="W102" s="92"/>
      <c r="X102" s="92"/>
      <c r="Y102" s="92"/>
      <c r="Z102" s="92"/>
      <c r="AA102" s="90"/>
    </row>
  </sheetData>
  <sheetProtection password="E1A4" sheet="1" objects="1" scenarios="1"/>
  <conditionalFormatting sqref="H7">
    <cfRule type="cellIs" dxfId="7" priority="8" operator="lessThan">
      <formula>VIN_op_min</formula>
    </cfRule>
    <cfRule type="cellIs" dxfId="6" priority="9" operator="greaterThan">
      <formula>VIN_op_max</formula>
    </cfRule>
  </conditionalFormatting>
  <conditionalFormatting sqref="H8">
    <cfRule type="cellIs" dxfId="5" priority="7" operator="notBetween">
      <formula>$H$7</formula>
      <formula>$H$9</formula>
    </cfRule>
  </conditionalFormatting>
  <conditionalFormatting sqref="H9">
    <cfRule type="cellIs" dxfId="4" priority="4" operator="greaterThan">
      <formula>45</formula>
    </cfRule>
    <cfRule type="cellIs" dxfId="3" priority="5" operator="lessThan">
      <formula>1.5</formula>
    </cfRule>
  </conditionalFormatting>
  <conditionalFormatting sqref="H16">
    <cfRule type="expression" dxfId="2" priority="1">
      <formula>$H$16&gt;$H$15</formula>
    </cfRule>
  </conditionalFormatting>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0" r:id="rId4" name="Spinner 36">
              <controlPr defaultSize="0" autoPict="0">
                <anchor moveWithCells="1" sizeWithCells="1">
                  <from>
                    <xdr:col>7</xdr:col>
                    <xdr:colOff>749300</xdr:colOff>
                    <xdr:row>58</xdr:row>
                    <xdr:rowOff>0</xdr:rowOff>
                  </from>
                  <to>
                    <xdr:col>8</xdr:col>
                    <xdr:colOff>12700</xdr:colOff>
                    <xdr:row>60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156DA4E-BD6D-4D59-BE75-578F4DA2656E}">
            <xm:f>Loop_Modeling!$B$16&gt;$H$9</xm:f>
            <x14:dxf>
              <fill>
                <patternFill>
                  <bgColor rgb="FFFF0000"/>
                </patternFill>
              </fill>
            </x14:dxf>
          </x14:cfRule>
          <x14:cfRule type="expression" priority="3" id="{7C3C4F63-5EDD-4152-B02B-642721A9B522}">
            <xm:f>Loop_Modeling!$B$16&lt;$H$7</xm:f>
            <x14:dxf>
              <fill>
                <patternFill>
                  <bgColor rgb="FFFF0000"/>
                </patternFill>
              </fill>
            </x14:dxf>
          </x14:cfRule>
          <xm:sqref>H59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263"/>
  <sheetViews>
    <sheetView zoomScale="85" zoomScaleNormal="85" workbookViewId="0">
      <pane ySplit="5" topLeftCell="A6" activePane="bottomLeft" state="frozen"/>
      <selection pane="bottomLeft" activeCell="B21" sqref="B21"/>
    </sheetView>
  </sheetViews>
  <sheetFormatPr defaultRowHeight="14.5" x14ac:dyDescent="0.35"/>
  <cols>
    <col min="1" max="1" width="28.81640625" customWidth="1"/>
    <col min="2" max="2" width="19.54296875" customWidth="1"/>
    <col min="3" max="3" width="10.81640625" customWidth="1"/>
    <col min="4" max="4" width="10" bestFit="1" customWidth="1"/>
    <col min="5" max="5" width="18.54296875" customWidth="1"/>
    <col min="6" max="6" width="14.81640625" customWidth="1"/>
    <col min="7" max="7" width="15.1796875" customWidth="1"/>
    <col min="8" max="9" width="12.54296875" customWidth="1"/>
    <col min="12" max="12" width="12.36328125" bestFit="1" customWidth="1"/>
  </cols>
  <sheetData>
    <row r="1" spans="1:17" ht="27.75" x14ac:dyDescent="0.4">
      <c r="A1" s="191" t="s">
        <v>15</v>
      </c>
      <c r="B1" s="191"/>
      <c r="C1" s="191"/>
      <c r="D1" s="191"/>
      <c r="E1" s="191"/>
      <c r="F1" s="191"/>
      <c r="G1" s="191"/>
      <c r="H1" s="191"/>
      <c r="I1" s="191"/>
      <c r="J1" s="191"/>
    </row>
    <row r="2" spans="1:17" ht="15" x14ac:dyDescent="0.25">
      <c r="A2" s="5"/>
      <c r="B2" s="5" t="s">
        <v>16</v>
      </c>
      <c r="C2" s="6"/>
      <c r="D2" s="4"/>
      <c r="E2" s="5"/>
      <c r="F2" s="5"/>
      <c r="G2" s="5"/>
      <c r="H2" s="5"/>
      <c r="I2" s="5"/>
      <c r="J2" s="5"/>
    </row>
    <row r="3" spans="1:17" ht="15" x14ac:dyDescent="0.25">
      <c r="A3" s="5"/>
      <c r="B3" s="5" t="s">
        <v>17</v>
      </c>
      <c r="C3" s="7"/>
      <c r="D3" s="4"/>
      <c r="E3" s="5"/>
      <c r="F3" s="14" t="s">
        <v>61</v>
      </c>
      <c r="G3" s="15" t="s">
        <v>62</v>
      </c>
      <c r="H3" s="25" t="s">
        <v>65</v>
      </c>
      <c r="I3" s="5"/>
      <c r="J3" s="5"/>
    </row>
    <row r="4" spans="1:17" ht="15" x14ac:dyDescent="0.25">
      <c r="A4" s="5"/>
      <c r="B4" s="5" t="s">
        <v>18</v>
      </c>
      <c r="C4" s="8"/>
      <c r="D4" s="4"/>
      <c r="E4" s="5"/>
      <c r="F4" s="5"/>
      <c r="G4" s="5"/>
      <c r="H4" s="5"/>
      <c r="I4" s="5"/>
      <c r="J4" s="5"/>
    </row>
    <row r="5" spans="1:17" ht="15" x14ac:dyDescent="0.25">
      <c r="A5" s="9" t="s">
        <v>19</v>
      </c>
      <c r="B5" s="9" t="s">
        <v>20</v>
      </c>
      <c r="C5" s="9" t="s">
        <v>21</v>
      </c>
      <c r="D5" s="4"/>
      <c r="E5" s="192" t="s">
        <v>22</v>
      </c>
      <c r="F5" s="192"/>
      <c r="G5" s="192"/>
      <c r="H5" s="192"/>
      <c r="I5" s="5"/>
      <c r="J5" s="9" t="s">
        <v>23</v>
      </c>
      <c r="K5" s="9" t="s">
        <v>69</v>
      </c>
      <c r="L5" s="4"/>
      <c r="M5" s="4"/>
      <c r="N5" s="4"/>
      <c r="O5" s="4"/>
      <c r="P5" s="4"/>
      <c r="Q5" s="4"/>
    </row>
    <row r="6" spans="1:17" ht="15.75" x14ac:dyDescent="0.25">
      <c r="A6" s="10" t="s">
        <v>24</v>
      </c>
      <c r="B6" s="9"/>
      <c r="C6" s="9"/>
      <c r="D6" s="9"/>
      <c r="E6" s="5"/>
      <c r="F6" s="5"/>
      <c r="G6" s="5"/>
      <c r="H6" s="5"/>
      <c r="I6" s="5"/>
      <c r="J6" s="9"/>
      <c r="K6" s="4"/>
      <c r="L6" s="4"/>
      <c r="M6" s="4"/>
      <c r="N6" s="4"/>
      <c r="O6" s="4"/>
      <c r="P6" s="4"/>
      <c r="Q6" s="4"/>
    </row>
    <row r="7" spans="1:17" ht="15" x14ac:dyDescent="0.25">
      <c r="A7" t="s">
        <v>25</v>
      </c>
      <c r="B7" s="3">
        <f>'Design Converter'!H7</f>
        <v>6.5</v>
      </c>
      <c r="C7" t="s">
        <v>10</v>
      </c>
      <c r="E7" t="s">
        <v>28</v>
      </c>
    </row>
    <row r="8" spans="1:17" ht="15" x14ac:dyDescent="0.25">
      <c r="A8" t="s">
        <v>26</v>
      </c>
      <c r="B8" s="3">
        <f>'Design Converter'!H8</f>
        <v>10</v>
      </c>
      <c r="C8" t="s">
        <v>10</v>
      </c>
      <c r="E8" t="s">
        <v>29</v>
      </c>
      <c r="K8">
        <f>IF(VIN_min&lt;VIN_min,1,IF(VIN_nom&gt;VIN_max,1,0))</f>
        <v>0</v>
      </c>
    </row>
    <row r="9" spans="1:17" ht="15" x14ac:dyDescent="0.25">
      <c r="A9" t="s">
        <v>27</v>
      </c>
      <c r="B9" s="3">
        <f>'Design Converter'!H9</f>
        <v>35</v>
      </c>
      <c r="C9" t="s">
        <v>10</v>
      </c>
      <c r="E9" t="s">
        <v>30</v>
      </c>
    </row>
    <row r="10" spans="1:17" ht="15" x14ac:dyDescent="0.25">
      <c r="A10" t="s">
        <v>66</v>
      </c>
      <c r="B10" s="3">
        <f>'Design Converter'!H12*1000</f>
        <v>2150000</v>
      </c>
      <c r="C10" t="s">
        <v>67</v>
      </c>
      <c r="E10" t="s">
        <v>68</v>
      </c>
    </row>
    <row r="11" spans="1:17" x14ac:dyDescent="0.35">
      <c r="A11" t="s">
        <v>70</v>
      </c>
      <c r="B11" s="18">
        <f>((2.21*10^10)/Fsw)-955</f>
        <v>9324.0697674418607</v>
      </c>
      <c r="C11" s="2" t="s">
        <v>36</v>
      </c>
      <c r="E11" t="s">
        <v>71</v>
      </c>
    </row>
    <row r="13" spans="1:17" ht="15" x14ac:dyDescent="0.25">
      <c r="A13" t="s">
        <v>31</v>
      </c>
      <c r="B13" s="3">
        <f>'Design Converter'!H10</f>
        <v>12</v>
      </c>
      <c r="C13" t="s">
        <v>10</v>
      </c>
      <c r="E13" t="s">
        <v>32</v>
      </c>
    </row>
    <row r="14" spans="1:17" ht="15" x14ac:dyDescent="0.25">
      <c r="A14" t="s">
        <v>33</v>
      </c>
      <c r="B14" s="3">
        <f>'Design Converter'!H11</f>
        <v>2</v>
      </c>
      <c r="C14" t="s">
        <v>11</v>
      </c>
      <c r="E14" t="s">
        <v>34</v>
      </c>
    </row>
    <row r="15" spans="1:17" x14ac:dyDescent="0.35">
      <c r="A15" t="s">
        <v>35</v>
      </c>
      <c r="B15" s="1">
        <f>VOUT/IOUT</f>
        <v>6</v>
      </c>
      <c r="C15" s="2" t="s">
        <v>36</v>
      </c>
      <c r="E15" t="s">
        <v>41</v>
      </c>
    </row>
    <row r="16" spans="1:17" ht="15" x14ac:dyDescent="0.25">
      <c r="A16" t="s">
        <v>37</v>
      </c>
      <c r="B16" s="1">
        <f>VOUT*IOUT</f>
        <v>24</v>
      </c>
      <c r="C16" s="2" t="s">
        <v>38</v>
      </c>
      <c r="E16" t="s">
        <v>40</v>
      </c>
    </row>
    <row r="17" spans="1:11" ht="15" x14ac:dyDescent="0.25">
      <c r="A17" t="s">
        <v>39</v>
      </c>
      <c r="B17" s="11">
        <v>1</v>
      </c>
      <c r="E17" t="s">
        <v>434</v>
      </c>
    </row>
    <row r="19" spans="1:11" ht="15" x14ac:dyDescent="0.25">
      <c r="A19" t="s">
        <v>42</v>
      </c>
      <c r="B19" s="1">
        <f>(VOUT)/(VIN_min+VOUT)</f>
        <v>0.64864864864864868</v>
      </c>
      <c r="E19" t="s">
        <v>435</v>
      </c>
    </row>
    <row r="20" spans="1:11" ht="15" x14ac:dyDescent="0.25">
      <c r="A20" t="s">
        <v>43</v>
      </c>
      <c r="B20" s="12">
        <f>Constants!B20</f>
        <v>0.80454545454545456</v>
      </c>
      <c r="E20" t="s">
        <v>44</v>
      </c>
    </row>
    <row r="21" spans="1:11" ht="15" x14ac:dyDescent="0.25">
      <c r="A21" t="s">
        <v>439</v>
      </c>
      <c r="B21" s="173">
        <f>IF(B19&gt;Dc_max_IC,1,0)</f>
        <v>0</v>
      </c>
      <c r="E21" t="s">
        <v>438</v>
      </c>
      <c r="K21">
        <f>B21</f>
        <v>0</v>
      </c>
    </row>
    <row r="22" spans="1:11" ht="14.65" x14ac:dyDescent="0.4">
      <c r="E22" s="32" t="s">
        <v>518</v>
      </c>
    </row>
    <row r="23" spans="1:11" ht="14.65" x14ac:dyDescent="0.4">
      <c r="E23" s="32"/>
    </row>
    <row r="24" spans="1:11" ht="14.65" x14ac:dyDescent="0.4">
      <c r="A24" t="s">
        <v>524</v>
      </c>
      <c r="B24" s="30">
        <v>1</v>
      </c>
      <c r="E24" t="s">
        <v>525</v>
      </c>
    </row>
    <row r="26" spans="1:11" ht="14.65" x14ac:dyDescent="0.4">
      <c r="A26" s="19" t="s">
        <v>74</v>
      </c>
    </row>
    <row r="27" spans="1:11" ht="14.65" x14ac:dyDescent="0.4">
      <c r="A27" s="174" t="s">
        <v>440</v>
      </c>
      <c r="E27" t="s">
        <v>516</v>
      </c>
    </row>
    <row r="28" spans="1:11" ht="14.65" x14ac:dyDescent="0.4">
      <c r="A28" t="s">
        <v>87</v>
      </c>
      <c r="B28" s="3">
        <f>'Design Converter'!H20/100</f>
        <v>0.2</v>
      </c>
      <c r="E28" t="s">
        <v>99</v>
      </c>
    </row>
    <row r="29" spans="1:11" ht="14.65" x14ac:dyDescent="0.4">
      <c r="A29" t="s">
        <v>94</v>
      </c>
      <c r="B29" s="24">
        <f>(VIN_nom^2)/(2*ILrip*IOUT*Fsw*(VIN_nom+VOUT))</f>
        <v>2.6427061310782239E-6</v>
      </c>
      <c r="C29" t="s">
        <v>86</v>
      </c>
      <c r="E29" t="s">
        <v>517</v>
      </c>
    </row>
    <row r="31" spans="1:11" ht="15" x14ac:dyDescent="0.25">
      <c r="A31" s="175" t="s">
        <v>441</v>
      </c>
      <c r="E31" t="s">
        <v>515</v>
      </c>
    </row>
    <row r="32" spans="1:11" ht="15" x14ac:dyDescent="0.25">
      <c r="A32" t="s">
        <v>444</v>
      </c>
      <c r="B32" s="12">
        <v>0.7</v>
      </c>
      <c r="E32" t="s">
        <v>445</v>
      </c>
    </row>
    <row r="33" spans="1:5" ht="15" x14ac:dyDescent="0.25">
      <c r="A33" t="s">
        <v>443</v>
      </c>
      <c r="B33" s="24">
        <f>((DC_DCM_max^2)*(VIN_min^2))/(2*IOUT*VOUT*Fsw-2*IOUT*VIN_min*Fsw)</f>
        <v>4.3768498942917543E-7</v>
      </c>
      <c r="C33" t="s">
        <v>86</v>
      </c>
      <c r="E33" t="s">
        <v>442</v>
      </c>
    </row>
    <row r="34" spans="1:5" ht="15" x14ac:dyDescent="0.25">
      <c r="A34" t="s">
        <v>446</v>
      </c>
      <c r="B34" s="12">
        <v>0.2</v>
      </c>
      <c r="E34" t="s">
        <v>447</v>
      </c>
    </row>
    <row r="35" spans="1:5" ht="15" x14ac:dyDescent="0.25">
      <c r="A35" t="s">
        <v>448</v>
      </c>
      <c r="B35" s="24">
        <f>(1-M_L_DCM)*((VIN_min^2)*(1-(VIN_min/VOUT)))/(2*IOUT*VOUT*Fsw)</f>
        <v>1.5011304909560726E-7</v>
      </c>
      <c r="C35" t="s">
        <v>86</v>
      </c>
      <c r="E35" t="s">
        <v>449</v>
      </c>
    </row>
    <row r="36" spans="1:5" ht="15" x14ac:dyDescent="0.25">
      <c r="A36" t="s">
        <v>450</v>
      </c>
      <c r="B36" s="24">
        <f>MIN(B33,B35)</f>
        <v>1.5011304909560726E-7</v>
      </c>
      <c r="C36" t="s">
        <v>86</v>
      </c>
      <c r="E36" t="s">
        <v>451</v>
      </c>
    </row>
    <row r="37" spans="1:5" ht="15" x14ac:dyDescent="0.25">
      <c r="B37" s="178"/>
    </row>
    <row r="38" spans="1:5" ht="15" x14ac:dyDescent="0.25">
      <c r="A38" t="s">
        <v>454</v>
      </c>
      <c r="B38" s="24">
        <f>IF(B21=1,B36,Lopt_2)</f>
        <v>2.6427061310782239E-6</v>
      </c>
      <c r="E38" t="s">
        <v>452</v>
      </c>
    </row>
    <row r="39" spans="1:5" ht="15" x14ac:dyDescent="0.25"/>
    <row r="40" spans="1:5" ht="14.65" x14ac:dyDescent="0.4">
      <c r="A40" t="s">
        <v>88</v>
      </c>
      <c r="B40" s="21">
        <f>'Design Converter'!H22*10^-6</f>
        <v>2.7E-6</v>
      </c>
      <c r="C40" t="s">
        <v>86</v>
      </c>
      <c r="E40" t="s">
        <v>89</v>
      </c>
    </row>
    <row r="41" spans="1:5" ht="14.65" x14ac:dyDescent="0.4">
      <c r="B41" s="21">
        <f>Lm</f>
        <v>2.7E-6</v>
      </c>
      <c r="E41" t="s">
        <v>527</v>
      </c>
    </row>
    <row r="42" spans="1:5" ht="15.5" customHeight="1" x14ac:dyDescent="0.4">
      <c r="A42" t="s">
        <v>521</v>
      </c>
      <c r="B42" s="187">
        <f>Lm</f>
        <v>2.7E-6</v>
      </c>
      <c r="E42" t="s">
        <v>522</v>
      </c>
    </row>
    <row r="43" spans="1:5" ht="15.5" customHeight="1" x14ac:dyDescent="0.4">
      <c r="B43" s="21">
        <f>Lm</f>
        <v>2.7E-6</v>
      </c>
      <c r="E43" t="s">
        <v>527</v>
      </c>
    </row>
    <row r="44" spans="1:5" ht="14.65" x14ac:dyDescent="0.4">
      <c r="A44" t="s">
        <v>526</v>
      </c>
      <c r="B44" s="187">
        <f>Lm</f>
        <v>2.7E-6</v>
      </c>
      <c r="E44" t="s">
        <v>523</v>
      </c>
    </row>
    <row r="45" spans="1:5" ht="14.65" x14ac:dyDescent="0.4">
      <c r="B45" s="187"/>
    </row>
    <row r="46" spans="1:5" x14ac:dyDescent="0.35">
      <c r="A46" t="s">
        <v>91</v>
      </c>
      <c r="B46" s="3">
        <f>10*10^-3</f>
        <v>0.01</v>
      </c>
      <c r="C46" s="2" t="s">
        <v>36</v>
      </c>
      <c r="E46" t="s">
        <v>109</v>
      </c>
    </row>
    <row r="47" spans="1:5" ht="15" x14ac:dyDescent="0.25">
      <c r="A47" t="s">
        <v>110</v>
      </c>
      <c r="B47" s="12">
        <v>0.2</v>
      </c>
      <c r="C47" s="2"/>
      <c r="E47" t="s">
        <v>111</v>
      </c>
    </row>
    <row r="48" spans="1:5" ht="15" x14ac:dyDescent="0.25">
      <c r="B48" t="s">
        <v>95</v>
      </c>
    </row>
    <row r="49" spans="1:5" ht="15" x14ac:dyDescent="0.25">
      <c r="A49" s="32" t="s">
        <v>455</v>
      </c>
    </row>
    <row r="50" spans="1:5" ht="15" x14ac:dyDescent="0.25"/>
    <row r="51" spans="1:5" ht="15" x14ac:dyDescent="0.25">
      <c r="A51" s="22" t="s">
        <v>456</v>
      </c>
    </row>
    <row r="52" spans="1:5" ht="14.65" x14ac:dyDescent="0.4">
      <c r="A52" t="s">
        <v>457</v>
      </c>
      <c r="B52">
        <v>1</v>
      </c>
      <c r="E52" t="s">
        <v>579</v>
      </c>
    </row>
    <row r="53" spans="1:5" ht="15" x14ac:dyDescent="0.25">
      <c r="A53" t="s">
        <v>78</v>
      </c>
      <c r="B53" s="185">
        <f>IF(B52=0,SQRT((2*IOUT*Lm*Fsw*VOUT/(VIN_min^2))),(VOUT/(VIN_min+VOUT)))</f>
        <v>0.64864864864864868</v>
      </c>
      <c r="E53" t="s">
        <v>541</v>
      </c>
    </row>
    <row r="54" spans="1:5" ht="14.65" x14ac:dyDescent="0.4">
      <c r="B54" s="13">
        <f>B53/Fsw</f>
        <v>3.0169704588309239E-7</v>
      </c>
      <c r="C54" t="s">
        <v>52</v>
      </c>
      <c r="E54" t="s">
        <v>276</v>
      </c>
    </row>
    <row r="55" spans="1:5" ht="14.65" x14ac:dyDescent="0.4">
      <c r="A55" s="188" t="s">
        <v>520</v>
      </c>
      <c r="B55" s="186"/>
    </row>
    <row r="56" spans="1:5" ht="14.65" x14ac:dyDescent="0.4">
      <c r="A56" t="s">
        <v>528</v>
      </c>
      <c r="B56" s="17">
        <f>(VOUT*IOUT)/(VIN_min)</f>
        <v>3.6923076923076925</v>
      </c>
      <c r="C56" t="s">
        <v>11</v>
      </c>
      <c r="E56" t="s">
        <v>83</v>
      </c>
    </row>
    <row r="57" spans="1:5" ht="14.65" x14ac:dyDescent="0.4">
      <c r="A57" t="s">
        <v>529</v>
      </c>
      <c r="B57" s="16">
        <f>(VIN_min*Dc_VIN_min)/(Lm_A*Fsw)</f>
        <v>0.72630770305188919</v>
      </c>
      <c r="C57" t="s">
        <v>11</v>
      </c>
      <c r="E57" t="s">
        <v>97</v>
      </c>
    </row>
    <row r="58" spans="1:5" ht="14.65" x14ac:dyDescent="0.4">
      <c r="A58" t="s">
        <v>530</v>
      </c>
      <c r="B58" s="16">
        <f>IF(B52=0,(VIN_min*Dc_VIN_min)/(Lm*Fsw),(ILA_avg_VIN_min/EFF_est)+(ILArip_VINmin/2))</f>
        <v>4.055461543833637</v>
      </c>
      <c r="C58" t="s">
        <v>11</v>
      </c>
      <c r="E58" t="s">
        <v>96</v>
      </c>
    </row>
    <row r="59" spans="1:5" ht="14.65" x14ac:dyDescent="0.4">
      <c r="B59" s="13"/>
    </row>
    <row r="60" spans="1:5" ht="14.65" x14ac:dyDescent="0.4">
      <c r="A60" s="188" t="s">
        <v>537</v>
      </c>
      <c r="B60" s="13"/>
      <c r="E60" t="s">
        <v>552</v>
      </c>
    </row>
    <row r="61" spans="1:5" ht="14.65" x14ac:dyDescent="0.4">
      <c r="A61" t="s">
        <v>538</v>
      </c>
      <c r="B61" s="13">
        <f>IOUT</f>
        <v>2</v>
      </c>
      <c r="C61" t="s">
        <v>11</v>
      </c>
    </row>
    <row r="62" spans="1:5" ht="14.65" x14ac:dyDescent="0.4">
      <c r="A62" t="s">
        <v>539</v>
      </c>
      <c r="B62" s="13">
        <f>(VIN_min*Dc_VIN_min)/(Lm*Fsw)</f>
        <v>0.72630770305188919</v>
      </c>
      <c r="C62" t="s">
        <v>11</v>
      </c>
    </row>
    <row r="63" spans="1:5" ht="14.65" x14ac:dyDescent="0.4">
      <c r="A63" t="s">
        <v>540</v>
      </c>
      <c r="B63" s="13">
        <f>B61+B62/2</f>
        <v>2.3631538515259445</v>
      </c>
      <c r="C63" t="s">
        <v>11</v>
      </c>
    </row>
    <row r="64" spans="1:5" x14ac:dyDescent="0.35">
      <c r="B64" s="16"/>
    </row>
    <row r="65" spans="1:5" x14ac:dyDescent="0.35">
      <c r="A65" s="188" t="s">
        <v>542</v>
      </c>
      <c r="B65" s="20"/>
    </row>
    <row r="66" spans="1:5" x14ac:dyDescent="0.35">
      <c r="A66" t="s">
        <v>543</v>
      </c>
      <c r="B66" s="16">
        <f>ILA_avg_VIN_min+B61+B62</f>
        <v>6.4186153953595815</v>
      </c>
      <c r="C66" t="s">
        <v>11</v>
      </c>
    </row>
    <row r="67" spans="1:5" x14ac:dyDescent="0.35">
      <c r="B67" s="20"/>
    </row>
    <row r="68" spans="1:5" x14ac:dyDescent="0.35">
      <c r="A68" s="22" t="s">
        <v>29</v>
      </c>
    </row>
    <row r="69" spans="1:5" x14ac:dyDescent="0.35">
      <c r="A69" t="s">
        <v>459</v>
      </c>
      <c r="B69">
        <f>IF(((VIN_nom^2)*VOUT)/(2*Fsw*Lm*((VIN_nom+VOUT)^2))&gt;IOUT,0,1)</f>
        <v>1</v>
      </c>
      <c r="E69" t="s">
        <v>458</v>
      </c>
    </row>
    <row r="70" spans="1:5" x14ac:dyDescent="0.35">
      <c r="A70" t="s">
        <v>79</v>
      </c>
      <c r="B70" s="1">
        <f>IF(B52=0,SQRT((2*IOUT*Lm*Fsw*VOUT/(VIN_nom^2))),(VOUT/(VIN_nom+VOUT)))</f>
        <v>0.54545454545454541</v>
      </c>
      <c r="E70" t="s">
        <v>436</v>
      </c>
    </row>
    <row r="71" spans="1:5" x14ac:dyDescent="0.35">
      <c r="B71" s="13">
        <f>B70/Fsw</f>
        <v>2.5369978858350948E-7</v>
      </c>
      <c r="C71" t="s">
        <v>52</v>
      </c>
      <c r="E71" t="s">
        <v>276</v>
      </c>
    </row>
    <row r="72" spans="1:5" x14ac:dyDescent="0.35">
      <c r="A72" s="188" t="s">
        <v>520</v>
      </c>
      <c r="B72" s="186"/>
    </row>
    <row r="73" spans="1:5" x14ac:dyDescent="0.35">
      <c r="A73" t="s">
        <v>531</v>
      </c>
      <c r="B73" s="17">
        <f>(VOUT*IOUT)/(VIN_nom)</f>
        <v>2.4</v>
      </c>
      <c r="C73" t="s">
        <v>11</v>
      </c>
      <c r="E73" t="s">
        <v>84</v>
      </c>
    </row>
    <row r="74" spans="1:5" x14ac:dyDescent="0.35">
      <c r="A74" t="s">
        <v>532</v>
      </c>
      <c r="B74" s="16">
        <f>(VIN_nom*Dc_VIN_nom)/(Lm*Fsw)</f>
        <v>0.93962884660559076</v>
      </c>
      <c r="C74" t="s">
        <v>11</v>
      </c>
      <c r="E74" t="s">
        <v>100</v>
      </c>
    </row>
    <row r="75" spans="1:5" x14ac:dyDescent="0.35">
      <c r="A75" t="s">
        <v>533</v>
      </c>
      <c r="B75" s="16">
        <f>IF(B69=0,(VIN_nom*Dc_VIN_nom)/(Lm*Fsw),(ILA_avg_VIN_nom/EFF_est)+(ILArip_VINnom/2))</f>
        <v>2.8698144233027953</v>
      </c>
      <c r="C75" t="s">
        <v>11</v>
      </c>
      <c r="E75" t="s">
        <v>101</v>
      </c>
    </row>
    <row r="76" spans="1:5" x14ac:dyDescent="0.35">
      <c r="B76" s="20"/>
    </row>
    <row r="77" spans="1:5" x14ac:dyDescent="0.35">
      <c r="A77" s="188" t="s">
        <v>537</v>
      </c>
      <c r="B77" s="186"/>
    </row>
    <row r="78" spans="1:5" x14ac:dyDescent="0.35">
      <c r="A78" t="s">
        <v>544</v>
      </c>
      <c r="B78" s="13">
        <f>IOUT</f>
        <v>2</v>
      </c>
      <c r="C78" t="s">
        <v>11</v>
      </c>
      <c r="E78" t="s">
        <v>552</v>
      </c>
    </row>
    <row r="79" spans="1:5" x14ac:dyDescent="0.35">
      <c r="A79" t="s">
        <v>545</v>
      </c>
      <c r="B79" s="13">
        <f>(VIN_nom*Dc_VIN_nom)/(Lm*Fsw)</f>
        <v>0.93962884660559076</v>
      </c>
      <c r="C79" t="s">
        <v>11</v>
      </c>
    </row>
    <row r="80" spans="1:5" x14ac:dyDescent="0.35">
      <c r="A80" t="s">
        <v>546</v>
      </c>
      <c r="B80" s="13">
        <f>B78+B79/2</f>
        <v>2.4698144233027954</v>
      </c>
      <c r="C80" t="s">
        <v>11</v>
      </c>
    </row>
    <row r="81" spans="1:5" x14ac:dyDescent="0.35">
      <c r="B81" s="20"/>
    </row>
    <row r="82" spans="1:5" x14ac:dyDescent="0.35">
      <c r="A82" s="188" t="s">
        <v>542</v>
      </c>
      <c r="B82" s="20"/>
    </row>
    <row r="83" spans="1:5" x14ac:dyDescent="0.35">
      <c r="A83" t="s">
        <v>547</v>
      </c>
      <c r="B83" s="16">
        <f>ILA_avg_VIN_nom+B78+B79</f>
        <v>5.3396288466055912</v>
      </c>
      <c r="C83" t="s">
        <v>11</v>
      </c>
    </row>
    <row r="85" spans="1:5" x14ac:dyDescent="0.35">
      <c r="A85" s="22" t="s">
        <v>30</v>
      </c>
    </row>
    <row r="86" spans="1:5" x14ac:dyDescent="0.35">
      <c r="A86" t="s">
        <v>460</v>
      </c>
      <c r="B86">
        <f>IF(((VIN_nom^2)*VOUT)/(2*Fsw*Lm*((VIN_nom+VOUT)^2))&gt;IOUT,0,1)</f>
        <v>1</v>
      </c>
      <c r="E86" t="s">
        <v>458</v>
      </c>
    </row>
    <row r="87" spans="1:5" x14ac:dyDescent="0.35">
      <c r="A87" t="s">
        <v>80</v>
      </c>
      <c r="B87" s="1">
        <f>IF(B86=0,SQRT((2*IOUT*Lm*Fsw*VOUT/(VIN_max^2))),(VOUT/(VIN_max+VOUT)))</f>
        <v>0.25531914893617019</v>
      </c>
      <c r="E87" t="s">
        <v>437</v>
      </c>
    </row>
    <row r="88" spans="1:5" x14ac:dyDescent="0.35">
      <c r="B88" s="13">
        <f>B87/Fsw</f>
        <v>1.1875309252845125E-7</v>
      </c>
      <c r="C88" t="s">
        <v>52</v>
      </c>
      <c r="E88" t="s">
        <v>276</v>
      </c>
    </row>
    <row r="89" spans="1:5" x14ac:dyDescent="0.35">
      <c r="A89" s="188" t="s">
        <v>520</v>
      </c>
      <c r="B89" s="186"/>
    </row>
    <row r="90" spans="1:5" x14ac:dyDescent="0.35">
      <c r="A90" t="s">
        <v>534</v>
      </c>
      <c r="B90" s="17">
        <f>(VOUT*IOUT)/(VIN_max)</f>
        <v>0.68571428571428572</v>
      </c>
      <c r="C90" t="s">
        <v>11</v>
      </c>
      <c r="E90" t="s">
        <v>85</v>
      </c>
    </row>
    <row r="91" spans="1:5" x14ac:dyDescent="0.35">
      <c r="A91" t="s">
        <v>535</v>
      </c>
      <c r="B91" s="16">
        <f>(VIN_max*Dc_VIN_max)/(Lm*Fsw)</f>
        <v>1.5393919401836273</v>
      </c>
      <c r="C91" t="s">
        <v>11</v>
      </c>
      <c r="E91" t="s">
        <v>102</v>
      </c>
    </row>
    <row r="92" spans="1:5" x14ac:dyDescent="0.35">
      <c r="A92" t="s">
        <v>536</v>
      </c>
      <c r="B92" s="16">
        <f>ILA_avg_VIN_max+ILArip_VINmax/2</f>
        <v>1.4554102558060995</v>
      </c>
      <c r="C92" t="s">
        <v>11</v>
      </c>
      <c r="E92" t="s">
        <v>103</v>
      </c>
    </row>
    <row r="94" spans="1:5" x14ac:dyDescent="0.35">
      <c r="A94" s="188" t="s">
        <v>537</v>
      </c>
      <c r="B94" s="186"/>
      <c r="E94" t="s">
        <v>552</v>
      </c>
    </row>
    <row r="95" spans="1:5" x14ac:dyDescent="0.35">
      <c r="A95" t="s">
        <v>548</v>
      </c>
      <c r="B95" s="13">
        <f>IOUT</f>
        <v>2</v>
      </c>
      <c r="C95" t="s">
        <v>11</v>
      </c>
    </row>
    <row r="96" spans="1:5" x14ac:dyDescent="0.35">
      <c r="A96" t="s">
        <v>549</v>
      </c>
      <c r="B96" s="13">
        <f>(VIN_max*Dc_VIN_max)/(Lm*Fsw)</f>
        <v>1.5393919401836273</v>
      </c>
      <c r="C96" t="s">
        <v>11</v>
      </c>
    </row>
    <row r="97" spans="1:5" x14ac:dyDescent="0.35">
      <c r="A97" t="s">
        <v>550</v>
      </c>
      <c r="B97" s="13">
        <f>B95+B96/2</f>
        <v>2.7696959700918136</v>
      </c>
      <c r="C97" t="s">
        <v>11</v>
      </c>
    </row>
    <row r="98" spans="1:5" x14ac:dyDescent="0.35">
      <c r="B98" s="16"/>
    </row>
    <row r="99" spans="1:5" x14ac:dyDescent="0.35">
      <c r="A99" s="188" t="s">
        <v>542</v>
      </c>
      <c r="B99" s="20"/>
    </row>
    <row r="100" spans="1:5" x14ac:dyDescent="0.35">
      <c r="A100" t="s">
        <v>551</v>
      </c>
      <c r="B100" s="16">
        <f>ILA_avg_VIN_max+B95+B96</f>
        <v>4.2251062258979131</v>
      </c>
      <c r="C100" t="s">
        <v>11</v>
      </c>
    </row>
    <row r="101" spans="1:5" x14ac:dyDescent="0.35">
      <c r="B101" s="20"/>
    </row>
    <row r="102" spans="1:5" x14ac:dyDescent="0.35">
      <c r="A102" s="19" t="s">
        <v>98</v>
      </c>
    </row>
    <row r="103" spans="1:5" x14ac:dyDescent="0.35">
      <c r="A103" t="s">
        <v>105</v>
      </c>
      <c r="B103" s="3">
        <f>'Design Converter'!H26/100</f>
        <v>0.3</v>
      </c>
      <c r="E103" t="s">
        <v>106</v>
      </c>
    </row>
    <row r="104" spans="1:5" x14ac:dyDescent="0.35">
      <c r="A104" t="s">
        <v>107</v>
      </c>
      <c r="B104" s="17">
        <f>(1+Ipk_margin)*ISW_peak_VIN_min</f>
        <v>8.3442000139674555</v>
      </c>
      <c r="C104" t="s">
        <v>11</v>
      </c>
      <c r="E104" t="s">
        <v>108</v>
      </c>
    </row>
    <row r="105" spans="1:5" x14ac:dyDescent="0.35">
      <c r="B105" s="17"/>
    </row>
    <row r="106" spans="1:5" x14ac:dyDescent="0.35">
      <c r="A106" t="s">
        <v>114</v>
      </c>
      <c r="B106" s="12">
        <v>0.7</v>
      </c>
      <c r="E106" t="s">
        <v>115</v>
      </c>
    </row>
    <row r="107" spans="1:5" x14ac:dyDescent="0.35">
      <c r="A107" t="s">
        <v>112</v>
      </c>
      <c r="B107" s="24">
        <f>(1/B106)*((Fsw*Isl*Rsl_int*Lm)/(VOUT))</f>
        <v>2.7635946428571426E-2</v>
      </c>
      <c r="C107" s="2" t="s">
        <v>36</v>
      </c>
      <c r="E107" t="s">
        <v>113</v>
      </c>
    </row>
    <row r="108" spans="1:5" x14ac:dyDescent="0.35">
      <c r="A108" t="s">
        <v>120</v>
      </c>
      <c r="B108" s="24">
        <f>Vcl/Ipk_selected</f>
        <v>1.198437235835776E-2</v>
      </c>
      <c r="C108" s="2" t="s">
        <v>36</v>
      </c>
      <c r="E108" t="s">
        <v>121</v>
      </c>
    </row>
    <row r="110" spans="1:5" x14ac:dyDescent="0.35">
      <c r="A110" t="s">
        <v>126</v>
      </c>
      <c r="B110" s="12">
        <v>0.83299999999999996</v>
      </c>
      <c r="E110" t="s">
        <v>464</v>
      </c>
    </row>
    <row r="111" spans="1:5" x14ac:dyDescent="0.35">
      <c r="A111" t="s">
        <v>125</v>
      </c>
      <c r="B111" s="23">
        <f>(Lm*Fsw*(Vcl+(Dc_VIN_min*Isl*Rsl_int)))/((Dc_VIN_min*Kslope*VOUT)+(Ipk_selected*Lm*Fsw))</f>
        <v>1.3311221767687131E-2</v>
      </c>
      <c r="C111" s="2" t="s">
        <v>36</v>
      </c>
      <c r="E111" t="s">
        <v>133</v>
      </c>
    </row>
    <row r="112" spans="1:5" x14ac:dyDescent="0.35">
      <c r="A112" t="s">
        <v>127</v>
      </c>
      <c r="B112" s="16">
        <f>(Vcl-(Ipk_selected*Rcs_w_sl))/(Isl*Dc_VIN_min)</f>
        <v>-568.95192196496873</v>
      </c>
      <c r="C112" s="2" t="s">
        <v>36</v>
      </c>
      <c r="E112" t="s">
        <v>132</v>
      </c>
    </row>
    <row r="114" spans="1:11" x14ac:dyDescent="0.35">
      <c r="A114" t="s">
        <v>124</v>
      </c>
      <c r="B114" s="1">
        <f>IF(Rcs_wo_sl&gt;Rcs_max,1,0)</f>
        <v>0</v>
      </c>
      <c r="E114" t="s">
        <v>463</v>
      </c>
    </row>
    <row r="115" spans="1:11" x14ac:dyDescent="0.35">
      <c r="A115" t="s">
        <v>128</v>
      </c>
      <c r="B115" s="26">
        <f>IF(B52=0,Rcs_wo_sl,IF(B114=0,Rcs_wo_sl,Rcs_w_sl))</f>
        <v>1.198437235835776E-2</v>
      </c>
      <c r="C115" s="2" t="s">
        <v>36</v>
      </c>
      <c r="E115" t="s">
        <v>461</v>
      </c>
    </row>
    <row r="116" spans="1:11" x14ac:dyDescent="0.35">
      <c r="A116" t="s">
        <v>129</v>
      </c>
      <c r="B116" s="1">
        <f>IF(B52=0,0,IF(B114=0,0,B112))</f>
        <v>0</v>
      </c>
      <c r="C116" s="2" t="s">
        <v>36</v>
      </c>
      <c r="E116" t="s">
        <v>462</v>
      </c>
    </row>
    <row r="118" spans="1:11" x14ac:dyDescent="0.35">
      <c r="A118" t="s">
        <v>130</v>
      </c>
      <c r="B118" s="27">
        <f>'Design Converter'!H30/1000</f>
        <v>1.2E-2</v>
      </c>
      <c r="C118" s="2" t="s">
        <v>36</v>
      </c>
      <c r="E118" t="s">
        <v>135</v>
      </c>
    </row>
    <row r="119" spans="1:11" x14ac:dyDescent="0.35">
      <c r="A119" t="s">
        <v>131</v>
      </c>
      <c r="B119" s="3">
        <f>'Design Converter'!H31</f>
        <v>0</v>
      </c>
      <c r="C119" s="2" t="s">
        <v>36</v>
      </c>
      <c r="E119" t="s">
        <v>136</v>
      </c>
    </row>
    <row r="121" spans="1:11" x14ac:dyDescent="0.35">
      <c r="A121" t="s">
        <v>140</v>
      </c>
      <c r="B121" s="1">
        <f>(Isl*(Rsl_int+R_sl)*Fsw)/(((VOUT-VIN_min)/Lm)*R_cs)</f>
        <v>3.5173022727272727</v>
      </c>
      <c r="C121" t="s">
        <v>147</v>
      </c>
      <c r="E121" t="s">
        <v>138</v>
      </c>
      <c r="K121">
        <f>IF(B69=0,0,IF(B121&lt;0.5,1,0))</f>
        <v>0</v>
      </c>
    </row>
    <row r="122" spans="1:11" x14ac:dyDescent="0.35">
      <c r="A122" t="s">
        <v>141</v>
      </c>
      <c r="B122" s="17">
        <f>(Vcl-(Isl*R_sl*Dc_VIN_min))/R_cs</f>
        <v>8.3333333333333339</v>
      </c>
      <c r="C122" t="s">
        <v>11</v>
      </c>
      <c r="E122" t="s">
        <v>143</v>
      </c>
      <c r="K122">
        <f>IF(IL_pk&lt;Ipk_selected,1,0)</f>
        <v>1</v>
      </c>
    </row>
    <row r="123" spans="1:11" x14ac:dyDescent="0.35">
      <c r="A123" t="s">
        <v>142</v>
      </c>
      <c r="B123" s="17">
        <f>(Vcl-(Isl*R_sl*Dc_VIN_max))/R_cs</f>
        <v>8.3333333333333339</v>
      </c>
      <c r="C123" t="s">
        <v>11</v>
      </c>
      <c r="E123" t="s">
        <v>144</v>
      </c>
    </row>
    <row r="124" spans="1:11" x14ac:dyDescent="0.35">
      <c r="A124" t="s">
        <v>145</v>
      </c>
      <c r="B124" s="1">
        <f>0.15</f>
        <v>0.15</v>
      </c>
      <c r="E124" t="s">
        <v>146</v>
      </c>
    </row>
    <row r="125" spans="1:11" x14ac:dyDescent="0.35">
      <c r="A125" t="s">
        <v>148</v>
      </c>
      <c r="B125" s="16">
        <f>(1+B124)*B123</f>
        <v>9.5833333333333339</v>
      </c>
      <c r="C125" t="s">
        <v>11</v>
      </c>
      <c r="E125" t="s">
        <v>149</v>
      </c>
    </row>
    <row r="127" spans="1:11" x14ac:dyDescent="0.35">
      <c r="A127" s="22" t="s">
        <v>150</v>
      </c>
    </row>
    <row r="129" spans="1:5" x14ac:dyDescent="0.35">
      <c r="A129" s="29" t="s">
        <v>562</v>
      </c>
    </row>
    <row r="130" spans="1:5" x14ac:dyDescent="0.35">
      <c r="A130" t="s">
        <v>566</v>
      </c>
      <c r="B130" s="12">
        <v>0.05</v>
      </c>
    </row>
    <row r="131" spans="1:5" x14ac:dyDescent="0.35">
      <c r="A131" t="s">
        <v>563</v>
      </c>
      <c r="B131" s="1">
        <f>IOUT*Dc_VIN_min/(VIN_max*VCrr*Fsw)</f>
        <v>3.4479662386639135E-7</v>
      </c>
      <c r="C131" t="s">
        <v>158</v>
      </c>
      <c r="E131" t="s">
        <v>565</v>
      </c>
    </row>
    <row r="132" spans="1:5" x14ac:dyDescent="0.35">
      <c r="A132" t="s">
        <v>564</v>
      </c>
      <c r="B132" s="30">
        <f>'Design Converter'!H36*(10^-6)</f>
        <v>4.6999999999999999E-6</v>
      </c>
      <c r="C132" t="s">
        <v>158</v>
      </c>
      <c r="E132" t="s">
        <v>567</v>
      </c>
    </row>
    <row r="133" spans="1:5" x14ac:dyDescent="0.35">
      <c r="A133" t="s">
        <v>569</v>
      </c>
      <c r="B133" s="17">
        <f>(IOUT*Dc_VIN_min)/(Cac*Fsw)</f>
        <v>0.12838172165237974</v>
      </c>
      <c r="C133" t="s">
        <v>10</v>
      </c>
      <c r="E133" t="s">
        <v>570</v>
      </c>
    </row>
    <row r="134" spans="1:5" x14ac:dyDescent="0.35">
      <c r="A134" t="s">
        <v>568</v>
      </c>
      <c r="B134" s="17">
        <f>IOUT*SQRT(VOUT/VIN_min)</f>
        <v>2.7174648819470297</v>
      </c>
      <c r="C134" t="s">
        <v>11</v>
      </c>
      <c r="E134" t="s">
        <v>571</v>
      </c>
    </row>
    <row r="137" spans="1:5" x14ac:dyDescent="0.35">
      <c r="A137" s="29" t="s">
        <v>558</v>
      </c>
      <c r="E137" t="s">
        <v>465</v>
      </c>
    </row>
    <row r="139" spans="1:5" x14ac:dyDescent="0.35">
      <c r="A139" t="s">
        <v>466</v>
      </c>
      <c r="B139" s="1">
        <f>IF(B52=0,Fsw/20,(((VOUT/IOUT)*((1-Dc_VIN_min)^2))/(Lm*Dc_VIN_min))/6)</f>
        <v>70487.153820487132</v>
      </c>
      <c r="C139" t="s">
        <v>511</v>
      </c>
      <c r="E139" t="s">
        <v>572</v>
      </c>
    </row>
    <row r="140" spans="1:5" x14ac:dyDescent="0.35">
      <c r="A140" t="s">
        <v>156</v>
      </c>
      <c r="B140" s="30">
        <f>'Design Converter'!H40/1000</f>
        <v>0.35</v>
      </c>
      <c r="C140" t="s">
        <v>10</v>
      </c>
      <c r="E140" t="s">
        <v>155</v>
      </c>
    </row>
    <row r="141" spans="1:5" x14ac:dyDescent="0.35">
      <c r="A141" t="s">
        <v>467</v>
      </c>
      <c r="B141" s="1">
        <f>IOUT-0.5*IOUT</f>
        <v>1</v>
      </c>
      <c r="C141" t="s">
        <v>11</v>
      </c>
    </row>
    <row r="142" spans="1:5" x14ac:dyDescent="0.35">
      <c r="A142" t="s">
        <v>157</v>
      </c>
      <c r="B142" s="1">
        <f>B141/(Vout_rip_sel*B139)</f>
        <v>4.0534234995773473E-5</v>
      </c>
      <c r="C142" t="s">
        <v>158</v>
      </c>
      <c r="E142" t="s">
        <v>159</v>
      </c>
    </row>
    <row r="143" spans="1:5" x14ac:dyDescent="0.35">
      <c r="A143" t="s">
        <v>161</v>
      </c>
      <c r="B143" s="16">
        <f>IOUT*SQRT(VOUT/VIN_min)</f>
        <v>2.7174648819470297</v>
      </c>
      <c r="C143" t="s">
        <v>11</v>
      </c>
      <c r="E143" t="s">
        <v>573</v>
      </c>
    </row>
    <row r="144" spans="1:5" x14ac:dyDescent="0.35">
      <c r="A144" t="s">
        <v>165</v>
      </c>
      <c r="B144" s="3">
        <f>'Design Converter'!H43*(10^-6)</f>
        <v>3.9999999999999996E-5</v>
      </c>
      <c r="C144" t="s">
        <v>158</v>
      </c>
      <c r="E144" t="s">
        <v>164</v>
      </c>
    </row>
    <row r="145" spans="1:5" x14ac:dyDescent="0.35">
      <c r="A145" t="s">
        <v>163</v>
      </c>
      <c r="B145" s="3">
        <f>'Design Converter'!H44/1000</f>
        <v>4.0000000000000001E-3</v>
      </c>
      <c r="C145" s="2" t="s">
        <v>36</v>
      </c>
      <c r="E145" t="s">
        <v>574</v>
      </c>
    </row>
    <row r="147" spans="1:5" x14ac:dyDescent="0.35">
      <c r="A147" s="29" t="s">
        <v>575</v>
      </c>
    </row>
    <row r="148" spans="1:5" x14ac:dyDescent="0.35">
      <c r="A148" t="s">
        <v>278</v>
      </c>
      <c r="B148" s="12">
        <f>Iss</f>
        <v>9.9999999999999991E-6</v>
      </c>
      <c r="C148" t="s">
        <v>11</v>
      </c>
      <c r="E148" t="s">
        <v>280</v>
      </c>
    </row>
    <row r="149" spans="1:5" x14ac:dyDescent="0.35">
      <c r="A149" t="s">
        <v>281</v>
      </c>
      <c r="B149" s="1">
        <f>Iss*VOUT*Cout/(Vref*IOUT)</f>
        <v>2.3999999999999996E-9</v>
      </c>
      <c r="C149" t="s">
        <v>158</v>
      </c>
      <c r="E149" t="s">
        <v>282</v>
      </c>
    </row>
    <row r="150" spans="1:5" x14ac:dyDescent="0.35">
      <c r="A150" t="s">
        <v>283</v>
      </c>
      <c r="B150" s="3">
        <f>'Design Converter'!H48*(10^-3)</f>
        <v>0.02</v>
      </c>
      <c r="C150" t="s">
        <v>52</v>
      </c>
      <c r="E150" t="s">
        <v>284</v>
      </c>
    </row>
    <row r="151" spans="1:5" x14ac:dyDescent="0.35">
      <c r="A151" t="s">
        <v>287</v>
      </c>
      <c r="B151" s="1">
        <f>(tss*Iss)/(Vref*(1-(VIN_min/VOUT)))</f>
        <v>4.3636363636363631E-7</v>
      </c>
      <c r="C151" t="s">
        <v>158</v>
      </c>
      <c r="E151" t="s">
        <v>288</v>
      </c>
    </row>
    <row r="153" spans="1:5" x14ac:dyDescent="0.35">
      <c r="A153" s="29" t="s">
        <v>576</v>
      </c>
    </row>
    <row r="154" spans="1:5" x14ac:dyDescent="0.35">
      <c r="A154" t="s">
        <v>293</v>
      </c>
      <c r="B154" s="3">
        <f>'Design Converter'!H52</f>
        <v>5.8</v>
      </c>
      <c r="C154" t="s">
        <v>10</v>
      </c>
      <c r="E154" t="s">
        <v>295</v>
      </c>
    </row>
    <row r="155" spans="1:5" x14ac:dyDescent="0.35">
      <c r="A155" t="s">
        <v>294</v>
      </c>
      <c r="B155" s="3">
        <f>'Design Converter'!H53</f>
        <v>5.4</v>
      </c>
      <c r="C155" t="s">
        <v>10</v>
      </c>
      <c r="E155" t="s">
        <v>296</v>
      </c>
    </row>
    <row r="156" spans="1:5" x14ac:dyDescent="0.35">
      <c r="A156" t="s">
        <v>298</v>
      </c>
      <c r="B156" s="12">
        <f>UV_rise</f>
        <v>1.5</v>
      </c>
      <c r="C156" t="s">
        <v>10</v>
      </c>
      <c r="E156" t="s">
        <v>303</v>
      </c>
    </row>
    <row r="157" spans="1:5" x14ac:dyDescent="0.35">
      <c r="A157" t="s">
        <v>299</v>
      </c>
      <c r="B157" s="12">
        <f>UV_fall</f>
        <v>1.45</v>
      </c>
      <c r="C157" t="s">
        <v>10</v>
      </c>
      <c r="E157" t="s">
        <v>302</v>
      </c>
    </row>
    <row r="158" spans="1:5" x14ac:dyDescent="0.35">
      <c r="A158" t="s">
        <v>304</v>
      </c>
      <c r="B158" s="12">
        <f>UV_I_hyst</f>
        <v>4.9999999999999996E-6</v>
      </c>
      <c r="C158" t="s">
        <v>11</v>
      </c>
      <c r="E158" t="s">
        <v>306</v>
      </c>
    </row>
    <row r="159" spans="1:5" x14ac:dyDescent="0.35">
      <c r="A159" t="s">
        <v>307</v>
      </c>
      <c r="B159" s="18">
        <f>((Vuvlo_on*0.967)-Vuvlo_off)/(UV_I_hyst)</f>
        <v>41719.999999999942</v>
      </c>
      <c r="C159" s="2" t="s">
        <v>36</v>
      </c>
      <c r="E159" t="s">
        <v>405</v>
      </c>
    </row>
    <row r="160" spans="1:5" x14ac:dyDescent="0.35">
      <c r="A160" t="s">
        <v>307</v>
      </c>
      <c r="B160" s="3">
        <f>'Design Converter'!H55*1000</f>
        <v>22000</v>
      </c>
      <c r="C160" s="2" t="s">
        <v>36</v>
      </c>
      <c r="E160" t="s">
        <v>406</v>
      </c>
    </row>
    <row r="161" spans="1:5" x14ac:dyDescent="0.35">
      <c r="A161" t="s">
        <v>308</v>
      </c>
      <c r="B161" s="18">
        <f>UV_rise*Ruvlo_top/(Vuvlo_on-UV_rise)</f>
        <v>7674.4186046511632</v>
      </c>
      <c r="C161" s="2" t="s">
        <v>36</v>
      </c>
      <c r="E161" t="s">
        <v>407</v>
      </c>
    </row>
    <row r="162" spans="1:5" x14ac:dyDescent="0.35">
      <c r="A162" t="s">
        <v>309</v>
      </c>
      <c r="B162" s="17">
        <f>UV_rise*(Ruvlo_top+Ruvlo_bottom_calc)/Ruvlo_bottom_calc</f>
        <v>5.8</v>
      </c>
      <c r="E162" t="s">
        <v>311</v>
      </c>
    </row>
    <row r="163" spans="1:5" x14ac:dyDescent="0.35">
      <c r="A163" t="s">
        <v>310</v>
      </c>
      <c r="B163" s="17">
        <f>Ruvlo_top*((UV_fall/Ruvlo_top)-(UV_I_hyst)+(UV_fall/Ruvlo_bottom_calc))</f>
        <v>5.4966666666666661</v>
      </c>
      <c r="E163" t="s">
        <v>312</v>
      </c>
    </row>
    <row r="166" spans="1:5" x14ac:dyDescent="0.35">
      <c r="A166" s="29" t="s">
        <v>577</v>
      </c>
    </row>
    <row r="167" spans="1:5" x14ac:dyDescent="0.35">
      <c r="A167" s="33" t="s">
        <v>194</v>
      </c>
      <c r="B167" s="3" t="str">
        <f>'Design Converter'!H59</f>
        <v>7V</v>
      </c>
      <c r="C167" t="s">
        <v>10</v>
      </c>
      <c r="E167" t="s">
        <v>236</v>
      </c>
    </row>
    <row r="168" spans="1:5" x14ac:dyDescent="0.35">
      <c r="A168" s="33"/>
    </row>
    <row r="169" spans="1:5" x14ac:dyDescent="0.35">
      <c r="A169" s="32" t="s">
        <v>251</v>
      </c>
    </row>
    <row r="170" spans="1:5" x14ac:dyDescent="0.35">
      <c r="A170" t="s">
        <v>186</v>
      </c>
      <c r="B170" s="3">
        <f>'Design Converter'!H62*(10^3)</f>
        <v>220000</v>
      </c>
      <c r="C170" s="2" t="s">
        <v>36</v>
      </c>
      <c r="E170" t="s">
        <v>237</v>
      </c>
    </row>
    <row r="171" spans="1:5" x14ac:dyDescent="0.35">
      <c r="A171" t="s">
        <v>241</v>
      </c>
      <c r="B171" s="18">
        <f>(RFBT*Vref)/(VOUT-Vref)</f>
        <v>20000</v>
      </c>
      <c r="C171" s="2" t="s">
        <v>36</v>
      </c>
      <c r="E171" t="s">
        <v>244</v>
      </c>
    </row>
    <row r="172" spans="1:5" x14ac:dyDescent="0.35">
      <c r="A172" t="s">
        <v>187</v>
      </c>
      <c r="B172" s="3">
        <f>'Design Converter'!H64*(10^3)</f>
        <v>20000</v>
      </c>
      <c r="C172" s="2" t="s">
        <v>36</v>
      </c>
      <c r="E172" t="s">
        <v>245</v>
      </c>
    </row>
    <row r="173" spans="1:5" x14ac:dyDescent="0.35">
      <c r="A173" t="s">
        <v>246</v>
      </c>
      <c r="B173" s="1">
        <f>VOUT/(RFBB+RFBT)</f>
        <v>5.0000000000000002E-5</v>
      </c>
      <c r="C173" s="2" t="s">
        <v>11</v>
      </c>
      <c r="E173" t="s">
        <v>247</v>
      </c>
    </row>
    <row r="174" spans="1:5" x14ac:dyDescent="0.35">
      <c r="C174" s="2"/>
    </row>
    <row r="175" spans="1:5" x14ac:dyDescent="0.35">
      <c r="A175" s="32" t="s">
        <v>252</v>
      </c>
      <c r="E175" t="s">
        <v>395</v>
      </c>
    </row>
    <row r="177" spans="1:5" x14ac:dyDescent="0.35">
      <c r="A177" s="22" t="s">
        <v>469</v>
      </c>
    </row>
    <row r="178" spans="1:5" x14ac:dyDescent="0.35">
      <c r="A178" t="s">
        <v>409</v>
      </c>
      <c r="B178">
        <f>(Gcomp*(VOUT/IOUT)*(1-Dc_VIN_min))/(R_cs*Acs*(1+Dc_VIN_min))</f>
        <v>15.450819672131145</v>
      </c>
    </row>
    <row r="180" spans="1:5" x14ac:dyDescent="0.35">
      <c r="A180" t="s">
        <v>410</v>
      </c>
      <c r="B180" s="12">
        <f>(1+Dc_VIN_min)/(Cout*(VOUT/IOUT))</f>
        <v>6869.3693693693704</v>
      </c>
      <c r="C180" t="s">
        <v>392</v>
      </c>
      <c r="E180" t="s">
        <v>391</v>
      </c>
    </row>
    <row r="181" spans="1:5" x14ac:dyDescent="0.35">
      <c r="A181" t="s">
        <v>411</v>
      </c>
      <c r="B181" s="1">
        <f>B180/(2*PI())</f>
        <v>1093.294091059191</v>
      </c>
      <c r="C181" t="s">
        <v>67</v>
      </c>
      <c r="E181" t="s">
        <v>248</v>
      </c>
    </row>
    <row r="183" spans="1:5" x14ac:dyDescent="0.35">
      <c r="A183" t="s">
        <v>412</v>
      </c>
      <c r="B183" s="12">
        <f>1/(Cout*Resr)</f>
        <v>6250000.0000000009</v>
      </c>
      <c r="C183" t="s">
        <v>393</v>
      </c>
      <c r="E183" t="s">
        <v>394</v>
      </c>
    </row>
    <row r="184" spans="1:5" x14ac:dyDescent="0.35">
      <c r="A184" t="s">
        <v>413</v>
      </c>
      <c r="B184" s="1">
        <f>B183/(2*PI())</f>
        <v>994718.39432434598</v>
      </c>
      <c r="C184" t="s">
        <v>67</v>
      </c>
      <c r="E184" t="s">
        <v>250</v>
      </c>
    </row>
    <row r="186" spans="1:5" x14ac:dyDescent="0.35">
      <c r="A186" t="s">
        <v>414</v>
      </c>
      <c r="B186" s="12">
        <f>((VOUT/IOUT)*((1-Dc_VIN_min)^2))/(Lm*Dc_VIN_min)</f>
        <v>422922.92292292276</v>
      </c>
      <c r="E186" t="s">
        <v>390</v>
      </c>
    </row>
    <row r="187" spans="1:5" x14ac:dyDescent="0.35">
      <c r="A187" t="s">
        <v>415</v>
      </c>
      <c r="B187" s="18">
        <f>B186/(2*PI())</f>
        <v>67310.273730055807</v>
      </c>
      <c r="C187" t="s">
        <v>67</v>
      </c>
      <c r="E187" t="s">
        <v>249</v>
      </c>
    </row>
    <row r="188" spans="1:5" x14ac:dyDescent="0.35">
      <c r="B188">
        <f>Fsw/10</f>
        <v>215000</v>
      </c>
      <c r="C188" t="s">
        <v>67</v>
      </c>
      <c r="E188" t="s">
        <v>256</v>
      </c>
    </row>
    <row r="189" spans="1:5" x14ac:dyDescent="0.35">
      <c r="B189">
        <f>IF((B187/5)&lt;(B188),0,1)</f>
        <v>0</v>
      </c>
      <c r="E189" t="s">
        <v>578</v>
      </c>
    </row>
    <row r="191" spans="1:5" x14ac:dyDescent="0.35">
      <c r="A191" t="s">
        <v>416</v>
      </c>
      <c r="B191" s="1">
        <f>(Isl*(Rsl_int+R_sl)*Fsw)</f>
        <v>85978.5</v>
      </c>
      <c r="C191" t="s">
        <v>147</v>
      </c>
      <c r="E191" t="s">
        <v>210</v>
      </c>
    </row>
    <row r="192" spans="1:5" x14ac:dyDescent="0.35">
      <c r="A192" t="s">
        <v>417</v>
      </c>
      <c r="B192" s="1">
        <f>(R_cs*VIN_min*Acs)/Lm</f>
        <v>28888.888888888891</v>
      </c>
      <c r="C192" t="s">
        <v>147</v>
      </c>
      <c r="E192" t="s">
        <v>211</v>
      </c>
    </row>
    <row r="193" spans="1:5" x14ac:dyDescent="0.35">
      <c r="B193" s="1"/>
    </row>
    <row r="194" spans="1:5" x14ac:dyDescent="0.35">
      <c r="A194" t="s">
        <v>418</v>
      </c>
      <c r="B194" s="1">
        <f>2*PI()*Fsw</f>
        <v>13508848.410436111</v>
      </c>
      <c r="C194" t="s">
        <v>213</v>
      </c>
    </row>
    <row r="195" spans="1:5" x14ac:dyDescent="0.35">
      <c r="A195" t="s">
        <v>419</v>
      </c>
      <c r="B195" s="1">
        <f>1/(PI()*(((1-Dc_VIN_min)*(1+(B191/B192)))-0.5))</f>
        <v>0.35484635323095681</v>
      </c>
    </row>
    <row r="196" spans="1:5" x14ac:dyDescent="0.35">
      <c r="E196">
        <f>fcross</f>
        <v>11000</v>
      </c>
    </row>
    <row r="198" spans="1:5" x14ac:dyDescent="0.35">
      <c r="A198" t="s">
        <v>489</v>
      </c>
      <c r="B198" s="17">
        <f>IF(B189=0,fz_rhp/6,Fsw/10)</f>
        <v>11218.378955009301</v>
      </c>
      <c r="C198" t="s">
        <v>67</v>
      </c>
      <c r="E198" t="s">
        <v>585</v>
      </c>
    </row>
    <row r="201" spans="1:5" x14ac:dyDescent="0.35">
      <c r="A201" t="s">
        <v>261</v>
      </c>
      <c r="B201" s="52">
        <f>SQRT(B181*fcross)</f>
        <v>3467.8862440470998</v>
      </c>
      <c r="C201" t="s">
        <v>67</v>
      </c>
      <c r="E201" t="s">
        <v>513</v>
      </c>
    </row>
    <row r="202" spans="1:5" x14ac:dyDescent="0.35">
      <c r="A202" t="s">
        <v>263</v>
      </c>
      <c r="B202" s="31">
        <f>fz_rhp</f>
        <v>67310.273730055807</v>
      </c>
      <c r="C202" t="s">
        <v>67</v>
      </c>
      <c r="E202" t="s">
        <v>429</v>
      </c>
    </row>
    <row r="203" spans="1:5" x14ac:dyDescent="0.35">
      <c r="A203" t="s">
        <v>254</v>
      </c>
      <c r="B203" s="3">
        <f>fcross</f>
        <v>11000</v>
      </c>
      <c r="C203" t="s">
        <v>67</v>
      </c>
      <c r="E203" t="s">
        <v>430</v>
      </c>
    </row>
    <row r="206" spans="1:5" x14ac:dyDescent="0.35">
      <c r="A206" t="s">
        <v>493</v>
      </c>
      <c r="B206" s="17">
        <f>(2*PI()*Acs*Cout*R_cs*VOUT*fcross)/(Gcomp*Vref*gm_ea*(1-Dc_VIN_min))</f>
        <v>3907.1079520761923</v>
      </c>
      <c r="C206" s="2" t="s">
        <v>36</v>
      </c>
      <c r="E206" t="s">
        <v>260</v>
      </c>
    </row>
    <row r="207" spans="1:5" x14ac:dyDescent="0.35">
      <c r="A207" t="s">
        <v>494</v>
      </c>
      <c r="B207" s="13">
        <f>1/(2*PI()*fz_ea_est*Rcomp_calc_CCM)</f>
        <v>1.1746267254793955E-8</v>
      </c>
      <c r="C207" s="2" t="s">
        <v>158</v>
      </c>
      <c r="E207" t="s">
        <v>487</v>
      </c>
    </row>
    <row r="208" spans="1:5" x14ac:dyDescent="0.35">
      <c r="A208" t="s">
        <v>495</v>
      </c>
      <c r="B208" s="190">
        <f>(IOUT*Lm)/(Rcomp_calc_CCM*((1-Dc_VIN_min)^2)*(VIN_min+VOUT))</f>
        <v>6.0517832381970711E-10</v>
      </c>
      <c r="C208" t="s">
        <v>158</v>
      </c>
      <c r="E208" t="s">
        <v>488</v>
      </c>
    </row>
    <row r="211" spans="1:5" x14ac:dyDescent="0.35">
      <c r="A211" s="22" t="s">
        <v>470</v>
      </c>
      <c r="E211" s="32" t="s">
        <v>580</v>
      </c>
    </row>
    <row r="213" spans="1:5" x14ac:dyDescent="0.35">
      <c r="A213" t="s">
        <v>476</v>
      </c>
      <c r="B213">
        <f>Fsw/((R_cs*Acs*(VIN_min/Lm))+((R_sl+Rsl_int)*Isl))</f>
        <v>74.42297390164407</v>
      </c>
      <c r="C213" t="s">
        <v>147</v>
      </c>
      <c r="E213" t="s">
        <v>500</v>
      </c>
    </row>
    <row r="214" spans="1:5" x14ac:dyDescent="0.35">
      <c r="A214" t="s">
        <v>475</v>
      </c>
      <c r="B214">
        <f>(B213*2*VOUT/Dc_VIN_min)*(((VOUT/VIN_min)-1)/((2*VOUT/VIN_min)-1))</f>
        <v>865.43286794197525</v>
      </c>
      <c r="C214" t="s">
        <v>147</v>
      </c>
    </row>
    <row r="215" spans="1:5" x14ac:dyDescent="0.35">
      <c r="A215" t="s">
        <v>477</v>
      </c>
      <c r="B215">
        <f>(IOUT*((2*VOUT)-VIN_min))/(Cout*VOUT*(VOUT-VIN_min))</f>
        <v>13257.575757575758</v>
      </c>
      <c r="C215" t="s">
        <v>392</v>
      </c>
    </row>
    <row r="216" spans="1:5" x14ac:dyDescent="0.35">
      <c r="B216">
        <f>B215/(2*PI())</f>
        <v>2110.0087152334609</v>
      </c>
      <c r="C216" t="s">
        <v>67</v>
      </c>
    </row>
    <row r="217" spans="1:5" x14ac:dyDescent="0.35">
      <c r="A217" t="s">
        <v>478</v>
      </c>
      <c r="B217">
        <f>1/(Cout*Resr)</f>
        <v>6250000.0000000009</v>
      </c>
      <c r="C217" t="s">
        <v>392</v>
      </c>
    </row>
    <row r="218" spans="1:5" x14ac:dyDescent="0.35">
      <c r="B218">
        <f>B217/(2*PI())</f>
        <v>994718.39432434598</v>
      </c>
      <c r="C218" t="s">
        <v>67</v>
      </c>
    </row>
    <row r="219" spans="1:5" x14ac:dyDescent="0.35">
      <c r="A219" t="s">
        <v>479</v>
      </c>
      <c r="B219">
        <f>2*Fsw/(Dc_VIN_min)</f>
        <v>6629166.666666666</v>
      </c>
      <c r="C219" t="s">
        <v>392</v>
      </c>
      <c r="E219" t="s">
        <v>499</v>
      </c>
    </row>
    <row r="220" spans="1:5" x14ac:dyDescent="0.35">
      <c r="B220">
        <f>B219/(2*PI())</f>
        <v>1055064.6435800227</v>
      </c>
      <c r="C220" t="s">
        <v>67</v>
      </c>
    </row>
    <row r="222" spans="1:5" x14ac:dyDescent="0.35">
      <c r="A222" t="s">
        <v>480</v>
      </c>
      <c r="B222">
        <f>2*Fsw/(2*PI()*Dc_VIN_min*5)</f>
        <v>211012.92871600454</v>
      </c>
      <c r="C222" t="s">
        <v>67</v>
      </c>
      <c r="E222" t="s">
        <v>482</v>
      </c>
    </row>
    <row r="223" spans="1:5" x14ac:dyDescent="0.35">
      <c r="B223">
        <f>20*LOG(Gcomp*B214*(B215/(2*PI())))</f>
        <v>108.45771272872577</v>
      </c>
      <c r="E223" t="s">
        <v>481</v>
      </c>
    </row>
    <row r="224" spans="1:5" x14ac:dyDescent="0.35">
      <c r="A224" t="s">
        <v>254</v>
      </c>
      <c r="B224" s="3">
        <f>fcross</f>
        <v>11000</v>
      </c>
      <c r="C224" t="s">
        <v>67</v>
      </c>
      <c r="E224" t="s">
        <v>486</v>
      </c>
    </row>
    <row r="227" spans="1:5" x14ac:dyDescent="0.35">
      <c r="A227" t="s">
        <v>485</v>
      </c>
      <c r="B227">
        <f>(2*PI()*VOUT*fcross)/(Gcomp*Vref*gm_ea*B215*B214)</f>
        <v>249.26327632556701</v>
      </c>
      <c r="C227" t="s">
        <v>490</v>
      </c>
      <c r="E227" t="s">
        <v>260</v>
      </c>
    </row>
    <row r="228" spans="1:5" x14ac:dyDescent="0.35">
      <c r="A228" t="s">
        <v>491</v>
      </c>
      <c r="B228">
        <f>1/(2*PI()*SQRT(fcross*(B215/(2*PI())))*B227)</f>
        <v>1.325327975763071E-7</v>
      </c>
      <c r="C228" t="s">
        <v>158</v>
      </c>
      <c r="E228" t="s">
        <v>487</v>
      </c>
    </row>
    <row r="229" spans="1:5" x14ac:dyDescent="0.35">
      <c r="A229" t="s">
        <v>492</v>
      </c>
      <c r="B229">
        <f>B228/((2*PI()*B228*B227*(B219/(2*PI())))-1)</f>
        <v>6.0795355215994575E-10</v>
      </c>
      <c r="C229" t="s">
        <v>158</v>
      </c>
      <c r="E229" t="s">
        <v>488</v>
      </c>
    </row>
    <row r="230" spans="1:5" ht="16.5" customHeight="1" x14ac:dyDescent="0.35"/>
    <row r="231" spans="1:5" ht="16.5" customHeight="1" x14ac:dyDescent="0.35">
      <c r="A231" s="175" t="s">
        <v>483</v>
      </c>
    </row>
    <row r="232" spans="1:5" x14ac:dyDescent="0.35">
      <c r="B232">
        <f>IF(B52=0,B222,B198)</f>
        <v>11218.378955009301</v>
      </c>
      <c r="C232" t="s">
        <v>67</v>
      </c>
      <c r="E232" t="s">
        <v>484</v>
      </c>
    </row>
    <row r="233" spans="1:5" x14ac:dyDescent="0.35">
      <c r="A233" t="s">
        <v>254</v>
      </c>
      <c r="B233" s="3">
        <f>'Design Converter'!H68*1000</f>
        <v>11000</v>
      </c>
      <c r="C233" t="s">
        <v>67</v>
      </c>
      <c r="E233" t="s">
        <v>255</v>
      </c>
    </row>
    <row r="235" spans="1:5" x14ac:dyDescent="0.35">
      <c r="A235" t="s">
        <v>259</v>
      </c>
      <c r="B235">
        <f>IF(B52=0,RCOMP_CALC_DCM,Rcomp_calc_CCM)</f>
        <v>3907.1079520761923</v>
      </c>
    </row>
    <row r="236" spans="1:5" x14ac:dyDescent="0.35">
      <c r="A236" t="s">
        <v>176</v>
      </c>
      <c r="B236" s="3">
        <f>'Design Converter'!H71*1000</f>
        <v>3900</v>
      </c>
      <c r="C236" s="2" t="s">
        <v>36</v>
      </c>
      <c r="E236" t="s">
        <v>183</v>
      </c>
    </row>
    <row r="237" spans="1:5" x14ac:dyDescent="0.35">
      <c r="A237" t="s">
        <v>262</v>
      </c>
      <c r="B237">
        <f>IF(B52=0,CCOMP_CALC_DCM,CCOMP_calc_CCM)</f>
        <v>1.1746267254793955E-8</v>
      </c>
    </row>
    <row r="238" spans="1:5" x14ac:dyDescent="0.35">
      <c r="A238" t="s">
        <v>181</v>
      </c>
      <c r="B238" s="3">
        <f>'Design Converter'!H72*(10^-9)</f>
        <v>1.2000000000000002E-8</v>
      </c>
      <c r="C238" t="s">
        <v>158</v>
      </c>
      <c r="E238" t="s">
        <v>184</v>
      </c>
    </row>
    <row r="239" spans="1:5" x14ac:dyDescent="0.35">
      <c r="A239" t="s">
        <v>496</v>
      </c>
      <c r="B239">
        <f>IF(B52=0,CHF_CALC_DCM,CHF_CALC_CCM)</f>
        <v>6.0517832381970711E-10</v>
      </c>
    </row>
    <row r="240" spans="1:5" x14ac:dyDescent="0.35">
      <c r="A240" t="s">
        <v>182</v>
      </c>
      <c r="B240" s="3">
        <f>'Design Converter'!H73*(10^-12)</f>
        <v>6.2000000000000003E-10</v>
      </c>
      <c r="C240" t="s">
        <v>158</v>
      </c>
      <c r="E240" t="s">
        <v>185</v>
      </c>
    </row>
    <row r="242" spans="1:5" x14ac:dyDescent="0.35">
      <c r="A242" s="29" t="s">
        <v>320</v>
      </c>
    </row>
    <row r="243" spans="1:5" x14ac:dyDescent="0.35">
      <c r="A243" s="29" t="s">
        <v>339</v>
      </c>
    </row>
    <row r="244" spans="1:5" x14ac:dyDescent="0.35">
      <c r="A244" s="86" t="s">
        <v>399</v>
      </c>
      <c r="E244" t="s">
        <v>400</v>
      </c>
    </row>
    <row r="245" spans="1:5" x14ac:dyDescent="0.35">
      <c r="A245" t="s">
        <v>321</v>
      </c>
      <c r="B245">
        <f>'Design Converter'!H88/1000</f>
        <v>0.7</v>
      </c>
      <c r="C245" t="s">
        <v>10</v>
      </c>
      <c r="E245" t="s">
        <v>322</v>
      </c>
    </row>
    <row r="246" spans="1:5" x14ac:dyDescent="0.35">
      <c r="A246" t="s">
        <v>352</v>
      </c>
      <c r="B246">
        <f>'Design Converter'!H89*(10^-9)</f>
        <v>1E-8</v>
      </c>
      <c r="C246" t="s">
        <v>350</v>
      </c>
      <c r="E246" t="s">
        <v>351</v>
      </c>
    </row>
    <row r="249" spans="1:5" x14ac:dyDescent="0.35">
      <c r="A249" s="29" t="s">
        <v>342</v>
      </c>
    </row>
    <row r="250" spans="1:5" ht="15.5" x14ac:dyDescent="0.4">
      <c r="A250" t="s">
        <v>353</v>
      </c>
      <c r="B250" s="3">
        <f>'Design Converter'!H78*(10^-3)</f>
        <v>4.5000000000000005E-3</v>
      </c>
      <c r="C250" s="2" t="s">
        <v>36</v>
      </c>
      <c r="E250" s="78" t="s">
        <v>328</v>
      </c>
    </row>
    <row r="251" spans="1:5" ht="15.5" x14ac:dyDescent="0.4">
      <c r="A251" t="s">
        <v>343</v>
      </c>
      <c r="B251" s="3">
        <f>'Design Converter'!H79*(10^-9)</f>
        <v>1.7E-8</v>
      </c>
      <c r="C251" t="s">
        <v>158</v>
      </c>
      <c r="E251" s="78" t="s">
        <v>329</v>
      </c>
    </row>
    <row r="252" spans="1:5" ht="15.5" x14ac:dyDescent="0.4">
      <c r="A252" t="s">
        <v>345</v>
      </c>
      <c r="B252" s="3">
        <f>'Design Converter'!H80*(10^-9)</f>
        <v>2.7000000000000002E-9</v>
      </c>
      <c r="C252" t="s">
        <v>158</v>
      </c>
      <c r="E252" s="78" t="s">
        <v>330</v>
      </c>
    </row>
    <row r="253" spans="1:5" ht="15.5" x14ac:dyDescent="0.4">
      <c r="A253" t="s">
        <v>344</v>
      </c>
      <c r="B253" s="3">
        <f>'Design Converter'!H81*(10^-9)</f>
        <v>3.6000000000000004E-9</v>
      </c>
      <c r="C253" t="s">
        <v>158</v>
      </c>
      <c r="E253" s="78" t="s">
        <v>331</v>
      </c>
    </row>
    <row r="254" spans="1:5" ht="15.5" x14ac:dyDescent="0.4">
      <c r="A254" t="s">
        <v>346</v>
      </c>
      <c r="B254" s="3">
        <f>'Design Converter'!H82</f>
        <v>1.5</v>
      </c>
      <c r="C254" s="2" t="s">
        <v>36</v>
      </c>
      <c r="E254" s="78" t="s">
        <v>332</v>
      </c>
    </row>
    <row r="255" spans="1:5" x14ac:dyDescent="0.35">
      <c r="A255" t="s">
        <v>354</v>
      </c>
      <c r="B255" s="12">
        <v>1.5</v>
      </c>
      <c r="C255" s="2"/>
      <c r="E255" s="78" t="s">
        <v>355</v>
      </c>
    </row>
    <row r="256" spans="1:5" ht="15.5" x14ac:dyDescent="0.4">
      <c r="A256" t="s">
        <v>347</v>
      </c>
      <c r="B256" s="3">
        <f>'Design Converter'!H83</f>
        <v>50</v>
      </c>
      <c r="C256" s="2" t="s">
        <v>338</v>
      </c>
      <c r="E256" s="78" t="s">
        <v>333</v>
      </c>
    </row>
    <row r="257" spans="1:8" ht="15.5" x14ac:dyDescent="0.4">
      <c r="A257" t="s">
        <v>348</v>
      </c>
      <c r="B257" s="3">
        <f>'Design Converter'!H84</f>
        <v>1.6</v>
      </c>
      <c r="C257" s="2" t="s">
        <v>10</v>
      </c>
      <c r="E257" s="78" t="s">
        <v>334</v>
      </c>
    </row>
    <row r="258" spans="1:8" x14ac:dyDescent="0.35">
      <c r="A258" t="s">
        <v>360</v>
      </c>
      <c r="B258" s="12">
        <f>Vcc</f>
        <v>6.75</v>
      </c>
      <c r="C258" s="2" t="s">
        <v>10</v>
      </c>
      <c r="E258" s="78" t="s">
        <v>364</v>
      </c>
    </row>
    <row r="259" spans="1:8" x14ac:dyDescent="0.35">
      <c r="C259" s="2"/>
      <c r="E259" s="78"/>
    </row>
    <row r="260" spans="1:8" x14ac:dyDescent="0.35">
      <c r="C260" s="2"/>
      <c r="E260" s="78"/>
    </row>
    <row r="261" spans="1:8" x14ac:dyDescent="0.35">
      <c r="A261" t="s">
        <v>356</v>
      </c>
      <c r="B261" s="26">
        <f>Vth+((IOUT+(VOUT*IOUT/VIN_min))/gfs)</f>
        <v>1.713846153846154</v>
      </c>
      <c r="C261" s="2" t="s">
        <v>10</v>
      </c>
      <c r="E261" s="78" t="s">
        <v>357</v>
      </c>
    </row>
    <row r="262" spans="1:8" x14ac:dyDescent="0.35">
      <c r="A262" t="s">
        <v>365</v>
      </c>
      <c r="B262" s="1">
        <f>(Qgd+(Qgs/2))*((Rgate+B255)/(Vcc-B261))</f>
        <v>2.6806170765235985E-9</v>
      </c>
      <c r="C262" s="2" t="s">
        <v>52</v>
      </c>
      <c r="E262" s="78" t="s">
        <v>358</v>
      </c>
    </row>
    <row r="263" spans="1:8" ht="15" thickBot="1" x14ac:dyDescent="0.4">
      <c r="A263" t="s">
        <v>366</v>
      </c>
      <c r="B263" s="24">
        <f>(Qgd+(Qgs/2))*((B255+Rgate)/B261)</f>
        <v>7.877019748653501E-9</v>
      </c>
      <c r="C263" t="s">
        <v>52</v>
      </c>
      <c r="E263" s="79" t="s">
        <v>359</v>
      </c>
      <c r="H263" t="s">
        <v>581</v>
      </c>
    </row>
  </sheetData>
  <mergeCells count="2">
    <mergeCell ref="A1:J1"/>
    <mergeCell ref="E5:H5"/>
  </mergeCells>
  <pageMargins left="0.7" right="0.7" top="0.75" bottom="0.75" header="0.3" footer="0.3"/>
  <pageSetup orientation="portrait" r:id="rId1"/>
  <ignoredErrors>
    <ignoredError sqref="B217 B219"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T158"/>
  <sheetViews>
    <sheetView topLeftCell="I1" zoomScale="85" zoomScaleNormal="85" workbookViewId="0">
      <pane ySplit="6" topLeftCell="A100" activePane="bottomLeft" state="frozen"/>
      <selection activeCell="R1" sqref="R1"/>
      <selection pane="bottomLeft" activeCell="AU42" sqref="AU42"/>
    </sheetView>
  </sheetViews>
  <sheetFormatPr defaultRowHeight="14.5" x14ac:dyDescent="0.35"/>
  <cols>
    <col min="10" max="10" width="10" bestFit="1" customWidth="1"/>
    <col min="18" max="18" width="8.81640625"/>
    <col min="21" max="21" width="8.81640625"/>
    <col min="24" max="24" width="8.81640625"/>
    <col min="25" max="25" width="12" bestFit="1" customWidth="1"/>
    <col min="28" max="28" width="8.81640625"/>
    <col min="30" max="30" width="8.81640625"/>
    <col min="35" max="35" width="8.81640625"/>
    <col min="39" max="39" width="11" bestFit="1" customWidth="1"/>
    <col min="42" max="43" width="8.81640625"/>
  </cols>
  <sheetData>
    <row r="1" spans="1:46" ht="27.5" x14ac:dyDescent="0.65">
      <c r="A1" s="191" t="s">
        <v>15</v>
      </c>
      <c r="B1" s="191"/>
      <c r="C1" s="191"/>
      <c r="D1" s="191"/>
      <c r="E1" s="191"/>
      <c r="F1" s="191"/>
      <c r="G1" s="191"/>
      <c r="H1" s="191"/>
      <c r="I1" s="191"/>
      <c r="J1" s="191"/>
      <c r="K1" s="191"/>
      <c r="L1" s="191"/>
      <c r="M1" s="191"/>
    </row>
    <row r="2" spans="1:46" ht="14.65" x14ac:dyDescent="0.4">
      <c r="Y2" s="199" t="s">
        <v>586</v>
      </c>
      <c r="Z2" s="199"/>
      <c r="AA2" s="199"/>
      <c r="AB2" s="199"/>
      <c r="AC2" s="199"/>
      <c r="AD2" s="199"/>
    </row>
    <row r="4" spans="1:46" ht="15.75" thickBot="1" x14ac:dyDescent="0.3">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row>
    <row r="5" spans="1:46" ht="30" x14ac:dyDescent="0.25">
      <c r="R5" s="196" t="s">
        <v>313</v>
      </c>
      <c r="S5" s="197"/>
      <c r="T5" s="197"/>
      <c r="U5" s="198"/>
      <c r="V5" s="196" t="s">
        <v>314</v>
      </c>
      <c r="W5" s="197"/>
      <c r="X5" s="198"/>
      <c r="Y5" s="196" t="s">
        <v>587</v>
      </c>
      <c r="Z5" s="197"/>
      <c r="AA5" s="197"/>
      <c r="AB5" s="197"/>
      <c r="AC5" s="197"/>
      <c r="AD5" s="198"/>
      <c r="AE5" s="196" t="s">
        <v>385</v>
      </c>
      <c r="AF5" s="197"/>
      <c r="AG5" s="197"/>
      <c r="AH5" s="197"/>
      <c r="AI5" s="198"/>
      <c r="AJ5" s="196" t="s">
        <v>386</v>
      </c>
      <c r="AK5" s="197"/>
      <c r="AL5" s="197"/>
      <c r="AM5" s="197"/>
      <c r="AN5" s="198"/>
      <c r="AO5" s="193" t="s">
        <v>382</v>
      </c>
      <c r="AP5" s="194"/>
      <c r="AQ5" s="195"/>
      <c r="AR5" s="83" t="s">
        <v>375</v>
      </c>
      <c r="AS5" s="84"/>
      <c r="AT5" s="85"/>
    </row>
    <row r="6" spans="1:46" ht="17.149999999999999" x14ac:dyDescent="0.55000000000000004">
      <c r="R6" s="73" t="s">
        <v>31</v>
      </c>
      <c r="S6" s="72" t="s">
        <v>33</v>
      </c>
      <c r="T6" s="72" t="s">
        <v>272</v>
      </c>
      <c r="U6" s="74" t="s">
        <v>275</v>
      </c>
      <c r="V6" s="73" t="s">
        <v>273</v>
      </c>
      <c r="W6" s="72" t="s">
        <v>274</v>
      </c>
      <c r="X6" s="74" t="s">
        <v>318</v>
      </c>
      <c r="Y6" s="73" t="s">
        <v>315</v>
      </c>
      <c r="Z6" s="72" t="s">
        <v>317</v>
      </c>
      <c r="AA6" s="72" t="s">
        <v>316</v>
      </c>
      <c r="AB6" s="80" t="s">
        <v>324</v>
      </c>
      <c r="AC6" s="80" t="s">
        <v>325</v>
      </c>
      <c r="AD6" s="82" t="s">
        <v>373</v>
      </c>
      <c r="AE6" s="73" t="s">
        <v>367</v>
      </c>
      <c r="AF6" s="72" t="s">
        <v>368</v>
      </c>
      <c r="AG6" s="80" t="s">
        <v>370</v>
      </c>
      <c r="AH6" s="80" t="s">
        <v>369</v>
      </c>
      <c r="AI6" s="82" t="s">
        <v>371</v>
      </c>
      <c r="AJ6" s="73" t="s">
        <v>323</v>
      </c>
      <c r="AK6" s="72" t="s">
        <v>319</v>
      </c>
      <c r="AL6" s="72" t="s">
        <v>326</v>
      </c>
      <c r="AM6" s="72" t="s">
        <v>327</v>
      </c>
      <c r="AN6" s="74" t="s">
        <v>372</v>
      </c>
      <c r="AO6" s="73" t="s">
        <v>374</v>
      </c>
      <c r="AP6" s="72" t="s">
        <v>377</v>
      </c>
      <c r="AQ6" s="74" t="s">
        <v>378</v>
      </c>
      <c r="AR6" s="73" t="s">
        <v>376</v>
      </c>
      <c r="AS6" s="72" t="s">
        <v>384</v>
      </c>
      <c r="AT6" s="74" t="s">
        <v>383</v>
      </c>
    </row>
    <row r="7" spans="1:46" ht="14.65" x14ac:dyDescent="0.4">
      <c r="Q7">
        <v>0</v>
      </c>
      <c r="R7" s="73">
        <f t="shared" ref="R7:R70" si="0">VOUT</f>
        <v>12</v>
      </c>
      <c r="S7" s="72">
        <f t="shared" ref="S7:S38" si="1">Q7*$O$12</f>
        <v>0</v>
      </c>
      <c r="T7" s="72">
        <f t="shared" ref="T7:T70" si="2">VIN_var</f>
        <v>7</v>
      </c>
      <c r="U7" s="74">
        <f t="shared" ref="U7:U38" si="3">(R7*S7)/(T7*EFF_est)</f>
        <v>0</v>
      </c>
      <c r="V7" s="73">
        <f t="shared" ref="V7:V38" si="4">IF(S7&lt;((T7^2)*R7)/(2*Fsw*Lm*((T7+R7)^2)),1,2)</f>
        <v>1</v>
      </c>
      <c r="W7" s="72">
        <f t="shared" ref="W7:W38" si="5">CHOOSE(V7,SQRT(2*Lm*R7*S7*Fsw)/T7,R7/(T7+R7))</f>
        <v>0</v>
      </c>
      <c r="X7" s="74">
        <f t="shared" ref="X7:X38" si="6">CHOOSE(V7,(Lm*Z7*Fsw)/(R7),1-W7)</f>
        <v>0</v>
      </c>
      <c r="Y7" s="73">
        <f t="shared" ref="Y7" si="7">(T7*W7)/(Lm*Fsw)</f>
        <v>0</v>
      </c>
      <c r="Z7" s="72">
        <f t="shared" ref="Z7:Z18" si="8">U7+S7+(Y7)</f>
        <v>0</v>
      </c>
      <c r="AA7" s="72">
        <f>CHOOSE(V7,Z7*SQRT((W7+X7)/3),SQRT((U7^2)+((Y7^2)/12)))</f>
        <v>0</v>
      </c>
      <c r="AB7" s="72">
        <v>0</v>
      </c>
      <c r="AC7" s="72">
        <f t="shared" ref="AC7" si="9">(AA7^2)*Rdcr</f>
        <v>0</v>
      </c>
      <c r="AD7" s="74">
        <f>AB7+AC7</f>
        <v>0</v>
      </c>
      <c r="AE7" s="73">
        <f>U7*S7*W7</f>
        <v>0</v>
      </c>
      <c r="AF7" s="72">
        <f>AA7</f>
        <v>0</v>
      </c>
      <c r="AG7" s="72">
        <f t="shared" ref="AG7:AG38" si="10">(AF7^2)*RDS_on</f>
        <v>0</v>
      </c>
      <c r="AH7" s="72">
        <f t="shared" ref="AH7:AH38" si="11">(((R7+T7)*(U7+S7))/2)*Fsw*(tr_sw+tf_sw)</f>
        <v>0</v>
      </c>
      <c r="AI7" s="74">
        <f>AG7+AH7</f>
        <v>0</v>
      </c>
      <c r="AJ7" s="73">
        <f>S7</f>
        <v>0</v>
      </c>
      <c r="AK7" s="72">
        <f t="shared" ref="AK7" si="12">CHOOSE(V7,Z7*SQRT(X7/3),SQRT(X7*((Z7^2)+((Y7^2)/3)-(Y7*Z7))))</f>
        <v>0</v>
      </c>
      <c r="AL7" s="72">
        <f t="shared" ref="AL7" si="13">S7*Vd_rect</f>
        <v>0</v>
      </c>
      <c r="AM7" s="72">
        <f t="shared" ref="AM7:AM38" si="14">(R7+T7+Vd_rect)*Qrr*Fsw</f>
        <v>0.42354999999999998</v>
      </c>
      <c r="AN7" s="74">
        <f>AL7+AM7</f>
        <v>0.42354999999999998</v>
      </c>
      <c r="AO7" s="73">
        <f t="shared" ref="AO7:AO38" si="15">(AF7^2)*R_cs</f>
        <v>0</v>
      </c>
      <c r="AP7" s="72">
        <f t="shared" ref="AP7:AP70" si="16">Qg_tot*Vcc*Fsw</f>
        <v>0.2467125</v>
      </c>
      <c r="AQ7" s="74">
        <f t="shared" ref="AQ7" si="17">IQ*T7</f>
        <v>3.15E-3</v>
      </c>
      <c r="AR7" s="73">
        <f>AO7+AN7+AI7+AP7+AQ7</f>
        <v>0.67341249999999997</v>
      </c>
      <c r="AS7" s="72">
        <f>R7*S7</f>
        <v>0</v>
      </c>
      <c r="AT7" s="74">
        <f>(AS7/(AS7+AR7))*100</f>
        <v>0</v>
      </c>
    </row>
    <row r="8" spans="1:46" ht="14.65" x14ac:dyDescent="0.4">
      <c r="M8">
        <f>Fsw</f>
        <v>2150000</v>
      </c>
      <c r="Q8">
        <v>1</v>
      </c>
      <c r="R8" s="73">
        <f t="shared" si="0"/>
        <v>12</v>
      </c>
      <c r="S8" s="72">
        <f t="shared" si="1"/>
        <v>1.3333333333333334E-2</v>
      </c>
      <c r="T8" s="72">
        <f t="shared" si="2"/>
        <v>7</v>
      </c>
      <c r="U8" s="74">
        <f t="shared" si="3"/>
        <v>2.2857142857142857E-2</v>
      </c>
      <c r="V8" s="73">
        <f t="shared" si="4"/>
        <v>1</v>
      </c>
      <c r="W8" s="72">
        <f t="shared" si="5"/>
        <v>0.19470542899886653</v>
      </c>
      <c r="X8" s="74">
        <f t="shared" si="6"/>
        <v>0.13108530977314833</v>
      </c>
      <c r="Y8" s="73">
        <f t="shared" ref="Y8:Y71" si="18">(T8*W8)/(Lm*Fsw)</f>
        <v>0.23478690835349969</v>
      </c>
      <c r="Z8" s="72">
        <f t="shared" si="8"/>
        <v>0.27097738454397591</v>
      </c>
      <c r="AA8" s="72">
        <f t="shared" ref="AA8:AA71" si="19">CHOOSE(V8,Z8*SQRT((W8+X8)/3),SQRT((U8^2)+((Y8^2)/12)))</f>
        <v>8.9298011190365525E-2</v>
      </c>
      <c r="AB8" s="72">
        <v>0</v>
      </c>
      <c r="AC8" s="72">
        <f t="shared" ref="AC8:AC71" si="20">(AA8^2)*Rdcr</f>
        <v>7.9741348025546473E-5</v>
      </c>
      <c r="AD8" s="74">
        <f t="shared" ref="AD8:AD71" si="21">AB8+AC8</f>
        <v>7.9741348025546473E-5</v>
      </c>
      <c r="AE8" s="73">
        <f t="shared" ref="AE8:AE71" si="22">U8*S8*W8</f>
        <v>5.9338797409178374E-5</v>
      </c>
      <c r="AF8" s="72">
        <f t="shared" ref="AF8:AF71" si="23">AA8</f>
        <v>8.9298011190365525E-2</v>
      </c>
      <c r="AG8" s="72">
        <f t="shared" si="10"/>
        <v>3.5883606611495913E-5</v>
      </c>
      <c r="AH8" s="72">
        <f t="shared" si="11"/>
        <v>7.8041045922487657E-3</v>
      </c>
      <c r="AI8" s="74">
        <f t="shared" ref="AI8:AI71" si="24">AG8+AH8</f>
        <v>7.8399881988602624E-3</v>
      </c>
      <c r="AJ8" s="73">
        <f t="shared" ref="AJ8:AJ71" si="25">S8</f>
        <v>1.3333333333333334E-2</v>
      </c>
      <c r="AK8" s="72">
        <f t="shared" ref="AK8:AK71" si="26">CHOOSE(V8,Z8*SQRT(X8/3),SQRT(X8*((Z8^2)+((Y8^2)/3)-(Y8*Z8))))</f>
        <v>5.6643415368410298E-2</v>
      </c>
      <c r="AL8" s="72">
        <f t="shared" ref="AL8:AL71" si="27">S8*Vd_rect</f>
        <v>9.3333333333333341E-3</v>
      </c>
      <c r="AM8" s="72">
        <f t="shared" si="14"/>
        <v>0.42354999999999998</v>
      </c>
      <c r="AN8" s="74">
        <f t="shared" ref="AN8:AN71" si="28">AL8+AM8</f>
        <v>0.43288333333333334</v>
      </c>
      <c r="AO8" s="73">
        <f t="shared" si="15"/>
        <v>9.5689617630655765E-5</v>
      </c>
      <c r="AP8" s="72">
        <f t="shared" si="16"/>
        <v>0.2467125</v>
      </c>
      <c r="AQ8" s="74">
        <f t="shared" ref="AQ8:AQ71" si="29">IQ*T8</f>
        <v>3.15E-3</v>
      </c>
      <c r="AR8" s="73">
        <f t="shared" ref="AR8:AR71" si="30">AO8+AN8+AI8+AP8+AQ8</f>
        <v>0.69068151114982435</v>
      </c>
      <c r="AS8" s="72">
        <f t="shared" ref="AS8:AS71" si="31">R8*S8</f>
        <v>0.16</v>
      </c>
      <c r="AT8" s="74">
        <f t="shared" ref="AT8:AT71" si="32">(AS8/(AS8+AR8))*100</f>
        <v>18.808449214293592</v>
      </c>
    </row>
    <row r="9" spans="1:46" ht="14.65" x14ac:dyDescent="0.4">
      <c r="N9" s="72" t="s">
        <v>195</v>
      </c>
      <c r="O9" s="72">
        <f>VIN_var</f>
        <v>7</v>
      </c>
      <c r="P9" t="s">
        <v>10</v>
      </c>
      <c r="Q9">
        <v>2</v>
      </c>
      <c r="R9" s="73">
        <f t="shared" si="0"/>
        <v>12</v>
      </c>
      <c r="S9" s="72">
        <f t="shared" si="1"/>
        <v>2.6666666666666668E-2</v>
      </c>
      <c r="T9" s="72">
        <f t="shared" si="2"/>
        <v>7</v>
      </c>
      <c r="U9" s="74">
        <f t="shared" si="3"/>
        <v>4.5714285714285714E-2</v>
      </c>
      <c r="V9" s="73">
        <f t="shared" si="4"/>
        <v>1</v>
      </c>
      <c r="W9" s="72">
        <f t="shared" si="5"/>
        <v>0.27535505835786878</v>
      </c>
      <c r="X9" s="74">
        <f t="shared" si="6"/>
        <v>0.19563806975637585</v>
      </c>
      <c r="Y9" s="73">
        <f t="shared" si="18"/>
        <v>0.33203883006116824</v>
      </c>
      <c r="Z9" s="72">
        <f t="shared" si="8"/>
        <v>0.40441978244212062</v>
      </c>
      <c r="AA9" s="72">
        <f t="shared" si="19"/>
        <v>0.16024299342876025</v>
      </c>
      <c r="AB9" s="72">
        <v>0</v>
      </c>
      <c r="AC9" s="72">
        <f t="shared" si="20"/>
        <v>2.56778169430097E-4</v>
      </c>
      <c r="AD9" s="74">
        <f t="shared" si="21"/>
        <v>2.56778169430097E-4</v>
      </c>
      <c r="AE9" s="73">
        <f t="shared" si="22"/>
        <v>3.3567092828387814E-4</v>
      </c>
      <c r="AF9" s="72">
        <f t="shared" si="23"/>
        <v>0.16024299342876025</v>
      </c>
      <c r="AG9" s="72">
        <f t="shared" si="10"/>
        <v>1.1555017624354366E-4</v>
      </c>
      <c r="AH9" s="72">
        <f t="shared" si="11"/>
        <v>1.5608209184497531E-2</v>
      </c>
      <c r="AI9" s="74">
        <f t="shared" si="24"/>
        <v>1.5723759360741076E-2</v>
      </c>
      <c r="AJ9" s="73">
        <f t="shared" si="25"/>
        <v>2.6666666666666668E-2</v>
      </c>
      <c r="AK9" s="72">
        <f t="shared" si="26"/>
        <v>0.10327577162293462</v>
      </c>
      <c r="AL9" s="72">
        <f t="shared" si="27"/>
        <v>1.8666666666666668E-2</v>
      </c>
      <c r="AM9" s="72">
        <f t="shared" si="14"/>
        <v>0.42354999999999998</v>
      </c>
      <c r="AN9" s="74">
        <f t="shared" si="28"/>
        <v>0.44221666666666665</v>
      </c>
      <c r="AO9" s="73">
        <f t="shared" si="15"/>
        <v>3.0813380331611641E-4</v>
      </c>
      <c r="AP9" s="72">
        <f t="shared" si="16"/>
        <v>0.2467125</v>
      </c>
      <c r="AQ9" s="74">
        <f t="shared" si="29"/>
        <v>3.15E-3</v>
      </c>
      <c r="AR9" s="73">
        <f t="shared" si="30"/>
        <v>0.70811105983072387</v>
      </c>
      <c r="AS9" s="72">
        <f t="shared" si="31"/>
        <v>0.32</v>
      </c>
      <c r="AT9" s="74">
        <f t="shared" si="32"/>
        <v>31.125042079859277</v>
      </c>
    </row>
    <row r="10" spans="1:46" ht="14.65" x14ac:dyDescent="0.4">
      <c r="N10" s="72"/>
      <c r="O10" s="72"/>
      <c r="Q10">
        <v>3</v>
      </c>
      <c r="R10" s="73">
        <f t="shared" si="0"/>
        <v>12</v>
      </c>
      <c r="S10" s="72">
        <f t="shared" si="1"/>
        <v>0.04</v>
      </c>
      <c r="T10" s="72">
        <f t="shared" si="2"/>
        <v>7</v>
      </c>
      <c r="U10" s="74">
        <f t="shared" si="3"/>
        <v>6.8571428571428575E-2</v>
      </c>
      <c r="V10" s="73">
        <f t="shared" si="4"/>
        <v>1</v>
      </c>
      <c r="W10" s="72">
        <f t="shared" si="5"/>
        <v>0.33723969553553151</v>
      </c>
      <c r="X10" s="74">
        <f t="shared" si="6"/>
        <v>0.24924458430048857</v>
      </c>
      <c r="Y10" s="73">
        <f t="shared" si="18"/>
        <v>0.40666285422027915</v>
      </c>
      <c r="Z10" s="72">
        <f t="shared" si="8"/>
        <v>0.51523428279170769</v>
      </c>
      <c r="AA10" s="72">
        <f t="shared" si="19"/>
        <v>0.22780975292285122</v>
      </c>
      <c r="AB10" s="72">
        <v>0</v>
      </c>
      <c r="AC10" s="72">
        <f t="shared" si="20"/>
        <v>5.1897283526770518E-4</v>
      </c>
      <c r="AD10" s="74">
        <f t="shared" si="21"/>
        <v>5.1897283526770518E-4</v>
      </c>
      <c r="AE10" s="73">
        <f t="shared" si="22"/>
        <v>9.2500030775460082E-4</v>
      </c>
      <c r="AF10" s="72">
        <f t="shared" si="23"/>
        <v>0.22780975292285122</v>
      </c>
      <c r="AG10" s="72">
        <f t="shared" si="10"/>
        <v>2.3353777587046737E-4</v>
      </c>
      <c r="AH10" s="72">
        <f t="shared" si="11"/>
        <v>2.3412313776746303E-2</v>
      </c>
      <c r="AI10" s="74">
        <f t="shared" si="24"/>
        <v>2.3645851552616771E-2</v>
      </c>
      <c r="AJ10" s="73">
        <f t="shared" si="25"/>
        <v>0.04</v>
      </c>
      <c r="AK10" s="72">
        <f t="shared" si="26"/>
        <v>0.14851044192275828</v>
      </c>
      <c r="AL10" s="72">
        <f t="shared" si="27"/>
        <v>2.7999999999999997E-2</v>
      </c>
      <c r="AM10" s="72">
        <f t="shared" si="14"/>
        <v>0.42354999999999998</v>
      </c>
      <c r="AN10" s="74">
        <f t="shared" si="28"/>
        <v>0.45155000000000001</v>
      </c>
      <c r="AO10" s="73">
        <f t="shared" si="15"/>
        <v>6.2276740232124629E-4</v>
      </c>
      <c r="AP10" s="72">
        <f t="shared" si="16"/>
        <v>0.2467125</v>
      </c>
      <c r="AQ10" s="74">
        <f t="shared" si="29"/>
        <v>3.15E-3</v>
      </c>
      <c r="AR10" s="73">
        <f t="shared" si="30"/>
        <v>0.72568111895493803</v>
      </c>
      <c r="AS10" s="72">
        <f t="shared" si="31"/>
        <v>0.48</v>
      </c>
      <c r="AT10" s="74">
        <f t="shared" si="32"/>
        <v>39.811521674657641</v>
      </c>
    </row>
    <row r="11" spans="1:46" ht="14.65" x14ac:dyDescent="0.4">
      <c r="N11" s="72" t="s">
        <v>270</v>
      </c>
      <c r="O11" s="72">
        <v>150</v>
      </c>
      <c r="Q11">
        <v>4</v>
      </c>
      <c r="R11" s="73">
        <f t="shared" si="0"/>
        <v>12</v>
      </c>
      <c r="S11" s="72">
        <f t="shared" si="1"/>
        <v>5.3333333333333337E-2</v>
      </c>
      <c r="T11" s="72">
        <f t="shared" si="2"/>
        <v>7</v>
      </c>
      <c r="U11" s="74">
        <f t="shared" si="3"/>
        <v>9.1428571428571428E-2</v>
      </c>
      <c r="V11" s="73">
        <f t="shared" si="4"/>
        <v>1</v>
      </c>
      <c r="W11" s="72">
        <f t="shared" si="5"/>
        <v>0.38941085799773306</v>
      </c>
      <c r="X11" s="74">
        <f t="shared" si="6"/>
        <v>0.29718490526058239</v>
      </c>
      <c r="Y11" s="73">
        <f t="shared" si="18"/>
        <v>0.46957381670699938</v>
      </c>
      <c r="Z11" s="72">
        <f t="shared" si="8"/>
        <v>0.61433572146890414</v>
      </c>
      <c r="AA11" s="72">
        <f t="shared" si="19"/>
        <v>0.29389737087112505</v>
      </c>
      <c r="AB11" s="72">
        <v>0</v>
      </c>
      <c r="AC11" s="72">
        <f t="shared" si="20"/>
        <v>8.6375664604959634E-4</v>
      </c>
      <c r="AD11" s="74">
        <f t="shared" si="21"/>
        <v>8.6375664604959634E-4</v>
      </c>
      <c r="AE11" s="73">
        <f t="shared" si="22"/>
        <v>1.898841517093708E-3</v>
      </c>
      <c r="AF11" s="72">
        <f t="shared" si="23"/>
        <v>0.29389737087112505</v>
      </c>
      <c r="AG11" s="72">
        <f t="shared" si="10"/>
        <v>3.8869049072231838E-4</v>
      </c>
      <c r="AH11" s="72">
        <f t="shared" si="11"/>
        <v>3.1216418368995063E-2</v>
      </c>
      <c r="AI11" s="74">
        <f t="shared" si="24"/>
        <v>3.160510885971738E-2</v>
      </c>
      <c r="AJ11" s="73">
        <f t="shared" si="25"/>
        <v>5.3333333333333337E-2</v>
      </c>
      <c r="AK11" s="72">
        <f t="shared" si="26"/>
        <v>0.193356383620507</v>
      </c>
      <c r="AL11" s="72">
        <f t="shared" si="27"/>
        <v>3.7333333333333336E-2</v>
      </c>
      <c r="AM11" s="72">
        <f t="shared" si="14"/>
        <v>0.42354999999999998</v>
      </c>
      <c r="AN11" s="74">
        <f t="shared" si="28"/>
        <v>0.46088333333333331</v>
      </c>
      <c r="AO11" s="73">
        <f t="shared" si="15"/>
        <v>1.0365079752595156E-3</v>
      </c>
      <c r="AP11" s="72">
        <f t="shared" si="16"/>
        <v>0.2467125</v>
      </c>
      <c r="AQ11" s="74">
        <f t="shared" si="29"/>
        <v>3.15E-3</v>
      </c>
      <c r="AR11" s="73">
        <f t="shared" si="30"/>
        <v>0.7433874501683102</v>
      </c>
      <c r="AS11" s="72">
        <f t="shared" si="31"/>
        <v>0.64</v>
      </c>
      <c r="AT11" s="74">
        <f t="shared" si="32"/>
        <v>46.263250394684022</v>
      </c>
    </row>
    <row r="12" spans="1:46" ht="14.65" x14ac:dyDescent="0.4">
      <c r="N12" s="72" t="s">
        <v>271</v>
      </c>
      <c r="O12" s="72">
        <f>IOUT/(O11)</f>
        <v>1.3333333333333334E-2</v>
      </c>
      <c r="Q12">
        <v>5</v>
      </c>
      <c r="R12" s="73">
        <f t="shared" si="0"/>
        <v>12</v>
      </c>
      <c r="S12" s="72">
        <f t="shared" si="1"/>
        <v>6.6666666666666666E-2</v>
      </c>
      <c r="T12" s="72">
        <f t="shared" si="2"/>
        <v>7</v>
      </c>
      <c r="U12" s="74">
        <f t="shared" si="3"/>
        <v>0.1142857142857143</v>
      </c>
      <c r="V12" s="73">
        <f t="shared" si="4"/>
        <v>1</v>
      </c>
      <c r="W12" s="72">
        <f t="shared" si="5"/>
        <v>0.43537457482972436</v>
      </c>
      <c r="X12" s="74">
        <f t="shared" si="6"/>
        <v>0.34150421626972022</v>
      </c>
      <c r="Y12" s="73">
        <f t="shared" si="18"/>
        <v>0.52499948730543855</v>
      </c>
      <c r="Z12" s="72">
        <f t="shared" si="8"/>
        <v>0.70595186825781953</v>
      </c>
      <c r="AA12" s="72">
        <f t="shared" si="19"/>
        <v>0.35924530183348913</v>
      </c>
      <c r="AB12" s="72">
        <v>0</v>
      </c>
      <c r="AC12" s="72">
        <f t="shared" si="20"/>
        <v>1.2905718688943472E-3</v>
      </c>
      <c r="AD12" s="74">
        <f t="shared" si="21"/>
        <v>1.2905718688943472E-3</v>
      </c>
      <c r="AE12" s="73">
        <f t="shared" si="22"/>
        <v>3.3171396177502812E-3</v>
      </c>
      <c r="AF12" s="72">
        <f t="shared" si="23"/>
        <v>0.35924530183348913</v>
      </c>
      <c r="AG12" s="72">
        <f t="shared" si="10"/>
        <v>5.807573410024563E-4</v>
      </c>
      <c r="AH12" s="72">
        <f t="shared" si="11"/>
        <v>3.9020522961243836E-2</v>
      </c>
      <c r="AI12" s="74">
        <f t="shared" si="24"/>
        <v>3.9601280302246293E-2</v>
      </c>
      <c r="AJ12" s="73">
        <f t="shared" si="25"/>
        <v>6.6666666666666666E-2</v>
      </c>
      <c r="AK12" s="72">
        <f t="shared" si="26"/>
        <v>0.23818395343053855</v>
      </c>
      <c r="AL12" s="72">
        <f t="shared" si="27"/>
        <v>4.6666666666666662E-2</v>
      </c>
      <c r="AM12" s="72">
        <f t="shared" si="14"/>
        <v>0.42354999999999998</v>
      </c>
      <c r="AN12" s="74">
        <f t="shared" si="28"/>
        <v>0.47021666666666662</v>
      </c>
      <c r="AO12" s="73">
        <f t="shared" si="15"/>
        <v>1.5486862426732167E-3</v>
      </c>
      <c r="AP12" s="72">
        <f t="shared" si="16"/>
        <v>0.2467125</v>
      </c>
      <c r="AQ12" s="74">
        <f t="shared" si="29"/>
        <v>3.15E-3</v>
      </c>
      <c r="AR12" s="73">
        <f t="shared" si="30"/>
        <v>0.76122913321158614</v>
      </c>
      <c r="AS12" s="72">
        <f t="shared" si="31"/>
        <v>0.8</v>
      </c>
      <c r="AT12" s="74">
        <f t="shared" si="32"/>
        <v>51.241677661646591</v>
      </c>
    </row>
    <row r="13" spans="1:46" ht="14.65" x14ac:dyDescent="0.4">
      <c r="Q13">
        <v>6</v>
      </c>
      <c r="R13" s="73">
        <f t="shared" si="0"/>
        <v>12</v>
      </c>
      <c r="S13" s="72">
        <f t="shared" si="1"/>
        <v>0.08</v>
      </c>
      <c r="T13" s="72">
        <f t="shared" si="2"/>
        <v>7</v>
      </c>
      <c r="U13" s="74">
        <f t="shared" si="3"/>
        <v>0.13714285714285715</v>
      </c>
      <c r="V13" s="73">
        <f t="shared" si="4"/>
        <v>1</v>
      </c>
      <c r="W13" s="72">
        <f t="shared" si="5"/>
        <v>0.47692895119692197</v>
      </c>
      <c r="X13" s="74">
        <f t="shared" si="6"/>
        <v>0.38325141200772833</v>
      </c>
      <c r="Y13" s="73">
        <f t="shared" si="18"/>
        <v>0.57510812375167164</v>
      </c>
      <c r="Z13" s="72">
        <f t="shared" si="8"/>
        <v>0.79225098089452883</v>
      </c>
      <c r="AA13" s="72">
        <f t="shared" si="19"/>
        <v>0.42422564650077604</v>
      </c>
      <c r="AB13" s="72">
        <v>0</v>
      </c>
      <c r="AC13" s="72">
        <f t="shared" si="20"/>
        <v>1.7996739914900139E-3</v>
      </c>
      <c r="AD13" s="74">
        <f t="shared" si="21"/>
        <v>1.7996739914900139E-3</v>
      </c>
      <c r="AE13" s="73">
        <f t="shared" si="22"/>
        <v>5.2325919217033733E-3</v>
      </c>
      <c r="AF13" s="72">
        <f t="shared" si="23"/>
        <v>0.42422564650077604</v>
      </c>
      <c r="AG13" s="72">
        <f t="shared" si="10"/>
        <v>8.0985329617050633E-4</v>
      </c>
      <c r="AH13" s="72">
        <f t="shared" si="11"/>
        <v>4.6824627553492607E-2</v>
      </c>
      <c r="AI13" s="74">
        <f t="shared" si="24"/>
        <v>4.7634480849663111E-2</v>
      </c>
      <c r="AJ13" s="73">
        <f t="shared" si="25"/>
        <v>0.08</v>
      </c>
      <c r="AK13" s="72">
        <f t="shared" si="26"/>
        <v>0.28316791300933741</v>
      </c>
      <c r="AL13" s="72">
        <f t="shared" si="27"/>
        <v>5.5999999999999994E-2</v>
      </c>
      <c r="AM13" s="72">
        <f t="shared" si="14"/>
        <v>0.42354999999999998</v>
      </c>
      <c r="AN13" s="74">
        <f t="shared" si="28"/>
        <v>0.47954999999999998</v>
      </c>
      <c r="AO13" s="73">
        <f t="shared" si="15"/>
        <v>2.1596087897880166E-3</v>
      </c>
      <c r="AP13" s="72">
        <f t="shared" si="16"/>
        <v>0.2467125</v>
      </c>
      <c r="AQ13" s="74">
        <f t="shared" si="29"/>
        <v>3.15E-3</v>
      </c>
      <c r="AR13" s="73">
        <f t="shared" si="30"/>
        <v>0.77920658963945111</v>
      </c>
      <c r="AS13" s="72">
        <f t="shared" si="31"/>
        <v>0.96</v>
      </c>
      <c r="AT13" s="74">
        <f t="shared" si="32"/>
        <v>55.197582950684101</v>
      </c>
    </row>
    <row r="14" spans="1:46" ht="14.65" x14ac:dyDescent="0.4">
      <c r="Q14">
        <v>7</v>
      </c>
      <c r="R14" s="73">
        <f t="shared" si="0"/>
        <v>12</v>
      </c>
      <c r="S14" s="72">
        <f t="shared" si="1"/>
        <v>9.3333333333333338E-2</v>
      </c>
      <c r="T14" s="72">
        <f t="shared" si="2"/>
        <v>7</v>
      </c>
      <c r="U14" s="74">
        <f t="shared" si="3"/>
        <v>0.16</v>
      </c>
      <c r="V14" s="73">
        <f t="shared" si="4"/>
        <v>1</v>
      </c>
      <c r="W14" s="72">
        <f t="shared" si="5"/>
        <v>0.51514214404514469</v>
      </c>
      <c r="X14" s="74">
        <f t="shared" si="6"/>
        <v>0.42304958402633441</v>
      </c>
      <c r="Y14" s="73">
        <f t="shared" si="18"/>
        <v>0.62118777059707375</v>
      </c>
      <c r="Z14" s="72">
        <f t="shared" si="8"/>
        <v>0.87452110393040705</v>
      </c>
      <c r="AA14" s="72">
        <f t="shared" si="19"/>
        <v>0.48905248129812257</v>
      </c>
      <c r="AB14" s="72">
        <v>0</v>
      </c>
      <c r="AC14" s="72">
        <f t="shared" si="20"/>
        <v>2.3917232946385055E-3</v>
      </c>
      <c r="AD14" s="74">
        <f t="shared" si="21"/>
        <v>2.3917232946385055E-3</v>
      </c>
      <c r="AE14" s="73">
        <f t="shared" si="22"/>
        <v>7.6927893510741613E-3</v>
      </c>
      <c r="AF14" s="72">
        <f t="shared" si="23"/>
        <v>0.48905248129812257</v>
      </c>
      <c r="AG14" s="72">
        <f t="shared" si="10"/>
        <v>1.0762754825873275E-3</v>
      </c>
      <c r="AH14" s="72">
        <f t="shared" si="11"/>
        <v>5.462873214574137E-2</v>
      </c>
      <c r="AI14" s="74">
        <f t="shared" si="24"/>
        <v>5.5705007628328695E-2</v>
      </c>
      <c r="AJ14" s="73">
        <f t="shared" si="25"/>
        <v>9.3333333333333338E-2</v>
      </c>
      <c r="AK14" s="72">
        <f t="shared" si="26"/>
        <v>0.3284016293213019</v>
      </c>
      <c r="AL14" s="72">
        <f t="shared" si="27"/>
        <v>6.5333333333333327E-2</v>
      </c>
      <c r="AM14" s="72">
        <f t="shared" si="14"/>
        <v>0.42354999999999998</v>
      </c>
      <c r="AN14" s="74">
        <f t="shared" si="28"/>
        <v>0.48888333333333334</v>
      </c>
      <c r="AO14" s="73">
        <f t="shared" si="15"/>
        <v>2.8700679535662065E-3</v>
      </c>
      <c r="AP14" s="72">
        <f t="shared" si="16"/>
        <v>0.2467125</v>
      </c>
      <c r="AQ14" s="74">
        <f t="shared" si="29"/>
        <v>3.15E-3</v>
      </c>
      <c r="AR14" s="73">
        <f t="shared" si="30"/>
        <v>0.79732090891522822</v>
      </c>
      <c r="AS14" s="72">
        <f t="shared" si="31"/>
        <v>1.1200000000000001</v>
      </c>
      <c r="AT14" s="74">
        <f t="shared" si="32"/>
        <v>58.414843065247112</v>
      </c>
    </row>
    <row r="15" spans="1:46" ht="14.65" x14ac:dyDescent="0.4">
      <c r="O15">
        <f>0.205*2.5/(Lm*Fsw)</f>
        <v>8.8285960378983633E-2</v>
      </c>
      <c r="Q15">
        <v>8</v>
      </c>
      <c r="R15" s="73">
        <f t="shared" si="0"/>
        <v>12</v>
      </c>
      <c r="S15" s="72">
        <f t="shared" si="1"/>
        <v>0.10666666666666667</v>
      </c>
      <c r="T15" s="72">
        <f t="shared" si="2"/>
        <v>7</v>
      </c>
      <c r="U15" s="74">
        <f t="shared" si="3"/>
        <v>0.18285714285714286</v>
      </c>
      <c r="V15" s="73">
        <f t="shared" si="4"/>
        <v>1</v>
      </c>
      <c r="W15" s="72">
        <f t="shared" si="5"/>
        <v>0.55071011671573755</v>
      </c>
      <c r="X15" s="74">
        <f t="shared" si="6"/>
        <v>0.46130471094132314</v>
      </c>
      <c r="Y15" s="73">
        <f t="shared" si="18"/>
        <v>0.66407766012233649</v>
      </c>
      <c r="Z15" s="72">
        <f t="shared" si="8"/>
        <v>0.953601469646146</v>
      </c>
      <c r="AA15" s="72">
        <f t="shared" si="19"/>
        <v>0.55385964397779319</v>
      </c>
      <c r="AB15" s="72">
        <v>0</v>
      </c>
      <c r="AC15" s="72">
        <f t="shared" si="20"/>
        <v>3.0676050522720783E-3</v>
      </c>
      <c r="AD15" s="74">
        <f t="shared" si="21"/>
        <v>3.0676050522720783E-3</v>
      </c>
      <c r="AE15" s="73">
        <f t="shared" si="22"/>
        <v>1.07414697050841E-2</v>
      </c>
      <c r="AF15" s="72">
        <f t="shared" si="23"/>
        <v>0.55385964397779319</v>
      </c>
      <c r="AG15" s="72">
        <f t="shared" si="10"/>
        <v>1.3804222735224355E-3</v>
      </c>
      <c r="AH15" s="72">
        <f t="shared" si="11"/>
        <v>6.2432836737990126E-2</v>
      </c>
      <c r="AI15" s="74">
        <f t="shared" si="24"/>
        <v>6.3813259011512566E-2</v>
      </c>
      <c r="AJ15" s="73">
        <f t="shared" si="25"/>
        <v>0.10666666666666667</v>
      </c>
      <c r="AK15" s="72">
        <f t="shared" si="26"/>
        <v>0.37393854100757379</v>
      </c>
      <c r="AL15" s="72">
        <f t="shared" si="27"/>
        <v>7.4666666666666673E-2</v>
      </c>
      <c r="AM15" s="72">
        <f t="shared" si="14"/>
        <v>0.42354999999999998</v>
      </c>
      <c r="AN15" s="74">
        <f t="shared" si="28"/>
        <v>0.49821666666666664</v>
      </c>
      <c r="AO15" s="73">
        <f t="shared" si="15"/>
        <v>3.681126062726494E-3</v>
      </c>
      <c r="AP15" s="72">
        <f t="shared" si="16"/>
        <v>0.2467125</v>
      </c>
      <c r="AQ15" s="74">
        <f t="shared" si="29"/>
        <v>3.15E-3</v>
      </c>
      <c r="AR15" s="73">
        <f t="shared" si="30"/>
        <v>0.81557355174090573</v>
      </c>
      <c r="AS15" s="72">
        <f t="shared" si="31"/>
        <v>1.28</v>
      </c>
      <c r="AT15" s="74">
        <f t="shared" si="32"/>
        <v>61.081129743054596</v>
      </c>
    </row>
    <row r="16" spans="1:46" ht="14.65" x14ac:dyDescent="0.4">
      <c r="Q16">
        <v>9</v>
      </c>
      <c r="R16" s="73">
        <f t="shared" si="0"/>
        <v>12</v>
      </c>
      <c r="S16" s="72">
        <f t="shared" si="1"/>
        <v>0.12000000000000001</v>
      </c>
      <c r="T16" s="72">
        <f t="shared" si="2"/>
        <v>7</v>
      </c>
      <c r="U16" s="74">
        <f t="shared" si="3"/>
        <v>0.20571428571428574</v>
      </c>
      <c r="V16" s="73">
        <f t="shared" si="4"/>
        <v>1</v>
      </c>
      <c r="W16" s="72">
        <f t="shared" si="5"/>
        <v>0.58411628699659968</v>
      </c>
      <c r="X16" s="74">
        <f t="shared" si="6"/>
        <v>0.49829878646230213</v>
      </c>
      <c r="Y16" s="73">
        <f t="shared" si="18"/>
        <v>0.70436072506049918</v>
      </c>
      <c r="Z16" s="72">
        <f t="shared" si="8"/>
        <v>1.0300750107747849</v>
      </c>
      <c r="AA16" s="72">
        <f t="shared" si="19"/>
        <v>0.61873565025167221</v>
      </c>
      <c r="AB16" s="72">
        <v>0</v>
      </c>
      <c r="AC16" s="72">
        <f t="shared" si="20"/>
        <v>3.8283380489235962E-3</v>
      </c>
      <c r="AD16" s="74">
        <f t="shared" si="21"/>
        <v>3.8283380489235962E-3</v>
      </c>
      <c r="AE16" s="73">
        <f t="shared" si="22"/>
        <v>1.4419327770430349E-2</v>
      </c>
      <c r="AF16" s="72">
        <f t="shared" si="23"/>
        <v>0.61873565025167221</v>
      </c>
      <c r="AG16" s="72">
        <f t="shared" si="10"/>
        <v>1.7227521220156184E-3</v>
      </c>
      <c r="AH16" s="72">
        <f t="shared" si="11"/>
        <v>7.0236941330238903E-2</v>
      </c>
      <c r="AI16" s="74">
        <f t="shared" si="24"/>
        <v>7.1959693452254517E-2</v>
      </c>
      <c r="AJ16" s="73">
        <f t="shared" si="25"/>
        <v>0.12000000000000001</v>
      </c>
      <c r="AK16" s="72">
        <f t="shared" si="26"/>
        <v>0.41981034749212215</v>
      </c>
      <c r="AL16" s="72">
        <f t="shared" si="27"/>
        <v>8.4000000000000005E-2</v>
      </c>
      <c r="AM16" s="72">
        <f t="shared" si="14"/>
        <v>0.42354999999999998</v>
      </c>
      <c r="AN16" s="74">
        <f t="shared" si="28"/>
        <v>0.50754999999999995</v>
      </c>
      <c r="AO16" s="73">
        <f t="shared" si="15"/>
        <v>4.5940056587083153E-3</v>
      </c>
      <c r="AP16" s="72">
        <f t="shared" si="16"/>
        <v>0.2467125</v>
      </c>
      <c r="AQ16" s="74">
        <f t="shared" si="29"/>
        <v>3.15E-3</v>
      </c>
      <c r="AR16" s="73">
        <f t="shared" si="30"/>
        <v>0.8339661991109627</v>
      </c>
      <c r="AS16" s="72">
        <f t="shared" si="31"/>
        <v>1.4400000000000002</v>
      </c>
      <c r="AT16" s="74">
        <f t="shared" si="32"/>
        <v>63.325479532764696</v>
      </c>
    </row>
    <row r="17" spans="17:46" ht="14.65" x14ac:dyDescent="0.4">
      <c r="Q17">
        <v>10</v>
      </c>
      <c r="R17" s="73">
        <f t="shared" si="0"/>
        <v>12</v>
      </c>
      <c r="S17" s="72">
        <f t="shared" si="1"/>
        <v>0.13333333333333333</v>
      </c>
      <c r="T17" s="72">
        <f t="shared" si="2"/>
        <v>7</v>
      </c>
      <c r="U17" s="74">
        <f t="shared" si="3"/>
        <v>0.22857142857142859</v>
      </c>
      <c r="V17" s="73">
        <f t="shared" si="4"/>
        <v>1</v>
      </c>
      <c r="W17" s="72">
        <f t="shared" si="5"/>
        <v>0.61571262843661612</v>
      </c>
      <c r="X17" s="74">
        <f t="shared" si="6"/>
        <v>0.53423712849278793</v>
      </c>
      <c r="Y17" s="73">
        <f t="shared" si="18"/>
        <v>0.74246139518627274</v>
      </c>
      <c r="Z17" s="72">
        <f t="shared" si="8"/>
        <v>1.1043661570910346</v>
      </c>
      <c r="AA17" s="72">
        <f t="shared" si="19"/>
        <v>0.68374142836355312</v>
      </c>
      <c r="AB17" s="72">
        <v>0</v>
      </c>
      <c r="AC17" s="72">
        <f t="shared" si="20"/>
        <v>4.6750234086063184E-3</v>
      </c>
      <c r="AD17" s="74">
        <f t="shared" si="21"/>
        <v>4.6750234086063184E-3</v>
      </c>
      <c r="AE17" s="73">
        <f t="shared" si="22"/>
        <v>1.8764575342830207E-2</v>
      </c>
      <c r="AF17" s="72">
        <f t="shared" si="23"/>
        <v>0.68374142836355312</v>
      </c>
      <c r="AG17" s="72">
        <f t="shared" si="10"/>
        <v>2.1037605338728436E-3</v>
      </c>
      <c r="AH17" s="72">
        <f t="shared" si="11"/>
        <v>7.8041045922487673E-2</v>
      </c>
      <c r="AI17" s="74">
        <f t="shared" si="24"/>
        <v>8.0144806456360518E-2</v>
      </c>
      <c r="AJ17" s="73">
        <f t="shared" si="25"/>
        <v>0.13333333333333333</v>
      </c>
      <c r="AK17" s="72">
        <f t="shared" si="26"/>
        <v>0.46603603183761255</v>
      </c>
      <c r="AL17" s="72">
        <f t="shared" si="27"/>
        <v>9.3333333333333324E-2</v>
      </c>
      <c r="AM17" s="72">
        <f t="shared" si="14"/>
        <v>0.42354999999999998</v>
      </c>
      <c r="AN17" s="74">
        <f t="shared" si="28"/>
        <v>0.51688333333333336</v>
      </c>
      <c r="AO17" s="73">
        <f t="shared" si="15"/>
        <v>5.6100280903275826E-3</v>
      </c>
      <c r="AP17" s="72">
        <f t="shared" si="16"/>
        <v>0.2467125</v>
      </c>
      <c r="AQ17" s="74">
        <f t="shared" si="29"/>
        <v>3.15E-3</v>
      </c>
      <c r="AR17" s="73">
        <f t="shared" si="30"/>
        <v>0.85250066788002143</v>
      </c>
      <c r="AS17" s="72">
        <f t="shared" si="31"/>
        <v>1.6</v>
      </c>
      <c r="AT17" s="74">
        <f t="shared" si="32"/>
        <v>65.239533711648861</v>
      </c>
    </row>
    <row r="18" spans="17:46" ht="14.65" x14ac:dyDescent="0.4">
      <c r="Q18">
        <v>11</v>
      </c>
      <c r="R18" s="73">
        <f t="shared" si="0"/>
        <v>12</v>
      </c>
      <c r="S18" s="72">
        <f t="shared" si="1"/>
        <v>0.14666666666666667</v>
      </c>
      <c r="T18" s="72">
        <f t="shared" si="2"/>
        <v>7</v>
      </c>
      <c r="U18" s="74">
        <f t="shared" si="3"/>
        <v>0.25142857142857145</v>
      </c>
      <c r="V18" s="73">
        <f t="shared" si="4"/>
        <v>2</v>
      </c>
      <c r="W18" s="72">
        <f t="shared" si="5"/>
        <v>0.63157894736842102</v>
      </c>
      <c r="X18" s="74">
        <f t="shared" si="6"/>
        <v>0.36842105263157898</v>
      </c>
      <c r="Y18" s="73">
        <f t="shared" si="18"/>
        <v>0.76159390724874199</v>
      </c>
      <c r="Z18" s="72">
        <f t="shared" si="8"/>
        <v>1.1596891453439802</v>
      </c>
      <c r="AA18" s="72">
        <f t="shared" si="19"/>
        <v>0.33399366235575895</v>
      </c>
      <c r="AB18" s="72">
        <v>0</v>
      </c>
      <c r="AC18" s="72">
        <f t="shared" si="20"/>
        <v>1.115517664938127E-3</v>
      </c>
      <c r="AD18" s="74">
        <f t="shared" si="21"/>
        <v>1.115517664938127E-3</v>
      </c>
      <c r="AE18" s="73">
        <f t="shared" si="22"/>
        <v>2.3290225563909774E-2</v>
      </c>
      <c r="AF18" s="72">
        <f t="shared" si="23"/>
        <v>0.33399366235575895</v>
      </c>
      <c r="AG18" s="72">
        <f t="shared" si="10"/>
        <v>5.0198294922215725E-4</v>
      </c>
      <c r="AH18" s="72">
        <f t="shared" si="11"/>
        <v>8.5845150514736443E-2</v>
      </c>
      <c r="AI18" s="74">
        <f t="shared" si="24"/>
        <v>8.63471334639586E-2</v>
      </c>
      <c r="AJ18" s="73">
        <f t="shared" si="25"/>
        <v>0.14666666666666667</v>
      </c>
      <c r="AK18" s="72">
        <f t="shared" si="26"/>
        <v>0.4912422172408723</v>
      </c>
      <c r="AL18" s="72">
        <f t="shared" si="27"/>
        <v>0.10266666666666666</v>
      </c>
      <c r="AM18" s="72">
        <f t="shared" si="14"/>
        <v>0.42354999999999998</v>
      </c>
      <c r="AN18" s="74">
        <f t="shared" si="28"/>
        <v>0.52621666666666667</v>
      </c>
      <c r="AO18" s="73">
        <f t="shared" si="15"/>
        <v>1.3386211979257525E-3</v>
      </c>
      <c r="AP18" s="72">
        <f t="shared" si="16"/>
        <v>0.2467125</v>
      </c>
      <c r="AQ18" s="74">
        <f t="shared" si="29"/>
        <v>3.15E-3</v>
      </c>
      <c r="AR18" s="73">
        <f t="shared" si="30"/>
        <v>0.86376492132855098</v>
      </c>
      <c r="AS18" s="72">
        <f t="shared" si="31"/>
        <v>1.76</v>
      </c>
      <c r="AT18" s="74">
        <f t="shared" si="32"/>
        <v>67.079180215155063</v>
      </c>
    </row>
    <row r="19" spans="17:46" ht="14.65" x14ac:dyDescent="0.4">
      <c r="Q19">
        <v>12</v>
      </c>
      <c r="R19" s="73">
        <f t="shared" si="0"/>
        <v>12</v>
      </c>
      <c r="S19" s="72">
        <f t="shared" si="1"/>
        <v>0.16</v>
      </c>
      <c r="T19" s="72">
        <f t="shared" si="2"/>
        <v>7</v>
      </c>
      <c r="U19" s="74">
        <f t="shared" si="3"/>
        <v>0.2742857142857143</v>
      </c>
      <c r="V19" s="73">
        <f t="shared" si="4"/>
        <v>2</v>
      </c>
      <c r="W19" s="72">
        <f t="shared" si="5"/>
        <v>0.63157894736842102</v>
      </c>
      <c r="X19" s="74">
        <f t="shared" si="6"/>
        <v>0.36842105263157898</v>
      </c>
      <c r="Y19" s="73">
        <f t="shared" si="18"/>
        <v>0.76159390724874199</v>
      </c>
      <c r="Z19" s="72">
        <f>U19+S19+(Y19)</f>
        <v>1.1958796215344563</v>
      </c>
      <c r="AA19" s="72">
        <f t="shared" si="19"/>
        <v>0.35152253558545143</v>
      </c>
      <c r="AB19" s="72">
        <v>0</v>
      </c>
      <c r="AC19" s="72">
        <f t="shared" si="20"/>
        <v>1.2356809302442498E-3</v>
      </c>
      <c r="AD19" s="74">
        <f t="shared" si="21"/>
        <v>1.2356809302442498E-3</v>
      </c>
      <c r="AE19" s="73">
        <f t="shared" si="22"/>
        <v>2.771729323308271E-2</v>
      </c>
      <c r="AF19" s="72">
        <f t="shared" si="23"/>
        <v>0.35152253558545143</v>
      </c>
      <c r="AG19" s="72">
        <f t="shared" si="10"/>
        <v>5.5605641860991244E-4</v>
      </c>
      <c r="AH19" s="72">
        <f t="shared" si="11"/>
        <v>9.3649255106985213E-2</v>
      </c>
      <c r="AI19" s="74">
        <f t="shared" si="24"/>
        <v>9.4205311525595123E-2</v>
      </c>
      <c r="AJ19" s="73">
        <f t="shared" si="25"/>
        <v>0.16</v>
      </c>
      <c r="AK19" s="72">
        <f t="shared" si="26"/>
        <v>0.51241771449484852</v>
      </c>
      <c r="AL19" s="72">
        <f t="shared" si="27"/>
        <v>0.11199999999999999</v>
      </c>
      <c r="AM19" s="72">
        <f t="shared" si="14"/>
        <v>0.42354999999999998</v>
      </c>
      <c r="AN19" s="74">
        <f t="shared" si="28"/>
        <v>0.53554999999999997</v>
      </c>
      <c r="AO19" s="73">
        <f t="shared" si="15"/>
        <v>1.4828171162930997E-3</v>
      </c>
      <c r="AP19" s="72">
        <f t="shared" si="16"/>
        <v>0.2467125</v>
      </c>
      <c r="AQ19" s="74">
        <f t="shared" si="29"/>
        <v>3.15E-3</v>
      </c>
      <c r="AR19" s="73">
        <f t="shared" si="30"/>
        <v>0.8811006286418881</v>
      </c>
      <c r="AS19" s="72">
        <f t="shared" si="31"/>
        <v>1.92</v>
      </c>
      <c r="AT19" s="74">
        <f t="shared" si="32"/>
        <v>68.544484991633837</v>
      </c>
    </row>
    <row r="20" spans="17:46" ht="14.65" x14ac:dyDescent="0.4">
      <c r="Q20">
        <v>13</v>
      </c>
      <c r="R20" s="73">
        <f t="shared" si="0"/>
        <v>12</v>
      </c>
      <c r="S20" s="72">
        <f t="shared" si="1"/>
        <v>0.17333333333333334</v>
      </c>
      <c r="T20" s="72">
        <f t="shared" si="2"/>
        <v>7</v>
      </c>
      <c r="U20" s="74">
        <f t="shared" si="3"/>
        <v>0.29714285714285715</v>
      </c>
      <c r="V20" s="73">
        <f t="shared" si="4"/>
        <v>2</v>
      </c>
      <c r="W20" s="72">
        <f t="shared" si="5"/>
        <v>0.63157894736842102</v>
      </c>
      <c r="X20" s="74">
        <f t="shared" si="6"/>
        <v>0.36842105263157898</v>
      </c>
      <c r="Y20" s="73">
        <f t="shared" si="18"/>
        <v>0.76159390724874199</v>
      </c>
      <c r="Z20" s="72">
        <f t="shared" ref="Z20:Z71" si="33">CHOOSE(V20,Y20,U20+S20+(Y20))</f>
        <v>1.2320700977249324</v>
      </c>
      <c r="AA20" s="72">
        <f t="shared" si="19"/>
        <v>0.36963403186695465</v>
      </c>
      <c r="AB20" s="72">
        <v>0</v>
      </c>
      <c r="AC20" s="72">
        <f t="shared" si="20"/>
        <v>1.3662931751422084E-3</v>
      </c>
      <c r="AD20" s="74">
        <f t="shared" si="21"/>
        <v>1.3662931751422084E-3</v>
      </c>
      <c r="AE20" s="73">
        <f t="shared" si="22"/>
        <v>3.2529323308270679E-2</v>
      </c>
      <c r="AF20" s="72">
        <f t="shared" si="23"/>
        <v>0.36963403186695465</v>
      </c>
      <c r="AG20" s="72">
        <f t="shared" si="10"/>
        <v>6.1483192881399385E-4</v>
      </c>
      <c r="AH20" s="72">
        <f t="shared" si="11"/>
        <v>0.10145335969923397</v>
      </c>
      <c r="AI20" s="74">
        <f t="shared" si="24"/>
        <v>0.10206819162804796</v>
      </c>
      <c r="AJ20" s="73">
        <f t="shared" si="25"/>
        <v>0.17333333333333334</v>
      </c>
      <c r="AK20" s="72">
        <f t="shared" si="26"/>
        <v>0.53365718548671248</v>
      </c>
      <c r="AL20" s="72">
        <f t="shared" si="27"/>
        <v>0.12133333333333333</v>
      </c>
      <c r="AM20" s="72">
        <f t="shared" si="14"/>
        <v>0.42354999999999998</v>
      </c>
      <c r="AN20" s="74">
        <f t="shared" si="28"/>
        <v>0.54488333333333328</v>
      </c>
      <c r="AO20" s="73">
        <f t="shared" si="15"/>
        <v>1.6395518101706501E-3</v>
      </c>
      <c r="AP20" s="72">
        <f t="shared" si="16"/>
        <v>0.2467125</v>
      </c>
      <c r="AQ20" s="74">
        <f t="shared" si="29"/>
        <v>3.15E-3</v>
      </c>
      <c r="AR20" s="73">
        <f t="shared" si="30"/>
        <v>0.8984535767715518</v>
      </c>
      <c r="AS20" s="72">
        <f t="shared" si="31"/>
        <v>2.08</v>
      </c>
      <c r="AT20" s="74">
        <f t="shared" si="32"/>
        <v>69.834897418632366</v>
      </c>
    </row>
    <row r="21" spans="17:46" ht="14.65" x14ac:dyDescent="0.4">
      <c r="Q21">
        <v>14</v>
      </c>
      <c r="R21" s="73">
        <f t="shared" si="0"/>
        <v>12</v>
      </c>
      <c r="S21" s="72">
        <f t="shared" si="1"/>
        <v>0.18666666666666668</v>
      </c>
      <c r="T21" s="72">
        <f t="shared" si="2"/>
        <v>7</v>
      </c>
      <c r="U21" s="74">
        <f t="shared" si="3"/>
        <v>0.32</v>
      </c>
      <c r="V21" s="73">
        <f t="shared" si="4"/>
        <v>2</v>
      </c>
      <c r="W21" s="72">
        <f t="shared" si="5"/>
        <v>0.63157894736842102</v>
      </c>
      <c r="X21" s="74">
        <f t="shared" si="6"/>
        <v>0.36842105263157898</v>
      </c>
      <c r="Y21" s="73">
        <f t="shared" si="18"/>
        <v>0.76159390724874199</v>
      </c>
      <c r="Z21" s="72">
        <f t="shared" si="33"/>
        <v>1.2682605739154087</v>
      </c>
      <c r="AA21" s="72">
        <f t="shared" si="19"/>
        <v>0.38824662260372655</v>
      </c>
      <c r="AB21" s="72">
        <v>0</v>
      </c>
      <c r="AC21" s="72">
        <f t="shared" si="20"/>
        <v>1.5073543996320046E-3</v>
      </c>
      <c r="AD21" s="74">
        <f t="shared" si="21"/>
        <v>1.5073543996320046E-3</v>
      </c>
      <c r="AE21" s="73">
        <f t="shared" si="22"/>
        <v>3.7726315789473684E-2</v>
      </c>
      <c r="AF21" s="72">
        <f t="shared" si="23"/>
        <v>0.38824662260372655</v>
      </c>
      <c r="AG21" s="72">
        <f t="shared" si="10"/>
        <v>6.7830947983440212E-4</v>
      </c>
      <c r="AH21" s="72">
        <f t="shared" si="11"/>
        <v>0.10925746429148274</v>
      </c>
      <c r="AI21" s="74">
        <f t="shared" si="24"/>
        <v>0.10993577377131714</v>
      </c>
      <c r="AJ21" s="73">
        <f t="shared" si="25"/>
        <v>0.18666666666666668</v>
      </c>
      <c r="AK21" s="72">
        <f t="shared" si="26"/>
        <v>0.55495328495302576</v>
      </c>
      <c r="AL21" s="72">
        <f t="shared" si="27"/>
        <v>0.13066666666666665</v>
      </c>
      <c r="AM21" s="72">
        <f t="shared" si="14"/>
        <v>0.42354999999999998</v>
      </c>
      <c r="AN21" s="74">
        <f t="shared" si="28"/>
        <v>0.55421666666666658</v>
      </c>
      <c r="AO21" s="73">
        <f t="shared" si="15"/>
        <v>1.8088252795584055E-3</v>
      </c>
      <c r="AP21" s="72">
        <f t="shared" si="16"/>
        <v>0.2467125</v>
      </c>
      <c r="AQ21" s="74">
        <f t="shared" si="29"/>
        <v>3.15E-3</v>
      </c>
      <c r="AR21" s="73">
        <f t="shared" si="30"/>
        <v>0.91582376571754209</v>
      </c>
      <c r="AS21" s="72">
        <f t="shared" si="31"/>
        <v>2.2400000000000002</v>
      </c>
      <c r="AT21" s="74">
        <f t="shared" si="32"/>
        <v>70.979882474225846</v>
      </c>
    </row>
    <row r="22" spans="17:46" ht="14.65" x14ac:dyDescent="0.4">
      <c r="Q22">
        <v>15</v>
      </c>
      <c r="R22" s="73">
        <f t="shared" si="0"/>
        <v>12</v>
      </c>
      <c r="S22" s="72">
        <f t="shared" si="1"/>
        <v>0.2</v>
      </c>
      <c r="T22" s="72">
        <f t="shared" si="2"/>
        <v>7</v>
      </c>
      <c r="U22" s="74">
        <f t="shared" si="3"/>
        <v>0.34285714285714292</v>
      </c>
      <c r="V22" s="73">
        <f t="shared" si="4"/>
        <v>2</v>
      </c>
      <c r="W22" s="72">
        <f t="shared" si="5"/>
        <v>0.63157894736842102</v>
      </c>
      <c r="X22" s="74">
        <f t="shared" si="6"/>
        <v>0.36842105263157898</v>
      </c>
      <c r="Y22" s="73">
        <f t="shared" si="18"/>
        <v>0.76159390724874199</v>
      </c>
      <c r="Z22" s="72">
        <f t="shared" si="33"/>
        <v>1.304451050105885</v>
      </c>
      <c r="AA22" s="72">
        <f t="shared" si="19"/>
        <v>0.407291615886411</v>
      </c>
      <c r="AB22" s="72">
        <v>0</v>
      </c>
      <c r="AC22" s="72">
        <f t="shared" si="20"/>
        <v>1.6588646037136376E-3</v>
      </c>
      <c r="AD22" s="74">
        <f t="shared" si="21"/>
        <v>1.6588646037136376E-3</v>
      </c>
      <c r="AE22" s="73">
        <f t="shared" si="22"/>
        <v>4.330827067669174E-2</v>
      </c>
      <c r="AF22" s="72">
        <f t="shared" si="23"/>
        <v>0.407291615886411</v>
      </c>
      <c r="AG22" s="72">
        <f t="shared" si="10"/>
        <v>7.4648907167113704E-4</v>
      </c>
      <c r="AH22" s="72">
        <f t="shared" si="11"/>
        <v>0.11706156888373151</v>
      </c>
      <c r="AI22" s="74">
        <f t="shared" si="24"/>
        <v>0.11780805795540264</v>
      </c>
      <c r="AJ22" s="73">
        <f t="shared" si="25"/>
        <v>0.2</v>
      </c>
      <c r="AK22" s="72">
        <f t="shared" si="26"/>
        <v>0.57629973512382271</v>
      </c>
      <c r="AL22" s="72">
        <f t="shared" si="27"/>
        <v>0.13999999999999999</v>
      </c>
      <c r="AM22" s="72">
        <f t="shared" si="14"/>
        <v>0.42354999999999998</v>
      </c>
      <c r="AN22" s="74">
        <f t="shared" si="28"/>
        <v>0.56355</v>
      </c>
      <c r="AO22" s="73">
        <f t="shared" si="15"/>
        <v>1.990637524456365E-3</v>
      </c>
      <c r="AP22" s="72">
        <f t="shared" si="16"/>
        <v>0.2467125</v>
      </c>
      <c r="AQ22" s="74">
        <f t="shared" si="29"/>
        <v>3.15E-3</v>
      </c>
      <c r="AR22" s="73">
        <f t="shared" si="30"/>
        <v>0.93321119547985898</v>
      </c>
      <c r="AS22" s="72">
        <f t="shared" si="31"/>
        <v>2.4000000000000004</v>
      </c>
      <c r="AT22" s="74">
        <f t="shared" si="32"/>
        <v>72.002638274304999</v>
      </c>
    </row>
    <row r="23" spans="17:46" ht="14.65" x14ac:dyDescent="0.4">
      <c r="Q23">
        <v>16</v>
      </c>
      <c r="R23" s="73">
        <f t="shared" si="0"/>
        <v>12</v>
      </c>
      <c r="S23" s="72">
        <f t="shared" si="1"/>
        <v>0.21333333333333335</v>
      </c>
      <c r="T23" s="72">
        <f t="shared" si="2"/>
        <v>7</v>
      </c>
      <c r="U23" s="74">
        <f t="shared" si="3"/>
        <v>0.36571428571428571</v>
      </c>
      <c r="V23" s="73">
        <f t="shared" si="4"/>
        <v>2</v>
      </c>
      <c r="W23" s="72">
        <f t="shared" si="5"/>
        <v>0.63157894736842102</v>
      </c>
      <c r="X23" s="74">
        <f t="shared" si="6"/>
        <v>0.36842105263157898</v>
      </c>
      <c r="Y23" s="73">
        <f t="shared" si="18"/>
        <v>0.76159390724874199</v>
      </c>
      <c r="Z23" s="72">
        <f t="shared" si="33"/>
        <v>1.3406415262963609</v>
      </c>
      <c r="AA23" s="72">
        <f t="shared" si="19"/>
        <v>0.42671111860216465</v>
      </c>
      <c r="AB23" s="72">
        <v>0</v>
      </c>
      <c r="AC23" s="72">
        <f t="shared" si="20"/>
        <v>1.8208237873871063E-3</v>
      </c>
      <c r="AD23" s="74">
        <f t="shared" si="21"/>
        <v>1.8208237873871063E-3</v>
      </c>
      <c r="AE23" s="73">
        <f t="shared" si="22"/>
        <v>4.9275187969924812E-2</v>
      </c>
      <c r="AF23" s="72">
        <f t="shared" si="23"/>
        <v>0.42671111860216465</v>
      </c>
      <c r="AG23" s="72">
        <f t="shared" si="10"/>
        <v>8.1937070432419796E-4</v>
      </c>
      <c r="AH23" s="72">
        <f t="shared" si="11"/>
        <v>0.12486567347598025</v>
      </c>
      <c r="AI23" s="74">
        <f t="shared" si="24"/>
        <v>0.12568504418030446</v>
      </c>
      <c r="AJ23" s="73">
        <f t="shared" si="25"/>
        <v>0.21333333333333335</v>
      </c>
      <c r="AK23" s="72">
        <f t="shared" si="26"/>
        <v>0.59769114121969502</v>
      </c>
      <c r="AL23" s="72">
        <f t="shared" si="27"/>
        <v>0.14933333333333335</v>
      </c>
      <c r="AM23" s="72">
        <f t="shared" si="14"/>
        <v>0.42354999999999998</v>
      </c>
      <c r="AN23" s="74">
        <f t="shared" si="28"/>
        <v>0.5728833333333333</v>
      </c>
      <c r="AO23" s="73">
        <f t="shared" si="15"/>
        <v>2.1849885448645277E-3</v>
      </c>
      <c r="AP23" s="72">
        <f t="shared" si="16"/>
        <v>0.2467125</v>
      </c>
      <c r="AQ23" s="74">
        <f t="shared" si="29"/>
        <v>3.15E-3</v>
      </c>
      <c r="AR23" s="73">
        <f t="shared" si="30"/>
        <v>0.95061586605850223</v>
      </c>
      <c r="AS23" s="72">
        <f t="shared" si="31"/>
        <v>2.56</v>
      </c>
      <c r="AT23" s="74">
        <f t="shared" si="32"/>
        <v>72.921678066538391</v>
      </c>
    </row>
    <row r="24" spans="17:46" ht="14.65" x14ac:dyDescent="0.4">
      <c r="Q24">
        <v>17</v>
      </c>
      <c r="R24" s="73">
        <f t="shared" si="0"/>
        <v>12</v>
      </c>
      <c r="S24" s="72">
        <f t="shared" si="1"/>
        <v>0.22666666666666668</v>
      </c>
      <c r="T24" s="72">
        <f t="shared" si="2"/>
        <v>7</v>
      </c>
      <c r="U24" s="74">
        <f t="shared" si="3"/>
        <v>0.38857142857142862</v>
      </c>
      <c r="V24" s="73">
        <f t="shared" si="4"/>
        <v>2</v>
      </c>
      <c r="W24" s="72">
        <f t="shared" si="5"/>
        <v>0.63157894736842102</v>
      </c>
      <c r="X24" s="74">
        <f t="shared" si="6"/>
        <v>0.36842105263157898</v>
      </c>
      <c r="Y24" s="73">
        <f t="shared" si="18"/>
        <v>0.76159390724874199</v>
      </c>
      <c r="Z24" s="72">
        <f t="shared" si="33"/>
        <v>1.3768320024868372</v>
      </c>
      <c r="AA24" s="72">
        <f t="shared" si="19"/>
        <v>0.4464562633284937</v>
      </c>
      <c r="AB24" s="72">
        <v>0</v>
      </c>
      <c r="AC24" s="72">
        <f t="shared" si="20"/>
        <v>1.9932319506524129E-3</v>
      </c>
      <c r="AD24" s="74">
        <f t="shared" si="21"/>
        <v>1.9932319506524129E-3</v>
      </c>
      <c r="AE24" s="73">
        <f t="shared" si="22"/>
        <v>5.5627067669172935E-2</v>
      </c>
      <c r="AF24" s="72">
        <f t="shared" si="23"/>
        <v>0.4464562633284937</v>
      </c>
      <c r="AG24" s="72">
        <f t="shared" si="10"/>
        <v>8.9695437779358596E-4</v>
      </c>
      <c r="AH24" s="72">
        <f t="shared" si="11"/>
        <v>0.13266977806822908</v>
      </c>
      <c r="AI24" s="74">
        <f t="shared" si="24"/>
        <v>0.13356673244602266</v>
      </c>
      <c r="AJ24" s="73">
        <f t="shared" si="25"/>
        <v>0.22666666666666668</v>
      </c>
      <c r="AK24" s="72">
        <f t="shared" si="26"/>
        <v>0.61912284342147672</v>
      </c>
      <c r="AL24" s="72">
        <f t="shared" si="27"/>
        <v>0.15866666666666668</v>
      </c>
      <c r="AM24" s="72">
        <f t="shared" si="14"/>
        <v>0.42354999999999998</v>
      </c>
      <c r="AN24" s="74">
        <f t="shared" si="28"/>
        <v>0.5822166666666666</v>
      </c>
      <c r="AO24" s="73">
        <f t="shared" si="15"/>
        <v>2.3918783407828955E-3</v>
      </c>
      <c r="AP24" s="72">
        <f t="shared" si="16"/>
        <v>0.2467125</v>
      </c>
      <c r="AQ24" s="74">
        <f t="shared" si="29"/>
        <v>3.15E-3</v>
      </c>
      <c r="AR24" s="73">
        <f t="shared" si="30"/>
        <v>0.96803777745347219</v>
      </c>
      <c r="AS24" s="72">
        <f t="shared" si="31"/>
        <v>2.72</v>
      </c>
      <c r="AT24" s="74">
        <f t="shared" si="32"/>
        <v>73.751956030073913</v>
      </c>
    </row>
    <row r="25" spans="17:46" ht="14.65" x14ac:dyDescent="0.4">
      <c r="Q25">
        <v>18</v>
      </c>
      <c r="R25" s="73">
        <f t="shared" si="0"/>
        <v>12</v>
      </c>
      <c r="S25" s="72">
        <f t="shared" si="1"/>
        <v>0.24000000000000002</v>
      </c>
      <c r="T25" s="72">
        <f t="shared" si="2"/>
        <v>7</v>
      </c>
      <c r="U25" s="74">
        <f t="shared" si="3"/>
        <v>0.41142857142857148</v>
      </c>
      <c r="V25" s="73">
        <f t="shared" si="4"/>
        <v>2</v>
      </c>
      <c r="W25" s="72">
        <f t="shared" si="5"/>
        <v>0.63157894736842102</v>
      </c>
      <c r="X25" s="74">
        <f t="shared" si="6"/>
        <v>0.36842105263157898</v>
      </c>
      <c r="Y25" s="73">
        <f t="shared" si="18"/>
        <v>0.76159390724874199</v>
      </c>
      <c r="Z25" s="72">
        <f t="shared" si="33"/>
        <v>1.4130224786773136</v>
      </c>
      <c r="AA25" s="72">
        <f t="shared" si="19"/>
        <v>0.46648570112164811</v>
      </c>
      <c r="AB25" s="72">
        <v>0</v>
      </c>
      <c r="AC25" s="72">
        <f t="shared" si="20"/>
        <v>2.1760890935095564E-3</v>
      </c>
      <c r="AD25" s="74">
        <f t="shared" si="21"/>
        <v>2.1760890935095564E-3</v>
      </c>
      <c r="AE25" s="73">
        <f t="shared" si="22"/>
        <v>6.2363909774436101E-2</v>
      </c>
      <c r="AF25" s="72">
        <f t="shared" si="23"/>
        <v>0.46648570112164811</v>
      </c>
      <c r="AG25" s="72">
        <f t="shared" si="10"/>
        <v>9.7924009207930028E-4</v>
      </c>
      <c r="AH25" s="72">
        <f t="shared" si="11"/>
        <v>0.14047388266047781</v>
      </c>
      <c r="AI25" s="74">
        <f t="shared" si="24"/>
        <v>0.14145312275255711</v>
      </c>
      <c r="AJ25" s="73">
        <f t="shared" si="25"/>
        <v>0.24000000000000002</v>
      </c>
      <c r="AK25" s="72">
        <f t="shared" si="26"/>
        <v>0.64059079728416846</v>
      </c>
      <c r="AL25" s="72">
        <f t="shared" si="27"/>
        <v>0.16800000000000001</v>
      </c>
      <c r="AM25" s="72">
        <f t="shared" si="14"/>
        <v>0.42354999999999998</v>
      </c>
      <c r="AN25" s="74">
        <f t="shared" si="28"/>
        <v>0.59155000000000002</v>
      </c>
      <c r="AO25" s="73">
        <f t="shared" si="15"/>
        <v>2.6113069122114673E-3</v>
      </c>
      <c r="AP25" s="72">
        <f t="shared" si="16"/>
        <v>0.2467125</v>
      </c>
      <c r="AQ25" s="74">
        <f t="shared" si="29"/>
        <v>3.15E-3</v>
      </c>
      <c r="AR25" s="73">
        <f t="shared" si="30"/>
        <v>0.98547692966476863</v>
      </c>
      <c r="AS25" s="72">
        <f t="shared" si="31"/>
        <v>2.8800000000000003</v>
      </c>
      <c r="AT25" s="74">
        <f t="shared" si="32"/>
        <v>74.505683319387103</v>
      </c>
    </row>
    <row r="26" spans="17:46" ht="14.65" x14ac:dyDescent="0.4">
      <c r="Q26">
        <v>19</v>
      </c>
      <c r="R26" s="73">
        <f t="shared" si="0"/>
        <v>12</v>
      </c>
      <c r="S26" s="72">
        <f t="shared" si="1"/>
        <v>0.25333333333333335</v>
      </c>
      <c r="T26" s="72">
        <f t="shared" si="2"/>
        <v>7</v>
      </c>
      <c r="U26" s="74">
        <f t="shared" si="3"/>
        <v>0.43428571428571427</v>
      </c>
      <c r="V26" s="73">
        <f t="shared" si="4"/>
        <v>2</v>
      </c>
      <c r="W26" s="72">
        <f t="shared" si="5"/>
        <v>0.63157894736842102</v>
      </c>
      <c r="X26" s="74">
        <f t="shared" si="6"/>
        <v>0.36842105263157898</v>
      </c>
      <c r="Y26" s="73">
        <f t="shared" si="18"/>
        <v>0.76159390724874199</v>
      </c>
      <c r="Z26" s="72">
        <f t="shared" si="33"/>
        <v>1.4492129548677894</v>
      </c>
      <c r="AA26" s="72">
        <f t="shared" si="19"/>
        <v>0.48676433887031362</v>
      </c>
      <c r="AB26" s="72">
        <v>0</v>
      </c>
      <c r="AC26" s="72">
        <f t="shared" si="20"/>
        <v>2.3693952159585352E-3</v>
      </c>
      <c r="AD26" s="74">
        <f t="shared" si="21"/>
        <v>2.3693952159585352E-3</v>
      </c>
      <c r="AE26" s="73">
        <f t="shared" si="22"/>
        <v>6.948571428571429E-2</v>
      </c>
      <c r="AF26" s="72">
        <f t="shared" si="23"/>
        <v>0.48676433887031362</v>
      </c>
      <c r="AG26" s="72">
        <f t="shared" si="10"/>
        <v>1.066227847181341E-3</v>
      </c>
      <c r="AH26" s="72">
        <f t="shared" si="11"/>
        <v>0.14827798725272656</v>
      </c>
      <c r="AI26" s="74">
        <f t="shared" si="24"/>
        <v>0.14934421509990789</v>
      </c>
      <c r="AJ26" s="73">
        <f t="shared" si="25"/>
        <v>0.25333333333333335</v>
      </c>
      <c r="AK26" s="72">
        <f t="shared" si="26"/>
        <v>0.66209147649635069</v>
      </c>
      <c r="AL26" s="72">
        <f t="shared" si="27"/>
        <v>0.17733333333333334</v>
      </c>
      <c r="AM26" s="72">
        <f t="shared" si="14"/>
        <v>0.42354999999999998</v>
      </c>
      <c r="AN26" s="74">
        <f t="shared" si="28"/>
        <v>0.60088333333333332</v>
      </c>
      <c r="AO26" s="73">
        <f t="shared" si="15"/>
        <v>2.8432742591502423E-3</v>
      </c>
      <c r="AP26" s="72">
        <f t="shared" si="16"/>
        <v>0.2467125</v>
      </c>
      <c r="AQ26" s="74">
        <f t="shared" si="29"/>
        <v>3.15E-3</v>
      </c>
      <c r="AR26" s="73">
        <f t="shared" si="30"/>
        <v>1.0029333226923915</v>
      </c>
      <c r="AS26" s="72">
        <f t="shared" si="31"/>
        <v>3.04</v>
      </c>
      <c r="AT26" s="74">
        <f t="shared" si="32"/>
        <v>75.19292942421103</v>
      </c>
    </row>
    <row r="27" spans="17:46" ht="14.65" x14ac:dyDescent="0.4">
      <c r="Q27">
        <v>20</v>
      </c>
      <c r="R27" s="73">
        <f t="shared" si="0"/>
        <v>12</v>
      </c>
      <c r="S27" s="72">
        <f t="shared" si="1"/>
        <v>0.26666666666666666</v>
      </c>
      <c r="T27" s="72">
        <f t="shared" si="2"/>
        <v>7</v>
      </c>
      <c r="U27" s="74">
        <f t="shared" si="3"/>
        <v>0.45714285714285718</v>
      </c>
      <c r="V27" s="73">
        <f t="shared" si="4"/>
        <v>2</v>
      </c>
      <c r="W27" s="72">
        <f t="shared" si="5"/>
        <v>0.63157894736842102</v>
      </c>
      <c r="X27" s="74">
        <f t="shared" si="6"/>
        <v>0.36842105263157898</v>
      </c>
      <c r="Y27" s="73">
        <f t="shared" si="18"/>
        <v>0.76159390724874199</v>
      </c>
      <c r="Z27" s="72">
        <f t="shared" si="33"/>
        <v>1.4854034310582658</v>
      </c>
      <c r="AA27" s="72">
        <f t="shared" si="19"/>
        <v>0.50726229093037778</v>
      </c>
      <c r="AB27" s="72">
        <v>0</v>
      </c>
      <c r="AC27" s="72">
        <f t="shared" si="20"/>
        <v>2.5731503179993519E-3</v>
      </c>
      <c r="AD27" s="74">
        <f t="shared" si="21"/>
        <v>2.5731503179993519E-3</v>
      </c>
      <c r="AE27" s="73">
        <f t="shared" si="22"/>
        <v>7.6992481203007529E-2</v>
      </c>
      <c r="AF27" s="72">
        <f t="shared" si="23"/>
        <v>0.50726229093037778</v>
      </c>
      <c r="AG27" s="72">
        <f t="shared" si="10"/>
        <v>1.1579176430997085E-3</v>
      </c>
      <c r="AH27" s="72">
        <f t="shared" si="11"/>
        <v>0.15608209184497535</v>
      </c>
      <c r="AI27" s="74">
        <f t="shared" si="24"/>
        <v>0.15724000948807507</v>
      </c>
      <c r="AJ27" s="73">
        <f t="shared" si="25"/>
        <v>0.26666666666666666</v>
      </c>
      <c r="AK27" s="72">
        <f t="shared" si="26"/>
        <v>0.68362179331714468</v>
      </c>
      <c r="AL27" s="72">
        <f t="shared" si="27"/>
        <v>0.18666666666666665</v>
      </c>
      <c r="AM27" s="72">
        <f t="shared" si="14"/>
        <v>0.42354999999999998</v>
      </c>
      <c r="AN27" s="74">
        <f t="shared" si="28"/>
        <v>0.61021666666666663</v>
      </c>
      <c r="AO27" s="73">
        <f t="shared" si="15"/>
        <v>3.0877803815992223E-3</v>
      </c>
      <c r="AP27" s="72">
        <f t="shared" si="16"/>
        <v>0.2467125</v>
      </c>
      <c r="AQ27" s="74">
        <f t="shared" si="29"/>
        <v>3.15E-3</v>
      </c>
      <c r="AR27" s="73">
        <f t="shared" si="30"/>
        <v>1.0204069565363409</v>
      </c>
      <c r="AS27" s="72">
        <f t="shared" si="31"/>
        <v>3.2</v>
      </c>
      <c r="AT27" s="74">
        <f t="shared" si="32"/>
        <v>75.822071969718721</v>
      </c>
    </row>
    <row r="28" spans="17:46" ht="14.65" x14ac:dyDescent="0.4">
      <c r="Q28">
        <v>21</v>
      </c>
      <c r="R28" s="73">
        <f t="shared" si="0"/>
        <v>12</v>
      </c>
      <c r="S28" s="72">
        <f t="shared" si="1"/>
        <v>0.28000000000000003</v>
      </c>
      <c r="T28" s="72">
        <f t="shared" si="2"/>
        <v>7</v>
      </c>
      <c r="U28" s="74">
        <f t="shared" si="3"/>
        <v>0.48000000000000004</v>
      </c>
      <c r="V28" s="73">
        <f t="shared" si="4"/>
        <v>2</v>
      </c>
      <c r="W28" s="72">
        <f t="shared" si="5"/>
        <v>0.63157894736842102</v>
      </c>
      <c r="X28" s="74">
        <f t="shared" si="6"/>
        <v>0.36842105263157898</v>
      </c>
      <c r="Y28" s="73">
        <f t="shared" si="18"/>
        <v>0.76159390724874199</v>
      </c>
      <c r="Z28" s="72">
        <f t="shared" si="33"/>
        <v>1.5215939072487421</v>
      </c>
      <c r="AA28" s="72">
        <f t="shared" si="19"/>
        <v>0.52795401311402157</v>
      </c>
      <c r="AB28" s="72">
        <v>0</v>
      </c>
      <c r="AC28" s="72">
        <f t="shared" si="20"/>
        <v>2.7873543996320043E-3</v>
      </c>
      <c r="AD28" s="74">
        <f t="shared" si="21"/>
        <v>2.7873543996320043E-3</v>
      </c>
      <c r="AE28" s="73">
        <f t="shared" si="22"/>
        <v>8.4884210526315798E-2</v>
      </c>
      <c r="AF28" s="72">
        <f t="shared" si="23"/>
        <v>0.52795401311402157</v>
      </c>
      <c r="AG28" s="72">
        <f t="shared" si="10"/>
        <v>1.2543094798344021E-3</v>
      </c>
      <c r="AH28" s="72">
        <f t="shared" si="11"/>
        <v>0.1638861964372241</v>
      </c>
      <c r="AI28" s="74">
        <f t="shared" si="24"/>
        <v>0.16514050591705851</v>
      </c>
      <c r="AJ28" s="73">
        <f t="shared" si="25"/>
        <v>0.28000000000000003</v>
      </c>
      <c r="AK28" s="72">
        <f t="shared" si="26"/>
        <v>0.70517903309178098</v>
      </c>
      <c r="AL28" s="72">
        <f t="shared" si="27"/>
        <v>0.19600000000000001</v>
      </c>
      <c r="AM28" s="72">
        <f t="shared" si="14"/>
        <v>0.42354999999999998</v>
      </c>
      <c r="AN28" s="74">
        <f t="shared" si="28"/>
        <v>0.61955000000000005</v>
      </c>
      <c r="AO28" s="73">
        <f t="shared" si="15"/>
        <v>3.3448252795584051E-3</v>
      </c>
      <c r="AP28" s="72">
        <f t="shared" si="16"/>
        <v>0.2467125</v>
      </c>
      <c r="AQ28" s="74">
        <f t="shared" si="29"/>
        <v>3.15E-3</v>
      </c>
      <c r="AR28" s="73">
        <f t="shared" si="30"/>
        <v>1.0378978311966169</v>
      </c>
      <c r="AS28" s="72">
        <f t="shared" si="31"/>
        <v>3.3600000000000003</v>
      </c>
      <c r="AT28" s="74">
        <f t="shared" si="32"/>
        <v>76.400137724113122</v>
      </c>
    </row>
    <row r="29" spans="17:46" ht="14.65" x14ac:dyDescent="0.4">
      <c r="Q29">
        <v>22</v>
      </c>
      <c r="R29" s="73">
        <f t="shared" si="0"/>
        <v>12</v>
      </c>
      <c r="S29" s="72">
        <f t="shared" si="1"/>
        <v>0.29333333333333333</v>
      </c>
      <c r="T29" s="72">
        <f t="shared" si="2"/>
        <v>7</v>
      </c>
      <c r="U29" s="74">
        <f t="shared" si="3"/>
        <v>0.50285714285714289</v>
      </c>
      <c r="V29" s="73">
        <f t="shared" si="4"/>
        <v>2</v>
      </c>
      <c r="W29" s="72">
        <f t="shared" si="5"/>
        <v>0.63157894736842102</v>
      </c>
      <c r="X29" s="74">
        <f t="shared" si="6"/>
        <v>0.36842105263157898</v>
      </c>
      <c r="Y29" s="73">
        <f t="shared" si="18"/>
        <v>0.76159390724874199</v>
      </c>
      <c r="Z29" s="72">
        <f t="shared" si="33"/>
        <v>1.5577843834392182</v>
      </c>
      <c r="AA29" s="72">
        <f t="shared" si="19"/>
        <v>0.54881758908188194</v>
      </c>
      <c r="AB29" s="72">
        <v>0</v>
      </c>
      <c r="AC29" s="72">
        <f t="shared" si="20"/>
        <v>3.0120074608564942E-3</v>
      </c>
      <c r="AD29" s="74">
        <f t="shared" si="21"/>
        <v>3.0120074608564942E-3</v>
      </c>
      <c r="AE29" s="73">
        <f t="shared" si="22"/>
        <v>9.3160902255639097E-2</v>
      </c>
      <c r="AF29" s="72">
        <f t="shared" si="23"/>
        <v>0.54881758908188194</v>
      </c>
      <c r="AG29" s="72">
        <f t="shared" si="10"/>
        <v>1.3554033573854225E-3</v>
      </c>
      <c r="AH29" s="72">
        <f t="shared" si="11"/>
        <v>0.17169030102947289</v>
      </c>
      <c r="AI29" s="74">
        <f t="shared" si="24"/>
        <v>0.17304570438685832</v>
      </c>
      <c r="AJ29" s="73">
        <f t="shared" si="25"/>
        <v>0.29333333333333333</v>
      </c>
      <c r="AK29" s="72">
        <f t="shared" si="26"/>
        <v>0.72676080005146715</v>
      </c>
      <c r="AL29" s="72">
        <f t="shared" si="27"/>
        <v>0.20533333333333331</v>
      </c>
      <c r="AM29" s="72">
        <f t="shared" si="14"/>
        <v>0.42354999999999998</v>
      </c>
      <c r="AN29" s="74">
        <f t="shared" si="28"/>
        <v>0.62888333333333324</v>
      </c>
      <c r="AO29" s="73">
        <f t="shared" si="15"/>
        <v>3.6144089530277929E-3</v>
      </c>
      <c r="AP29" s="72">
        <f t="shared" si="16"/>
        <v>0.2467125</v>
      </c>
      <c r="AQ29" s="74">
        <f t="shared" si="29"/>
        <v>3.15E-3</v>
      </c>
      <c r="AR29" s="73">
        <f t="shared" si="30"/>
        <v>1.0554059466732193</v>
      </c>
      <c r="AS29" s="72">
        <f t="shared" si="31"/>
        <v>3.52</v>
      </c>
      <c r="AT29" s="74">
        <f t="shared" si="32"/>
        <v>76.933064323164459</v>
      </c>
    </row>
    <row r="30" spans="17:46" ht="14.65" x14ac:dyDescent="0.4">
      <c r="Q30">
        <v>23</v>
      </c>
      <c r="R30" s="73">
        <f t="shared" si="0"/>
        <v>12</v>
      </c>
      <c r="S30" s="72">
        <f t="shared" si="1"/>
        <v>0.3066666666666667</v>
      </c>
      <c r="T30" s="72">
        <f t="shared" si="2"/>
        <v>7</v>
      </c>
      <c r="U30" s="74">
        <f t="shared" si="3"/>
        <v>0.5257142857142858</v>
      </c>
      <c r="V30" s="73">
        <f t="shared" si="4"/>
        <v>2</v>
      </c>
      <c r="W30" s="72">
        <f t="shared" si="5"/>
        <v>0.63157894736842102</v>
      </c>
      <c r="X30" s="74">
        <f t="shared" si="6"/>
        <v>0.36842105263157898</v>
      </c>
      <c r="Y30" s="73">
        <f t="shared" si="18"/>
        <v>0.76159390724874199</v>
      </c>
      <c r="Z30" s="72">
        <f t="shared" si="33"/>
        <v>1.5939748596296943</v>
      </c>
      <c r="AA30" s="72">
        <f t="shared" si="19"/>
        <v>0.56983414268301102</v>
      </c>
      <c r="AB30" s="72">
        <v>0</v>
      </c>
      <c r="AC30" s="72">
        <f t="shared" si="20"/>
        <v>3.247109501672822E-3</v>
      </c>
      <c r="AD30" s="74">
        <f t="shared" si="21"/>
        <v>3.247109501672822E-3</v>
      </c>
      <c r="AE30" s="73">
        <f t="shared" si="22"/>
        <v>0.10182255639097745</v>
      </c>
      <c r="AF30" s="72">
        <f t="shared" si="23"/>
        <v>0.56983414268301102</v>
      </c>
      <c r="AG30" s="72">
        <f t="shared" si="10"/>
        <v>1.4611992757527701E-3</v>
      </c>
      <c r="AH30" s="72">
        <f t="shared" si="11"/>
        <v>0.17949440562172167</v>
      </c>
      <c r="AI30" s="74">
        <f t="shared" si="24"/>
        <v>0.18095560489747445</v>
      </c>
      <c r="AJ30" s="73">
        <f t="shared" si="25"/>
        <v>0.3066666666666667</v>
      </c>
      <c r="AK30" s="72">
        <f t="shared" si="26"/>
        <v>0.74836497221323595</v>
      </c>
      <c r="AL30" s="72">
        <f t="shared" si="27"/>
        <v>0.21466666666666667</v>
      </c>
      <c r="AM30" s="72">
        <f t="shared" si="14"/>
        <v>0.42354999999999998</v>
      </c>
      <c r="AN30" s="74">
        <f t="shared" si="28"/>
        <v>0.63821666666666665</v>
      </c>
      <c r="AO30" s="73">
        <f t="shared" si="15"/>
        <v>3.8965314020073861E-3</v>
      </c>
      <c r="AP30" s="72">
        <f t="shared" si="16"/>
        <v>0.2467125</v>
      </c>
      <c r="AQ30" s="74">
        <f t="shared" si="29"/>
        <v>3.15E-3</v>
      </c>
      <c r="AR30" s="73">
        <f t="shared" si="30"/>
        <v>1.0729313029661485</v>
      </c>
      <c r="AS30" s="72">
        <f t="shared" si="31"/>
        <v>3.6800000000000006</v>
      </c>
      <c r="AT30" s="74">
        <f t="shared" si="32"/>
        <v>77.425903414666081</v>
      </c>
    </row>
    <row r="31" spans="17:46" ht="14.65" x14ac:dyDescent="0.4">
      <c r="Q31">
        <v>24</v>
      </c>
      <c r="R31" s="73">
        <f t="shared" si="0"/>
        <v>12</v>
      </c>
      <c r="S31" s="72">
        <f t="shared" si="1"/>
        <v>0.32</v>
      </c>
      <c r="T31" s="72">
        <f t="shared" si="2"/>
        <v>7</v>
      </c>
      <c r="U31" s="74">
        <f t="shared" si="3"/>
        <v>0.5485714285714286</v>
      </c>
      <c r="V31" s="73">
        <f t="shared" si="4"/>
        <v>2</v>
      </c>
      <c r="W31" s="72">
        <f t="shared" si="5"/>
        <v>0.63157894736842102</v>
      </c>
      <c r="X31" s="74">
        <f t="shared" si="6"/>
        <v>0.36842105263157898</v>
      </c>
      <c r="Y31" s="73">
        <f t="shared" si="18"/>
        <v>0.76159390724874199</v>
      </c>
      <c r="Z31" s="72">
        <f t="shared" si="33"/>
        <v>1.6301653358201706</v>
      </c>
      <c r="AA31" s="72">
        <f t="shared" si="19"/>
        <v>0.59098735367865396</v>
      </c>
      <c r="AB31" s="72">
        <v>0</v>
      </c>
      <c r="AC31" s="72">
        <f t="shared" si="20"/>
        <v>3.4926605220809842E-3</v>
      </c>
      <c r="AD31" s="74">
        <f t="shared" si="21"/>
        <v>3.4926605220809842E-3</v>
      </c>
      <c r="AE31" s="73">
        <f t="shared" si="22"/>
        <v>0.11086917293233084</v>
      </c>
      <c r="AF31" s="72">
        <f t="shared" si="23"/>
        <v>0.59098735367865396</v>
      </c>
      <c r="AG31" s="72">
        <f t="shared" si="10"/>
        <v>1.5716972349364431E-3</v>
      </c>
      <c r="AH31" s="72">
        <f t="shared" si="11"/>
        <v>0.18729851021397043</v>
      </c>
      <c r="AI31" s="74">
        <f t="shared" si="24"/>
        <v>0.18887020744890687</v>
      </c>
      <c r="AJ31" s="73">
        <f t="shared" si="25"/>
        <v>0.32</v>
      </c>
      <c r="AK31" s="72">
        <f t="shared" si="26"/>
        <v>0.76998966366118571</v>
      </c>
      <c r="AL31" s="72">
        <f t="shared" si="27"/>
        <v>0.22399999999999998</v>
      </c>
      <c r="AM31" s="72">
        <f t="shared" si="14"/>
        <v>0.42354999999999998</v>
      </c>
      <c r="AN31" s="74">
        <f t="shared" si="28"/>
        <v>0.64754999999999996</v>
      </c>
      <c r="AO31" s="73">
        <f t="shared" si="15"/>
        <v>4.1911926264971812E-3</v>
      </c>
      <c r="AP31" s="72">
        <f t="shared" si="16"/>
        <v>0.2467125</v>
      </c>
      <c r="AQ31" s="74">
        <f t="shared" si="29"/>
        <v>3.15E-3</v>
      </c>
      <c r="AR31" s="73">
        <f t="shared" si="30"/>
        <v>1.090473900075404</v>
      </c>
      <c r="AS31" s="72">
        <f t="shared" si="31"/>
        <v>3.84</v>
      </c>
      <c r="AT31" s="74">
        <f t="shared" si="32"/>
        <v>77.882979969557766</v>
      </c>
    </row>
    <row r="32" spans="17:46" ht="14.65" x14ac:dyDescent="0.4">
      <c r="Q32">
        <v>25</v>
      </c>
      <c r="R32" s="73">
        <f t="shared" si="0"/>
        <v>12</v>
      </c>
      <c r="S32" s="72">
        <f t="shared" si="1"/>
        <v>0.33333333333333337</v>
      </c>
      <c r="T32" s="72">
        <f t="shared" si="2"/>
        <v>7</v>
      </c>
      <c r="U32" s="74">
        <f t="shared" si="3"/>
        <v>0.5714285714285714</v>
      </c>
      <c r="V32" s="73">
        <f t="shared" si="4"/>
        <v>2</v>
      </c>
      <c r="W32" s="72">
        <f t="shared" si="5"/>
        <v>0.63157894736842102</v>
      </c>
      <c r="X32" s="74">
        <f t="shared" si="6"/>
        <v>0.36842105263157898</v>
      </c>
      <c r="Y32" s="73">
        <f t="shared" si="18"/>
        <v>0.76159390724874199</v>
      </c>
      <c r="Z32" s="72">
        <f t="shared" si="33"/>
        <v>1.6663558120106468</v>
      </c>
      <c r="AA32" s="72">
        <f t="shared" si="19"/>
        <v>0.61226305801354564</v>
      </c>
      <c r="AB32" s="72">
        <v>0</v>
      </c>
      <c r="AC32" s="72">
        <f t="shared" si="20"/>
        <v>3.7486605220809835E-3</v>
      </c>
      <c r="AD32" s="74">
        <f t="shared" si="21"/>
        <v>3.7486605220809835E-3</v>
      </c>
      <c r="AE32" s="73">
        <f t="shared" si="22"/>
        <v>0.12030075187969926</v>
      </c>
      <c r="AF32" s="72">
        <f t="shared" si="23"/>
        <v>0.61226305801354564</v>
      </c>
      <c r="AG32" s="72">
        <f t="shared" si="10"/>
        <v>1.6868972349364426E-3</v>
      </c>
      <c r="AH32" s="72">
        <f t="shared" si="11"/>
        <v>0.19510261480621915</v>
      </c>
      <c r="AI32" s="74">
        <f t="shared" si="24"/>
        <v>0.19678951204115561</v>
      </c>
      <c r="AJ32" s="73">
        <f t="shared" si="25"/>
        <v>0.33333333333333337</v>
      </c>
      <c r="AK32" s="72">
        <f t="shared" si="26"/>
        <v>0.79163319284848932</v>
      </c>
      <c r="AL32" s="72">
        <f t="shared" si="27"/>
        <v>0.23333333333333334</v>
      </c>
      <c r="AM32" s="72">
        <f t="shared" si="14"/>
        <v>0.42354999999999998</v>
      </c>
      <c r="AN32" s="74">
        <f t="shared" si="28"/>
        <v>0.65688333333333326</v>
      </c>
      <c r="AO32" s="73">
        <f t="shared" si="15"/>
        <v>4.49839262649718E-3</v>
      </c>
      <c r="AP32" s="72">
        <f t="shared" si="16"/>
        <v>0.2467125</v>
      </c>
      <c r="AQ32" s="74">
        <f t="shared" si="29"/>
        <v>3.15E-3</v>
      </c>
      <c r="AR32" s="73">
        <f t="shared" si="30"/>
        <v>1.1080337380009861</v>
      </c>
      <c r="AS32" s="72">
        <f t="shared" si="31"/>
        <v>4</v>
      </c>
      <c r="AT32" s="74">
        <f t="shared" si="32"/>
        <v>78.308018411119335</v>
      </c>
    </row>
    <row r="33" spans="17:46" ht="14.65" x14ac:dyDescent="0.4">
      <c r="Q33">
        <v>26</v>
      </c>
      <c r="R33" s="73">
        <f t="shared" si="0"/>
        <v>12</v>
      </c>
      <c r="S33" s="72">
        <f t="shared" si="1"/>
        <v>0.34666666666666668</v>
      </c>
      <c r="T33" s="72">
        <f t="shared" si="2"/>
        <v>7</v>
      </c>
      <c r="U33" s="74">
        <f t="shared" si="3"/>
        <v>0.59428571428571431</v>
      </c>
      <c r="V33" s="73">
        <f t="shared" si="4"/>
        <v>2</v>
      </c>
      <c r="W33" s="72">
        <f t="shared" si="5"/>
        <v>0.63157894736842102</v>
      </c>
      <c r="X33" s="74">
        <f t="shared" si="6"/>
        <v>0.36842105263157898</v>
      </c>
      <c r="Y33" s="73">
        <f t="shared" si="18"/>
        <v>0.76159390724874199</v>
      </c>
      <c r="Z33" s="72">
        <f t="shared" si="33"/>
        <v>1.7025462882011229</v>
      </c>
      <c r="AA33" s="72">
        <f t="shared" si="19"/>
        <v>0.63364891711994753</v>
      </c>
      <c r="AB33" s="72">
        <v>0</v>
      </c>
      <c r="AC33" s="72">
        <f t="shared" si="20"/>
        <v>4.0151095016728216E-3</v>
      </c>
      <c r="AD33" s="74">
        <f t="shared" si="21"/>
        <v>4.0151095016728216E-3</v>
      </c>
      <c r="AE33" s="73">
        <f t="shared" si="22"/>
        <v>0.13011729323308271</v>
      </c>
      <c r="AF33" s="72">
        <f t="shared" si="23"/>
        <v>0.63364891711994753</v>
      </c>
      <c r="AG33" s="72">
        <f t="shared" si="10"/>
        <v>1.8067992757527698E-3</v>
      </c>
      <c r="AH33" s="72">
        <f t="shared" si="11"/>
        <v>0.20290671939846794</v>
      </c>
      <c r="AI33" s="74">
        <f t="shared" si="24"/>
        <v>0.20471351867422072</v>
      </c>
      <c r="AJ33" s="73">
        <f t="shared" si="25"/>
        <v>0.34666666666666668</v>
      </c>
      <c r="AK33" s="72">
        <f t="shared" si="26"/>
        <v>0.81329405583651015</v>
      </c>
      <c r="AL33" s="72">
        <f t="shared" si="27"/>
        <v>0.24266666666666667</v>
      </c>
      <c r="AM33" s="72">
        <f t="shared" si="14"/>
        <v>0.42354999999999998</v>
      </c>
      <c r="AN33" s="74">
        <f t="shared" si="28"/>
        <v>0.66621666666666668</v>
      </c>
      <c r="AO33" s="73">
        <f t="shared" si="15"/>
        <v>4.8181314020073855E-3</v>
      </c>
      <c r="AP33" s="72">
        <f t="shared" si="16"/>
        <v>0.2467125</v>
      </c>
      <c r="AQ33" s="74">
        <f t="shared" si="29"/>
        <v>3.15E-3</v>
      </c>
      <c r="AR33" s="73">
        <f t="shared" si="30"/>
        <v>1.1256108167428949</v>
      </c>
      <c r="AS33" s="72">
        <f t="shared" si="31"/>
        <v>4.16</v>
      </c>
      <c r="AT33" s="74">
        <f t="shared" si="32"/>
        <v>78.70424335485751</v>
      </c>
    </row>
    <row r="34" spans="17:46" ht="14.65" x14ac:dyDescent="0.4">
      <c r="Q34">
        <v>27</v>
      </c>
      <c r="R34" s="73">
        <f t="shared" si="0"/>
        <v>12</v>
      </c>
      <c r="S34" s="72">
        <f t="shared" si="1"/>
        <v>0.36000000000000004</v>
      </c>
      <c r="T34" s="72">
        <f t="shared" si="2"/>
        <v>7</v>
      </c>
      <c r="U34" s="74">
        <f t="shared" si="3"/>
        <v>0.61714285714285722</v>
      </c>
      <c r="V34" s="73">
        <f t="shared" si="4"/>
        <v>2</v>
      </c>
      <c r="W34" s="72">
        <f t="shared" si="5"/>
        <v>0.63157894736842102</v>
      </c>
      <c r="X34" s="74">
        <f t="shared" si="6"/>
        <v>0.36842105263157898</v>
      </c>
      <c r="Y34" s="73">
        <f t="shared" si="18"/>
        <v>0.76159390724874199</v>
      </c>
      <c r="Z34" s="72">
        <f t="shared" si="33"/>
        <v>1.7387367643915992</v>
      </c>
      <c r="AA34" s="72">
        <f t="shared" si="19"/>
        <v>0.65513414358102995</v>
      </c>
      <c r="AB34" s="72">
        <v>0</v>
      </c>
      <c r="AC34" s="72">
        <f t="shared" si="20"/>
        <v>4.2920074608564958E-3</v>
      </c>
      <c r="AD34" s="74">
        <f t="shared" si="21"/>
        <v>4.2920074608564958E-3</v>
      </c>
      <c r="AE34" s="73">
        <f t="shared" si="22"/>
        <v>0.14031879699248123</v>
      </c>
      <c r="AF34" s="72">
        <f t="shared" si="23"/>
        <v>0.65513414358102995</v>
      </c>
      <c r="AG34" s="72">
        <f t="shared" si="10"/>
        <v>1.9314033573854233E-3</v>
      </c>
      <c r="AH34" s="72">
        <f t="shared" si="11"/>
        <v>0.21071082399071675</v>
      </c>
      <c r="AI34" s="74">
        <f t="shared" si="24"/>
        <v>0.21264222734810218</v>
      </c>
      <c r="AJ34" s="73">
        <f t="shared" si="25"/>
        <v>0.36000000000000004</v>
      </c>
      <c r="AK34" s="72">
        <f t="shared" si="26"/>
        <v>0.83497090360298598</v>
      </c>
      <c r="AL34" s="72">
        <f t="shared" si="27"/>
        <v>0.252</v>
      </c>
      <c r="AM34" s="72">
        <f t="shared" si="14"/>
        <v>0.42354999999999998</v>
      </c>
      <c r="AN34" s="74">
        <f t="shared" si="28"/>
        <v>0.67554999999999998</v>
      </c>
      <c r="AO34" s="73">
        <f t="shared" si="15"/>
        <v>5.1504089530277951E-3</v>
      </c>
      <c r="AP34" s="72">
        <f t="shared" si="16"/>
        <v>0.2467125</v>
      </c>
      <c r="AQ34" s="74">
        <f t="shared" si="29"/>
        <v>3.15E-3</v>
      </c>
      <c r="AR34" s="73">
        <f t="shared" si="30"/>
        <v>1.1432051363011297</v>
      </c>
      <c r="AS34" s="72">
        <f t="shared" si="31"/>
        <v>4.32</v>
      </c>
      <c r="AT34" s="74">
        <f t="shared" si="32"/>
        <v>79.074460728100391</v>
      </c>
    </row>
    <row r="35" spans="17:46" ht="14.65" x14ac:dyDescent="0.4">
      <c r="Q35">
        <v>28</v>
      </c>
      <c r="R35" s="73">
        <f t="shared" si="0"/>
        <v>12</v>
      </c>
      <c r="S35" s="72">
        <f t="shared" si="1"/>
        <v>0.37333333333333335</v>
      </c>
      <c r="T35" s="72">
        <f t="shared" si="2"/>
        <v>7</v>
      </c>
      <c r="U35" s="74">
        <f t="shared" si="3"/>
        <v>0.64</v>
      </c>
      <c r="V35" s="73">
        <f t="shared" si="4"/>
        <v>2</v>
      </c>
      <c r="W35" s="72">
        <f t="shared" si="5"/>
        <v>0.63157894736842102</v>
      </c>
      <c r="X35" s="74">
        <f t="shared" si="6"/>
        <v>0.36842105263157898</v>
      </c>
      <c r="Y35" s="73">
        <f t="shared" si="18"/>
        <v>0.76159390724874199</v>
      </c>
      <c r="Z35" s="72">
        <f t="shared" si="33"/>
        <v>1.7749272405820755</v>
      </c>
      <c r="AA35" s="72">
        <f t="shared" si="19"/>
        <v>0.67670927285149596</v>
      </c>
      <c r="AB35" s="72">
        <v>0</v>
      </c>
      <c r="AC35" s="72">
        <f t="shared" si="20"/>
        <v>4.5793543996320045E-3</v>
      </c>
      <c r="AD35" s="74">
        <f t="shared" si="21"/>
        <v>4.5793543996320045E-3</v>
      </c>
      <c r="AE35" s="73">
        <f t="shared" si="22"/>
        <v>0.15090526315789474</v>
      </c>
      <c r="AF35" s="72">
        <f t="shared" si="23"/>
        <v>0.67670927285149596</v>
      </c>
      <c r="AG35" s="72">
        <f t="shared" si="10"/>
        <v>2.0607094798344022E-3</v>
      </c>
      <c r="AH35" s="72">
        <f t="shared" si="11"/>
        <v>0.21851492858296548</v>
      </c>
      <c r="AI35" s="74">
        <f t="shared" si="24"/>
        <v>0.22057563806279989</v>
      </c>
      <c r="AJ35" s="73">
        <f t="shared" si="25"/>
        <v>0.37333333333333335</v>
      </c>
      <c r="AK35" s="72">
        <f t="shared" si="26"/>
        <v>0.85666252272015087</v>
      </c>
      <c r="AL35" s="72">
        <f t="shared" si="27"/>
        <v>0.26133333333333331</v>
      </c>
      <c r="AM35" s="72">
        <f t="shared" si="14"/>
        <v>0.42354999999999998</v>
      </c>
      <c r="AN35" s="74">
        <f t="shared" si="28"/>
        <v>0.68488333333333329</v>
      </c>
      <c r="AO35" s="73">
        <f t="shared" si="15"/>
        <v>5.4952252795584054E-3</v>
      </c>
      <c r="AP35" s="72">
        <f t="shared" si="16"/>
        <v>0.2467125</v>
      </c>
      <c r="AQ35" s="74">
        <f t="shared" si="29"/>
        <v>3.15E-3</v>
      </c>
      <c r="AR35" s="73">
        <f t="shared" si="30"/>
        <v>1.1608166966756917</v>
      </c>
      <c r="AS35" s="72">
        <f t="shared" si="31"/>
        <v>4.4800000000000004</v>
      </c>
      <c r="AT35" s="74">
        <f t="shared" si="32"/>
        <v>79.421123587302574</v>
      </c>
    </row>
    <row r="36" spans="17:46" ht="14.65" x14ac:dyDescent="0.4">
      <c r="Q36">
        <v>29</v>
      </c>
      <c r="R36" s="73">
        <f t="shared" si="0"/>
        <v>12</v>
      </c>
      <c r="S36" s="72">
        <f t="shared" si="1"/>
        <v>0.38666666666666671</v>
      </c>
      <c r="T36" s="72">
        <f t="shared" si="2"/>
        <v>7</v>
      </c>
      <c r="U36" s="74">
        <f t="shared" si="3"/>
        <v>0.66285714285714292</v>
      </c>
      <c r="V36" s="73">
        <f t="shared" si="4"/>
        <v>2</v>
      </c>
      <c r="W36" s="72">
        <f t="shared" si="5"/>
        <v>0.63157894736842102</v>
      </c>
      <c r="X36" s="74">
        <f t="shared" si="6"/>
        <v>0.36842105263157898</v>
      </c>
      <c r="Y36" s="73">
        <f t="shared" si="18"/>
        <v>0.76159390724874199</v>
      </c>
      <c r="Z36" s="72">
        <f t="shared" si="33"/>
        <v>1.8111177167725514</v>
      </c>
      <c r="AA36" s="72">
        <f t="shared" si="19"/>
        <v>0.69836597268189926</v>
      </c>
      <c r="AB36" s="72">
        <v>0</v>
      </c>
      <c r="AC36" s="72">
        <f t="shared" si="20"/>
        <v>4.8771503179993528E-3</v>
      </c>
      <c r="AD36" s="74">
        <f t="shared" si="21"/>
        <v>4.8771503179993528E-3</v>
      </c>
      <c r="AE36" s="73">
        <f t="shared" si="22"/>
        <v>0.16187669172932334</v>
      </c>
      <c r="AF36" s="72">
        <f t="shared" si="23"/>
        <v>0.69836597268189926</v>
      </c>
      <c r="AG36" s="72">
        <f t="shared" si="10"/>
        <v>2.194717643099709E-3</v>
      </c>
      <c r="AH36" s="72">
        <f t="shared" si="11"/>
        <v>0.22631903317521426</v>
      </c>
      <c r="AI36" s="74">
        <f t="shared" si="24"/>
        <v>0.22851375081831396</v>
      </c>
      <c r="AJ36" s="73">
        <f t="shared" si="25"/>
        <v>0.38666666666666671</v>
      </c>
      <c r="AK36" s="72">
        <f t="shared" si="26"/>
        <v>0.87836781883673176</v>
      </c>
      <c r="AL36" s="72">
        <f t="shared" si="27"/>
        <v>0.27066666666666667</v>
      </c>
      <c r="AM36" s="72">
        <f t="shared" si="14"/>
        <v>0.42354999999999998</v>
      </c>
      <c r="AN36" s="74">
        <f t="shared" si="28"/>
        <v>0.6942166666666667</v>
      </c>
      <c r="AO36" s="73">
        <f t="shared" si="15"/>
        <v>5.8525803815992232E-3</v>
      </c>
      <c r="AP36" s="72">
        <f t="shared" si="16"/>
        <v>0.2467125</v>
      </c>
      <c r="AQ36" s="74">
        <f t="shared" si="29"/>
        <v>3.15E-3</v>
      </c>
      <c r="AR36" s="73">
        <f t="shared" si="30"/>
        <v>1.1784454978665797</v>
      </c>
      <c r="AS36" s="72">
        <f t="shared" si="31"/>
        <v>4.6400000000000006</v>
      </c>
      <c r="AT36" s="74">
        <f t="shared" si="32"/>
        <v>79.746385898111882</v>
      </c>
    </row>
    <row r="37" spans="17:46" ht="14.65" x14ac:dyDescent="0.4">
      <c r="Q37">
        <v>30</v>
      </c>
      <c r="R37" s="73">
        <f t="shared" si="0"/>
        <v>12</v>
      </c>
      <c r="S37" s="72">
        <f t="shared" si="1"/>
        <v>0.4</v>
      </c>
      <c r="T37" s="72">
        <f t="shared" si="2"/>
        <v>7</v>
      </c>
      <c r="U37" s="74">
        <f t="shared" si="3"/>
        <v>0.68571428571428583</v>
      </c>
      <c r="V37" s="73">
        <f t="shared" si="4"/>
        <v>2</v>
      </c>
      <c r="W37" s="72">
        <f t="shared" si="5"/>
        <v>0.63157894736842102</v>
      </c>
      <c r="X37" s="74">
        <f t="shared" si="6"/>
        <v>0.36842105263157898</v>
      </c>
      <c r="Y37" s="73">
        <f t="shared" si="18"/>
        <v>0.76159390724874199</v>
      </c>
      <c r="Z37" s="72">
        <f t="shared" si="33"/>
        <v>1.8473081929630277</v>
      </c>
      <c r="AA37" s="72">
        <f t="shared" si="19"/>
        <v>0.72009688347878142</v>
      </c>
      <c r="AB37" s="72">
        <v>0</v>
      </c>
      <c r="AC37" s="72">
        <f t="shared" si="20"/>
        <v>5.1853952159585373E-3</v>
      </c>
      <c r="AD37" s="74">
        <f t="shared" si="21"/>
        <v>5.1853952159585373E-3</v>
      </c>
      <c r="AE37" s="73">
        <f t="shared" si="22"/>
        <v>0.17323308270676696</v>
      </c>
      <c r="AF37" s="72">
        <f t="shared" si="23"/>
        <v>0.72009688347878142</v>
      </c>
      <c r="AG37" s="72">
        <f t="shared" si="10"/>
        <v>2.3334278471813419E-3</v>
      </c>
      <c r="AH37" s="72">
        <f t="shared" si="11"/>
        <v>0.23412313776746302</v>
      </c>
      <c r="AI37" s="74">
        <f t="shared" si="24"/>
        <v>0.23645656561464437</v>
      </c>
      <c r="AJ37" s="73">
        <f t="shared" si="25"/>
        <v>0.4</v>
      </c>
      <c r="AK37" s="72">
        <f t="shared" si="26"/>
        <v>0.90008580250319603</v>
      </c>
      <c r="AL37" s="72">
        <f t="shared" si="27"/>
        <v>0.27999999999999997</v>
      </c>
      <c r="AM37" s="72">
        <f t="shared" si="14"/>
        <v>0.42354999999999998</v>
      </c>
      <c r="AN37" s="74">
        <f t="shared" si="28"/>
        <v>0.7035499999999999</v>
      </c>
      <c r="AO37" s="73">
        <f t="shared" si="15"/>
        <v>6.2224742591502442E-3</v>
      </c>
      <c r="AP37" s="72">
        <f t="shared" si="16"/>
        <v>0.2467125</v>
      </c>
      <c r="AQ37" s="74">
        <f t="shared" si="29"/>
        <v>3.15E-3</v>
      </c>
      <c r="AR37" s="73">
        <f t="shared" si="30"/>
        <v>1.1960915398737944</v>
      </c>
      <c r="AS37" s="72">
        <f t="shared" si="31"/>
        <v>4.8000000000000007</v>
      </c>
      <c r="AT37" s="74">
        <f t="shared" si="32"/>
        <v>80.052146770611685</v>
      </c>
    </row>
    <row r="38" spans="17:46" ht="14.65" x14ac:dyDescent="0.4">
      <c r="Q38">
        <v>31</v>
      </c>
      <c r="R38" s="73">
        <f t="shared" si="0"/>
        <v>12</v>
      </c>
      <c r="S38" s="72">
        <f t="shared" si="1"/>
        <v>0.41333333333333339</v>
      </c>
      <c r="T38" s="72">
        <f t="shared" si="2"/>
        <v>7</v>
      </c>
      <c r="U38" s="74">
        <f t="shared" si="3"/>
        <v>0.70857142857142874</v>
      </c>
      <c r="V38" s="73">
        <f t="shared" si="4"/>
        <v>2</v>
      </c>
      <c r="W38" s="72">
        <f t="shared" si="5"/>
        <v>0.63157894736842102</v>
      </c>
      <c r="X38" s="74">
        <f t="shared" si="6"/>
        <v>0.36842105263157898</v>
      </c>
      <c r="Y38" s="73">
        <f t="shared" si="18"/>
        <v>0.76159390724874199</v>
      </c>
      <c r="Z38" s="72">
        <f t="shared" si="33"/>
        <v>1.8834986691535041</v>
      </c>
      <c r="AA38" s="72">
        <f t="shared" si="19"/>
        <v>0.741895484115489</v>
      </c>
      <c r="AB38" s="72">
        <v>0</v>
      </c>
      <c r="AC38" s="72">
        <f t="shared" si="20"/>
        <v>5.5040890935095579E-3</v>
      </c>
      <c r="AD38" s="74">
        <f t="shared" si="21"/>
        <v>5.5040890935095579E-3</v>
      </c>
      <c r="AE38" s="73">
        <f t="shared" si="22"/>
        <v>0.18497443609022562</v>
      </c>
      <c r="AF38" s="72">
        <f t="shared" si="23"/>
        <v>0.741895484115489</v>
      </c>
      <c r="AG38" s="72">
        <f t="shared" si="10"/>
        <v>2.4768400920793013E-3</v>
      </c>
      <c r="AH38" s="72">
        <f t="shared" si="11"/>
        <v>0.24192724235971186</v>
      </c>
      <c r="AI38" s="74">
        <f t="shared" si="24"/>
        <v>0.24440408245179115</v>
      </c>
      <c r="AJ38" s="73">
        <f t="shared" si="25"/>
        <v>0.41333333333333339</v>
      </c>
      <c r="AK38" s="72">
        <f t="shared" si="26"/>
        <v>0.92181557696359551</v>
      </c>
      <c r="AL38" s="72">
        <f t="shared" si="27"/>
        <v>0.28933333333333333</v>
      </c>
      <c r="AM38" s="72">
        <f t="shared" si="14"/>
        <v>0.42354999999999998</v>
      </c>
      <c r="AN38" s="74">
        <f t="shared" si="28"/>
        <v>0.71288333333333331</v>
      </c>
      <c r="AO38" s="73">
        <f t="shared" si="15"/>
        <v>6.6049069122114694E-3</v>
      </c>
      <c r="AP38" s="72">
        <f t="shared" si="16"/>
        <v>0.2467125</v>
      </c>
      <c r="AQ38" s="74">
        <f t="shared" si="29"/>
        <v>3.15E-3</v>
      </c>
      <c r="AR38" s="73">
        <f t="shared" si="30"/>
        <v>1.213754822697336</v>
      </c>
      <c r="AS38" s="72">
        <f t="shared" si="31"/>
        <v>4.9600000000000009</v>
      </c>
      <c r="AT38" s="74">
        <f t="shared" si="32"/>
        <v>80.34008706929761</v>
      </c>
    </row>
    <row r="39" spans="17:46" ht="14.65" x14ac:dyDescent="0.4">
      <c r="Q39">
        <v>32</v>
      </c>
      <c r="R39" s="73">
        <f t="shared" si="0"/>
        <v>12</v>
      </c>
      <c r="S39" s="72">
        <f t="shared" ref="S39:S70" si="34">Q39*$O$12</f>
        <v>0.42666666666666669</v>
      </c>
      <c r="T39" s="72">
        <f t="shared" si="2"/>
        <v>7</v>
      </c>
      <c r="U39" s="74">
        <f t="shared" ref="U39:U70" si="35">(R39*S39)/(T39*EFF_est)</f>
        <v>0.73142857142857143</v>
      </c>
      <c r="V39" s="73">
        <f t="shared" ref="V39:V70" si="36">IF(S39&lt;((T39^2)*R39)/(2*Fsw*Lm*((T39+R39)^2)),1,2)</f>
        <v>2</v>
      </c>
      <c r="W39" s="72">
        <f t="shared" ref="W39:W70" si="37">CHOOSE(V39,SQRT(2*Lm*R39*S39*Fsw)/T39,R39/(T39+R39))</f>
        <v>0.63157894736842102</v>
      </c>
      <c r="X39" s="74">
        <f t="shared" ref="X39:X70" si="38">CHOOSE(V39,(Lm*Z39*Fsw)/(R39),1-W39)</f>
        <v>0.36842105263157898</v>
      </c>
      <c r="Y39" s="73">
        <f t="shared" si="18"/>
        <v>0.76159390724874199</v>
      </c>
      <c r="Z39" s="72">
        <f t="shared" si="33"/>
        <v>1.9196891453439799</v>
      </c>
      <c r="AA39" s="72">
        <f t="shared" si="19"/>
        <v>0.76375597874271417</v>
      </c>
      <c r="AB39" s="72">
        <v>0</v>
      </c>
      <c r="AC39" s="72">
        <f t="shared" si="20"/>
        <v>5.8332319506524122E-3</v>
      </c>
      <c r="AD39" s="74">
        <f t="shared" si="21"/>
        <v>5.8332319506524122E-3</v>
      </c>
      <c r="AE39" s="73">
        <f t="shared" si="22"/>
        <v>0.19710075187969925</v>
      </c>
      <c r="AF39" s="72">
        <f t="shared" si="23"/>
        <v>0.76375597874271417</v>
      </c>
      <c r="AG39" s="72">
        <f t="shared" ref="AG39:AG70" si="39">(AF39^2)*RDS_on</f>
        <v>2.624954377793586E-3</v>
      </c>
      <c r="AH39" s="72">
        <f t="shared" ref="AH39:AH70" si="40">(((R39+T39)*(U39+S39))/2)*Fsw*(tr_sw+tf_sw)</f>
        <v>0.2497313469519605</v>
      </c>
      <c r="AI39" s="74">
        <f t="shared" si="24"/>
        <v>0.25235630132975406</v>
      </c>
      <c r="AJ39" s="73">
        <f t="shared" si="25"/>
        <v>0.42666666666666669</v>
      </c>
      <c r="AK39" s="72">
        <f t="shared" si="26"/>
        <v>0.94355632760461594</v>
      </c>
      <c r="AL39" s="72">
        <f t="shared" si="27"/>
        <v>0.29866666666666669</v>
      </c>
      <c r="AM39" s="72">
        <f t="shared" ref="AM39:AM70" si="41">(R39+T39+Vd_rect)*Qrr*Fsw</f>
        <v>0.42354999999999998</v>
      </c>
      <c r="AN39" s="74">
        <f t="shared" si="28"/>
        <v>0.72221666666666673</v>
      </c>
      <c r="AO39" s="73">
        <f t="shared" ref="AO39:AO70" si="42">(AF39^2)*R_cs</f>
        <v>6.9998783407828951E-3</v>
      </c>
      <c r="AP39" s="72">
        <f t="shared" si="16"/>
        <v>0.2467125</v>
      </c>
      <c r="AQ39" s="74">
        <f t="shared" si="29"/>
        <v>3.15E-3</v>
      </c>
      <c r="AR39" s="73">
        <f t="shared" si="30"/>
        <v>1.2314353463372036</v>
      </c>
      <c r="AS39" s="72">
        <f t="shared" si="31"/>
        <v>5.12</v>
      </c>
      <c r="AT39" s="74">
        <f t="shared" si="32"/>
        <v>80.611699888477062</v>
      </c>
    </row>
    <row r="40" spans="17:46" ht="14.65" x14ac:dyDescent="0.4">
      <c r="Q40">
        <v>33</v>
      </c>
      <c r="R40" s="73">
        <f t="shared" si="0"/>
        <v>12</v>
      </c>
      <c r="S40" s="72">
        <f t="shared" si="34"/>
        <v>0.44</v>
      </c>
      <c r="T40" s="72">
        <f t="shared" si="2"/>
        <v>7</v>
      </c>
      <c r="U40" s="74">
        <f t="shared" si="35"/>
        <v>0.75428571428571434</v>
      </c>
      <c r="V40" s="73">
        <f t="shared" si="36"/>
        <v>2</v>
      </c>
      <c r="W40" s="72">
        <f t="shared" si="37"/>
        <v>0.63157894736842102</v>
      </c>
      <c r="X40" s="74">
        <f t="shared" si="38"/>
        <v>0.36842105263157898</v>
      </c>
      <c r="Y40" s="73">
        <f t="shared" si="18"/>
        <v>0.76159390724874199</v>
      </c>
      <c r="Z40" s="72">
        <f t="shared" si="33"/>
        <v>1.9558796215344563</v>
      </c>
      <c r="AA40" s="72">
        <f t="shared" si="19"/>
        <v>0.78567320098035076</v>
      </c>
      <c r="AB40" s="72">
        <v>0</v>
      </c>
      <c r="AC40" s="72">
        <f t="shared" si="20"/>
        <v>6.1728237873871061E-3</v>
      </c>
      <c r="AD40" s="74">
        <f t="shared" si="21"/>
        <v>6.1728237873871061E-3</v>
      </c>
      <c r="AE40" s="73">
        <f t="shared" si="22"/>
        <v>0.20961203007518794</v>
      </c>
      <c r="AF40" s="72">
        <f t="shared" si="23"/>
        <v>0.78567320098035076</v>
      </c>
      <c r="AG40" s="72">
        <f t="shared" si="39"/>
        <v>2.7777707043241981E-3</v>
      </c>
      <c r="AH40" s="72">
        <f t="shared" si="40"/>
        <v>0.25753545154420932</v>
      </c>
      <c r="AI40" s="74">
        <f t="shared" si="24"/>
        <v>0.26031322224853354</v>
      </c>
      <c r="AJ40" s="73">
        <f t="shared" si="25"/>
        <v>0.44</v>
      </c>
      <c r="AK40" s="72">
        <f t="shared" si="26"/>
        <v>0.96530731280653426</v>
      </c>
      <c r="AL40" s="72">
        <f t="shared" si="27"/>
        <v>0.308</v>
      </c>
      <c r="AM40" s="72">
        <f t="shared" si="41"/>
        <v>0.42354999999999998</v>
      </c>
      <c r="AN40" s="74">
        <f t="shared" si="28"/>
        <v>0.73154999999999992</v>
      </c>
      <c r="AO40" s="73">
        <f t="shared" si="42"/>
        <v>7.4073885448645276E-3</v>
      </c>
      <c r="AP40" s="72">
        <f t="shared" si="16"/>
        <v>0.2467125</v>
      </c>
      <c r="AQ40" s="74">
        <f t="shared" si="29"/>
        <v>3.15E-3</v>
      </c>
      <c r="AR40" s="73">
        <f t="shared" si="30"/>
        <v>1.2491331107933978</v>
      </c>
      <c r="AS40" s="72">
        <f t="shared" si="31"/>
        <v>5.28</v>
      </c>
      <c r="AT40" s="74">
        <f t="shared" si="32"/>
        <v>80.868316059777683</v>
      </c>
    </row>
    <row r="41" spans="17:46" ht="14.65" x14ac:dyDescent="0.4">
      <c r="Q41">
        <v>34</v>
      </c>
      <c r="R41" s="73">
        <f t="shared" si="0"/>
        <v>12</v>
      </c>
      <c r="S41" s="72">
        <f t="shared" si="34"/>
        <v>0.45333333333333337</v>
      </c>
      <c r="T41" s="72">
        <f t="shared" si="2"/>
        <v>7</v>
      </c>
      <c r="U41" s="74">
        <f t="shared" si="35"/>
        <v>0.77714285714285725</v>
      </c>
      <c r="V41" s="73">
        <f t="shared" si="36"/>
        <v>2</v>
      </c>
      <c r="W41" s="72">
        <f t="shared" si="37"/>
        <v>0.63157894736842102</v>
      </c>
      <c r="X41" s="74">
        <f t="shared" si="38"/>
        <v>0.36842105263157898</v>
      </c>
      <c r="Y41" s="73">
        <f t="shared" si="18"/>
        <v>0.76159390724874199</v>
      </c>
      <c r="Z41" s="72">
        <f t="shared" si="33"/>
        <v>1.9920700977249326</v>
      </c>
      <c r="AA41" s="72">
        <f t="shared" si="19"/>
        <v>0.80764253254231466</v>
      </c>
      <c r="AB41" s="72">
        <v>0</v>
      </c>
      <c r="AC41" s="72">
        <f t="shared" si="20"/>
        <v>6.5228646037136387E-3</v>
      </c>
      <c r="AD41" s="74">
        <f t="shared" si="21"/>
        <v>6.5228646037136387E-3</v>
      </c>
      <c r="AE41" s="73">
        <f t="shared" si="22"/>
        <v>0.22250827067669174</v>
      </c>
      <c r="AF41" s="72">
        <f t="shared" si="23"/>
        <v>0.80764253254231466</v>
      </c>
      <c r="AG41" s="72">
        <f t="shared" si="39"/>
        <v>2.9352890716711376E-3</v>
      </c>
      <c r="AH41" s="72">
        <f t="shared" si="40"/>
        <v>0.26533955613645815</v>
      </c>
      <c r="AI41" s="74">
        <f t="shared" si="24"/>
        <v>0.26827484520812928</v>
      </c>
      <c r="AJ41" s="73">
        <f t="shared" si="25"/>
        <v>0.45333333333333337</v>
      </c>
      <c r="AK41" s="72">
        <f t="shared" si="26"/>
        <v>0.98706785598453883</v>
      </c>
      <c r="AL41" s="72">
        <f t="shared" si="27"/>
        <v>0.31733333333333336</v>
      </c>
      <c r="AM41" s="72">
        <f t="shared" si="41"/>
        <v>0.42354999999999998</v>
      </c>
      <c r="AN41" s="74">
        <f t="shared" si="28"/>
        <v>0.74088333333333334</v>
      </c>
      <c r="AO41" s="73">
        <f t="shared" si="42"/>
        <v>7.8274375244563668E-3</v>
      </c>
      <c r="AP41" s="72">
        <f t="shared" si="16"/>
        <v>0.2467125</v>
      </c>
      <c r="AQ41" s="74">
        <f t="shared" si="29"/>
        <v>3.15E-3</v>
      </c>
      <c r="AR41" s="73">
        <f t="shared" si="30"/>
        <v>1.2668481160659189</v>
      </c>
      <c r="AS41" s="72">
        <f t="shared" si="31"/>
        <v>5.44</v>
      </c>
      <c r="AT41" s="74">
        <f t="shared" si="32"/>
        <v>81.111125611578288</v>
      </c>
    </row>
    <row r="42" spans="17:46" ht="14.65" x14ac:dyDescent="0.4">
      <c r="Q42">
        <v>35</v>
      </c>
      <c r="R42" s="73">
        <f t="shared" si="0"/>
        <v>12</v>
      </c>
      <c r="S42" s="72">
        <f t="shared" si="34"/>
        <v>0.46666666666666667</v>
      </c>
      <c r="T42" s="72">
        <f t="shared" si="2"/>
        <v>7</v>
      </c>
      <c r="U42" s="74">
        <f t="shared" si="35"/>
        <v>0.79999999999999993</v>
      </c>
      <c r="V42" s="73">
        <f t="shared" si="36"/>
        <v>2</v>
      </c>
      <c r="W42" s="72">
        <f t="shared" si="37"/>
        <v>0.63157894736842102</v>
      </c>
      <c r="X42" s="74">
        <f t="shared" si="38"/>
        <v>0.36842105263157898</v>
      </c>
      <c r="Y42" s="73">
        <f t="shared" si="18"/>
        <v>0.76159390724874199</v>
      </c>
      <c r="Z42" s="72">
        <f t="shared" si="33"/>
        <v>2.0282605739154085</v>
      </c>
      <c r="AA42" s="72">
        <f t="shared" si="19"/>
        <v>0.82965983388567166</v>
      </c>
      <c r="AB42" s="72">
        <v>0</v>
      </c>
      <c r="AC42" s="72">
        <f t="shared" si="20"/>
        <v>6.8833543996320032E-3</v>
      </c>
      <c r="AD42" s="74">
        <f t="shared" si="21"/>
        <v>6.8833543996320032E-3</v>
      </c>
      <c r="AE42" s="73">
        <f t="shared" si="22"/>
        <v>0.23578947368421049</v>
      </c>
      <c r="AF42" s="72">
        <f t="shared" si="23"/>
        <v>0.82965983388567166</v>
      </c>
      <c r="AG42" s="72">
        <f t="shared" si="39"/>
        <v>3.0975094798344018E-3</v>
      </c>
      <c r="AH42" s="72">
        <f t="shared" si="40"/>
        <v>0.27314366072870688</v>
      </c>
      <c r="AI42" s="74">
        <f t="shared" si="24"/>
        <v>0.27624117020854128</v>
      </c>
      <c r="AJ42" s="73">
        <f t="shared" si="25"/>
        <v>0.46666666666666667</v>
      </c>
      <c r="AK42" s="72">
        <f t="shared" si="26"/>
        <v>1.0088373386444096</v>
      </c>
      <c r="AL42" s="72">
        <f t="shared" si="27"/>
        <v>0.32666666666666666</v>
      </c>
      <c r="AM42" s="72">
        <f t="shared" si="41"/>
        <v>0.42354999999999998</v>
      </c>
      <c r="AN42" s="74">
        <f t="shared" si="28"/>
        <v>0.75021666666666664</v>
      </c>
      <c r="AO42" s="73">
        <f t="shared" si="42"/>
        <v>8.2600252795584049E-3</v>
      </c>
      <c r="AP42" s="72">
        <f t="shared" si="16"/>
        <v>0.2467125</v>
      </c>
      <c r="AQ42" s="74">
        <f t="shared" si="29"/>
        <v>3.15E-3</v>
      </c>
      <c r="AR42" s="73">
        <f t="shared" si="30"/>
        <v>1.2845803621547665</v>
      </c>
      <c r="AS42" s="72">
        <f t="shared" si="31"/>
        <v>5.6</v>
      </c>
      <c r="AT42" s="74">
        <f t="shared" si="32"/>
        <v>81.34119591055638</v>
      </c>
    </row>
    <row r="43" spans="17:46" ht="14.65" x14ac:dyDescent="0.4">
      <c r="Q43">
        <v>36</v>
      </c>
      <c r="R43" s="73">
        <f t="shared" si="0"/>
        <v>12</v>
      </c>
      <c r="S43" s="72">
        <f t="shared" si="34"/>
        <v>0.48000000000000004</v>
      </c>
      <c r="T43" s="72">
        <f t="shared" si="2"/>
        <v>7</v>
      </c>
      <c r="U43" s="74">
        <f t="shared" si="35"/>
        <v>0.82285714285714295</v>
      </c>
      <c r="V43" s="73">
        <f t="shared" si="36"/>
        <v>2</v>
      </c>
      <c r="W43" s="72">
        <f t="shared" si="37"/>
        <v>0.63157894736842102</v>
      </c>
      <c r="X43" s="74">
        <f t="shared" si="38"/>
        <v>0.36842105263157898</v>
      </c>
      <c r="Y43" s="73">
        <f t="shared" si="18"/>
        <v>0.76159390724874199</v>
      </c>
      <c r="Z43" s="72">
        <f t="shared" si="33"/>
        <v>2.0644510501058848</v>
      </c>
      <c r="AA43" s="72">
        <f t="shared" si="19"/>
        <v>0.85172138491071192</v>
      </c>
      <c r="AB43" s="72">
        <v>0</v>
      </c>
      <c r="AC43" s="72">
        <f t="shared" si="20"/>
        <v>7.2542931751422117E-3</v>
      </c>
      <c r="AD43" s="74">
        <f t="shared" si="21"/>
        <v>7.2542931751422117E-3</v>
      </c>
      <c r="AE43" s="73">
        <f t="shared" si="22"/>
        <v>0.2494556390977444</v>
      </c>
      <c r="AF43" s="72">
        <f t="shared" si="23"/>
        <v>0.85172138491071192</v>
      </c>
      <c r="AG43" s="72">
        <f t="shared" si="39"/>
        <v>3.2644319288139953E-3</v>
      </c>
      <c r="AH43" s="72">
        <f t="shared" si="40"/>
        <v>0.28094776532095561</v>
      </c>
      <c r="AI43" s="74">
        <f t="shared" si="24"/>
        <v>0.28421219724976959</v>
      </c>
      <c r="AJ43" s="73">
        <f t="shared" si="25"/>
        <v>0.48000000000000004</v>
      </c>
      <c r="AK43" s="72">
        <f t="shared" si="26"/>
        <v>1.0306151943055353</v>
      </c>
      <c r="AL43" s="72">
        <f t="shared" si="27"/>
        <v>0.33600000000000002</v>
      </c>
      <c r="AM43" s="72">
        <f t="shared" si="41"/>
        <v>0.42354999999999998</v>
      </c>
      <c r="AN43" s="74">
        <f t="shared" si="28"/>
        <v>0.75954999999999995</v>
      </c>
      <c r="AO43" s="73">
        <f t="shared" si="42"/>
        <v>8.705151810170654E-3</v>
      </c>
      <c r="AP43" s="72">
        <f t="shared" si="16"/>
        <v>0.2467125</v>
      </c>
      <c r="AQ43" s="74">
        <f t="shared" si="29"/>
        <v>3.15E-3</v>
      </c>
      <c r="AR43" s="73">
        <f t="shared" si="30"/>
        <v>1.3023298490599402</v>
      </c>
      <c r="AS43" s="72">
        <f t="shared" si="31"/>
        <v>5.7600000000000007</v>
      </c>
      <c r="AT43" s="74">
        <f t="shared" si="32"/>
        <v>81.55948706879937</v>
      </c>
    </row>
    <row r="44" spans="17:46" ht="14.65" x14ac:dyDescent="0.4">
      <c r="Q44">
        <v>37</v>
      </c>
      <c r="R44" s="73">
        <f t="shared" si="0"/>
        <v>12</v>
      </c>
      <c r="S44" s="72">
        <f t="shared" si="34"/>
        <v>0.49333333333333335</v>
      </c>
      <c r="T44" s="72">
        <f t="shared" si="2"/>
        <v>7</v>
      </c>
      <c r="U44" s="74">
        <f t="shared" si="35"/>
        <v>0.84571428571428575</v>
      </c>
      <c r="V44" s="73">
        <f t="shared" si="36"/>
        <v>2</v>
      </c>
      <c r="W44" s="72">
        <f t="shared" si="37"/>
        <v>0.63157894736842102</v>
      </c>
      <c r="X44" s="74">
        <f t="shared" si="38"/>
        <v>0.36842105263157898</v>
      </c>
      <c r="Y44" s="73">
        <f t="shared" si="18"/>
        <v>0.76159390724874199</v>
      </c>
      <c r="Z44" s="72">
        <f t="shared" si="33"/>
        <v>2.1006415262963611</v>
      </c>
      <c r="AA44" s="72">
        <f t="shared" si="19"/>
        <v>0.87382383409038744</v>
      </c>
      <c r="AB44" s="72">
        <v>0</v>
      </c>
      <c r="AC44" s="72">
        <f t="shared" si="20"/>
        <v>7.6356809302442494E-3</v>
      </c>
      <c r="AD44" s="74">
        <f t="shared" si="21"/>
        <v>7.6356809302442494E-3</v>
      </c>
      <c r="AE44" s="73">
        <f t="shared" si="22"/>
        <v>0.26350676691729324</v>
      </c>
      <c r="AF44" s="72">
        <f t="shared" si="23"/>
        <v>0.87382383409038744</v>
      </c>
      <c r="AG44" s="72">
        <f t="shared" si="39"/>
        <v>3.4360564186099126E-3</v>
      </c>
      <c r="AH44" s="72">
        <f t="shared" si="40"/>
        <v>0.2887518699132044</v>
      </c>
      <c r="AI44" s="74">
        <f t="shared" si="24"/>
        <v>0.29218792633181428</v>
      </c>
      <c r="AJ44" s="73">
        <f t="shared" si="25"/>
        <v>0.49333333333333335</v>
      </c>
      <c r="AK44" s="72">
        <f t="shared" si="26"/>
        <v>1.0524009031679973</v>
      </c>
      <c r="AL44" s="72">
        <f t="shared" si="27"/>
        <v>0.34533333333333333</v>
      </c>
      <c r="AM44" s="72">
        <f t="shared" si="41"/>
        <v>0.42354999999999998</v>
      </c>
      <c r="AN44" s="74">
        <f t="shared" si="28"/>
        <v>0.76888333333333336</v>
      </c>
      <c r="AO44" s="73">
        <f t="shared" si="42"/>
        <v>9.1628171162931003E-3</v>
      </c>
      <c r="AP44" s="72">
        <f t="shared" si="16"/>
        <v>0.2467125</v>
      </c>
      <c r="AQ44" s="74">
        <f t="shared" si="29"/>
        <v>3.15E-3</v>
      </c>
      <c r="AR44" s="73">
        <f t="shared" si="30"/>
        <v>1.3200965767814405</v>
      </c>
      <c r="AS44" s="72">
        <f t="shared" si="31"/>
        <v>5.92</v>
      </c>
      <c r="AT44" s="74">
        <f t="shared" si="32"/>
        <v>81.76686508554441</v>
      </c>
    </row>
    <row r="45" spans="17:46" ht="14.65" x14ac:dyDescent="0.4">
      <c r="Q45">
        <v>38</v>
      </c>
      <c r="R45" s="73">
        <f t="shared" si="0"/>
        <v>12</v>
      </c>
      <c r="S45" s="72">
        <f t="shared" si="34"/>
        <v>0.50666666666666671</v>
      </c>
      <c r="T45" s="72">
        <f t="shared" si="2"/>
        <v>7</v>
      </c>
      <c r="U45" s="74">
        <f t="shared" si="35"/>
        <v>0.86857142857142855</v>
      </c>
      <c r="V45" s="73">
        <f t="shared" si="36"/>
        <v>2</v>
      </c>
      <c r="W45" s="72">
        <f t="shared" si="37"/>
        <v>0.63157894736842102</v>
      </c>
      <c r="X45" s="74">
        <f t="shared" si="38"/>
        <v>0.36842105263157898</v>
      </c>
      <c r="Y45" s="73">
        <f t="shared" si="18"/>
        <v>0.76159390724874199</v>
      </c>
      <c r="Z45" s="72">
        <f t="shared" si="33"/>
        <v>2.136832002486837</v>
      </c>
      <c r="AA45" s="72">
        <f t="shared" si="19"/>
        <v>0.89596415469248136</v>
      </c>
      <c r="AB45" s="72">
        <v>0</v>
      </c>
      <c r="AC45" s="72">
        <f t="shared" si="20"/>
        <v>8.0275176649381268E-3</v>
      </c>
      <c r="AD45" s="74">
        <f t="shared" si="21"/>
        <v>8.0275176649381268E-3</v>
      </c>
      <c r="AE45" s="73">
        <f t="shared" si="22"/>
        <v>0.27794285714285716</v>
      </c>
      <c r="AF45" s="72">
        <f t="shared" si="23"/>
        <v>0.89596415469248136</v>
      </c>
      <c r="AG45" s="72">
        <f t="shared" si="39"/>
        <v>3.6123829492221574E-3</v>
      </c>
      <c r="AH45" s="72">
        <f t="shared" si="40"/>
        <v>0.29655597450545312</v>
      </c>
      <c r="AI45" s="74">
        <f t="shared" si="24"/>
        <v>0.30016835745467529</v>
      </c>
      <c r="AJ45" s="73">
        <f t="shared" si="25"/>
        <v>0.50666666666666671</v>
      </c>
      <c r="AK45" s="72">
        <f t="shared" si="26"/>
        <v>1.0741939874199982</v>
      </c>
      <c r="AL45" s="72">
        <f t="shared" si="27"/>
        <v>0.35466666666666669</v>
      </c>
      <c r="AM45" s="72">
        <f t="shared" si="41"/>
        <v>0.42354999999999998</v>
      </c>
      <c r="AN45" s="74">
        <f t="shared" si="28"/>
        <v>0.77821666666666667</v>
      </c>
      <c r="AO45" s="73">
        <f t="shared" si="42"/>
        <v>9.6330211979257525E-3</v>
      </c>
      <c r="AP45" s="72">
        <f t="shared" si="16"/>
        <v>0.2467125</v>
      </c>
      <c r="AQ45" s="74">
        <f t="shared" si="29"/>
        <v>3.15E-3</v>
      </c>
      <c r="AR45" s="73">
        <f t="shared" si="30"/>
        <v>1.3378805453192679</v>
      </c>
      <c r="AS45" s="72">
        <f t="shared" si="31"/>
        <v>6.08</v>
      </c>
      <c r="AT45" s="74">
        <f t="shared" si="32"/>
        <v>81.964113102852806</v>
      </c>
    </row>
    <row r="46" spans="17:46" ht="14.65" x14ac:dyDescent="0.4">
      <c r="Q46">
        <v>39</v>
      </c>
      <c r="R46" s="73">
        <f t="shared" si="0"/>
        <v>12</v>
      </c>
      <c r="S46" s="72">
        <f t="shared" si="34"/>
        <v>0.52</v>
      </c>
      <c r="T46" s="72">
        <f t="shared" si="2"/>
        <v>7</v>
      </c>
      <c r="U46" s="74">
        <f t="shared" si="35"/>
        <v>0.89142857142857146</v>
      </c>
      <c r="V46" s="73">
        <f t="shared" si="36"/>
        <v>2</v>
      </c>
      <c r="W46" s="72">
        <f t="shared" si="37"/>
        <v>0.63157894736842102</v>
      </c>
      <c r="X46" s="74">
        <f t="shared" si="38"/>
        <v>0.36842105263157898</v>
      </c>
      <c r="Y46" s="73">
        <f t="shared" si="18"/>
        <v>0.76159390724874199</v>
      </c>
      <c r="Z46" s="72">
        <f t="shared" si="33"/>
        <v>2.1730224786773134</v>
      </c>
      <c r="AA46" s="72">
        <f t="shared" si="19"/>
        <v>0.91813960698925523</v>
      </c>
      <c r="AB46" s="72">
        <v>0</v>
      </c>
      <c r="AC46" s="72">
        <f t="shared" si="20"/>
        <v>8.4298033792238412E-3</v>
      </c>
      <c r="AD46" s="74">
        <f t="shared" si="21"/>
        <v>8.4298033792238412E-3</v>
      </c>
      <c r="AE46" s="73">
        <f t="shared" si="22"/>
        <v>0.29276390977443612</v>
      </c>
      <c r="AF46" s="72">
        <f t="shared" si="23"/>
        <v>0.91813960698925523</v>
      </c>
      <c r="AG46" s="72">
        <f t="shared" si="39"/>
        <v>3.7934115206507287E-3</v>
      </c>
      <c r="AH46" s="72">
        <f t="shared" si="40"/>
        <v>0.30436007909770196</v>
      </c>
      <c r="AI46" s="74">
        <f t="shared" si="24"/>
        <v>0.30815349061835268</v>
      </c>
      <c r="AJ46" s="73">
        <f t="shared" si="25"/>
        <v>0.52</v>
      </c>
      <c r="AK46" s="72">
        <f t="shared" si="26"/>
        <v>1.0959940070980381</v>
      </c>
      <c r="AL46" s="72">
        <f t="shared" si="27"/>
        <v>0.36399999999999999</v>
      </c>
      <c r="AM46" s="72">
        <f t="shared" si="41"/>
        <v>0.42354999999999998</v>
      </c>
      <c r="AN46" s="74">
        <f t="shared" si="28"/>
        <v>0.78754999999999997</v>
      </c>
      <c r="AO46" s="73">
        <f t="shared" si="42"/>
        <v>1.0115764055068609E-2</v>
      </c>
      <c r="AP46" s="72">
        <f t="shared" si="16"/>
        <v>0.2467125</v>
      </c>
      <c r="AQ46" s="74">
        <f t="shared" si="29"/>
        <v>3.15E-3</v>
      </c>
      <c r="AR46" s="73">
        <f t="shared" si="30"/>
        <v>1.3556817546734214</v>
      </c>
      <c r="AS46" s="72">
        <f t="shared" si="31"/>
        <v>6.24</v>
      </c>
      <c r="AT46" s="74">
        <f t="shared" si="32"/>
        <v>82.151941083638661</v>
      </c>
    </row>
    <row r="47" spans="17:46" ht="14.65" x14ac:dyDescent="0.4">
      <c r="Q47">
        <v>40</v>
      </c>
      <c r="R47" s="73">
        <f t="shared" si="0"/>
        <v>12</v>
      </c>
      <c r="S47" s="72">
        <f t="shared" si="34"/>
        <v>0.53333333333333333</v>
      </c>
      <c r="T47" s="72">
        <f t="shared" si="2"/>
        <v>7</v>
      </c>
      <c r="U47" s="74">
        <f t="shared" si="35"/>
        <v>0.91428571428571437</v>
      </c>
      <c r="V47" s="73">
        <f t="shared" si="36"/>
        <v>2</v>
      </c>
      <c r="W47" s="72">
        <f t="shared" si="37"/>
        <v>0.63157894736842102</v>
      </c>
      <c r="X47" s="74">
        <f t="shared" si="38"/>
        <v>0.36842105263157898</v>
      </c>
      <c r="Y47" s="73">
        <f t="shared" si="18"/>
        <v>0.76159390724874199</v>
      </c>
      <c r="Z47" s="72">
        <f t="shared" si="33"/>
        <v>2.2092129548677897</v>
      </c>
      <c r="AA47" s="72">
        <f t="shared" si="19"/>
        <v>0.94034770553776514</v>
      </c>
      <c r="AB47" s="72">
        <v>0</v>
      </c>
      <c r="AC47" s="72">
        <f t="shared" si="20"/>
        <v>8.8425380731013952E-3</v>
      </c>
      <c r="AD47" s="74">
        <f t="shared" si="21"/>
        <v>8.8425380731013952E-3</v>
      </c>
      <c r="AE47" s="73">
        <f t="shared" si="22"/>
        <v>0.30796992481203012</v>
      </c>
      <c r="AF47" s="72">
        <f t="shared" si="23"/>
        <v>0.94034770553776514</v>
      </c>
      <c r="AG47" s="72">
        <f t="shared" si="39"/>
        <v>3.9791421328956283E-3</v>
      </c>
      <c r="AH47" s="72">
        <f t="shared" si="40"/>
        <v>0.31216418368995069</v>
      </c>
      <c r="AI47" s="74">
        <f t="shared" si="24"/>
        <v>0.31614332582284632</v>
      </c>
      <c r="AJ47" s="73">
        <f t="shared" si="25"/>
        <v>0.53333333333333333</v>
      </c>
      <c r="AK47" s="72">
        <f t="shared" si="26"/>
        <v>1.117800556425623</v>
      </c>
      <c r="AL47" s="72">
        <f t="shared" si="27"/>
        <v>0.37333333333333329</v>
      </c>
      <c r="AM47" s="72">
        <f t="shared" si="41"/>
        <v>0.42354999999999998</v>
      </c>
      <c r="AN47" s="74">
        <f t="shared" si="28"/>
        <v>0.79688333333333328</v>
      </c>
      <c r="AO47" s="73">
        <f t="shared" si="42"/>
        <v>1.0611045687721674E-2</v>
      </c>
      <c r="AP47" s="72">
        <f t="shared" si="16"/>
        <v>0.2467125</v>
      </c>
      <c r="AQ47" s="74">
        <f t="shared" si="29"/>
        <v>3.15E-3</v>
      </c>
      <c r="AR47" s="73">
        <f t="shared" si="30"/>
        <v>1.3735002048439011</v>
      </c>
      <c r="AS47" s="72">
        <f t="shared" si="31"/>
        <v>6.4</v>
      </c>
      <c r="AT47" s="74">
        <f t="shared" si="32"/>
        <v>82.330994164147171</v>
      </c>
    </row>
    <row r="48" spans="17:46" ht="14.65" x14ac:dyDescent="0.4">
      <c r="Q48">
        <v>41</v>
      </c>
      <c r="R48" s="73">
        <f t="shared" si="0"/>
        <v>12</v>
      </c>
      <c r="S48" s="72">
        <f t="shared" si="34"/>
        <v>0.54666666666666675</v>
      </c>
      <c r="T48" s="72">
        <f t="shared" si="2"/>
        <v>7</v>
      </c>
      <c r="U48" s="74">
        <f t="shared" si="35"/>
        <v>0.93714285714285717</v>
      </c>
      <c r="V48" s="73">
        <f t="shared" si="36"/>
        <v>2</v>
      </c>
      <c r="W48" s="72">
        <f t="shared" si="37"/>
        <v>0.63157894736842102</v>
      </c>
      <c r="X48" s="74">
        <f t="shared" si="38"/>
        <v>0.36842105263157898</v>
      </c>
      <c r="Y48" s="73">
        <f t="shared" si="18"/>
        <v>0.76159390724874199</v>
      </c>
      <c r="Z48" s="72">
        <f t="shared" si="33"/>
        <v>2.245403431058266</v>
      </c>
      <c r="AA48" s="72">
        <f t="shared" si="19"/>
        <v>0.96258619076791152</v>
      </c>
      <c r="AB48" s="72">
        <v>0</v>
      </c>
      <c r="AC48" s="72">
        <f t="shared" si="20"/>
        <v>9.265721746570782E-3</v>
      </c>
      <c r="AD48" s="74">
        <f t="shared" si="21"/>
        <v>9.265721746570782E-3</v>
      </c>
      <c r="AE48" s="73">
        <f t="shared" si="22"/>
        <v>0.32356090225563916</v>
      </c>
      <c r="AF48" s="72">
        <f t="shared" si="23"/>
        <v>0.96258619076791152</v>
      </c>
      <c r="AG48" s="72">
        <f t="shared" si="39"/>
        <v>4.1695747859568522E-3</v>
      </c>
      <c r="AH48" s="72">
        <f t="shared" si="40"/>
        <v>0.31996828828219948</v>
      </c>
      <c r="AI48" s="74">
        <f t="shared" si="24"/>
        <v>0.32413786306815634</v>
      </c>
      <c r="AJ48" s="73">
        <f t="shared" si="25"/>
        <v>0.54666666666666675</v>
      </c>
      <c r="AK48" s="72">
        <f t="shared" si="26"/>
        <v>1.1396132605674307</v>
      </c>
      <c r="AL48" s="72">
        <f t="shared" si="27"/>
        <v>0.38266666666666671</v>
      </c>
      <c r="AM48" s="72">
        <f t="shared" si="41"/>
        <v>0.42354999999999998</v>
      </c>
      <c r="AN48" s="74">
        <f t="shared" si="28"/>
        <v>0.80621666666666669</v>
      </c>
      <c r="AO48" s="73">
        <f t="shared" si="42"/>
        <v>1.1118866095884939E-2</v>
      </c>
      <c r="AP48" s="72">
        <f t="shared" si="16"/>
        <v>0.2467125</v>
      </c>
      <c r="AQ48" s="74">
        <f t="shared" si="29"/>
        <v>3.15E-3</v>
      </c>
      <c r="AR48" s="73">
        <f t="shared" si="30"/>
        <v>1.3913358958307078</v>
      </c>
      <c r="AS48" s="72">
        <f t="shared" si="31"/>
        <v>6.5600000000000005</v>
      </c>
      <c r="AT48" s="74">
        <f t="shared" si="32"/>
        <v>82.50185988796855</v>
      </c>
    </row>
    <row r="49" spans="17:46" ht="14.65" x14ac:dyDescent="0.4">
      <c r="Q49">
        <v>42</v>
      </c>
      <c r="R49" s="73">
        <f t="shared" si="0"/>
        <v>12</v>
      </c>
      <c r="S49" s="72">
        <f t="shared" si="34"/>
        <v>0.56000000000000005</v>
      </c>
      <c r="T49" s="72">
        <f t="shared" si="2"/>
        <v>7</v>
      </c>
      <c r="U49" s="74">
        <f t="shared" si="35"/>
        <v>0.96000000000000008</v>
      </c>
      <c r="V49" s="73">
        <f t="shared" si="36"/>
        <v>2</v>
      </c>
      <c r="W49" s="72">
        <f t="shared" si="37"/>
        <v>0.63157894736842102</v>
      </c>
      <c r="X49" s="74">
        <f t="shared" si="38"/>
        <v>0.36842105263157898</v>
      </c>
      <c r="Y49" s="73">
        <f t="shared" si="18"/>
        <v>0.76159390724874199</v>
      </c>
      <c r="Z49" s="72">
        <f t="shared" si="33"/>
        <v>2.2815939072487419</v>
      </c>
      <c r="AA49" s="72">
        <f t="shared" si="19"/>
        <v>0.98485300424134392</v>
      </c>
      <c r="AB49" s="72">
        <v>0</v>
      </c>
      <c r="AC49" s="72">
        <f t="shared" si="20"/>
        <v>9.6993543996320066E-3</v>
      </c>
      <c r="AD49" s="74">
        <f t="shared" si="21"/>
        <v>9.6993543996320066E-3</v>
      </c>
      <c r="AE49" s="73">
        <f t="shared" si="22"/>
        <v>0.33953684210526319</v>
      </c>
      <c r="AF49" s="72">
        <f t="shared" si="23"/>
        <v>0.98485300424134392</v>
      </c>
      <c r="AG49" s="72">
        <f t="shared" si="39"/>
        <v>4.3647094798344036E-3</v>
      </c>
      <c r="AH49" s="72">
        <f t="shared" si="40"/>
        <v>0.3277723928744482</v>
      </c>
      <c r="AI49" s="74">
        <f t="shared" si="24"/>
        <v>0.33213710235428262</v>
      </c>
      <c r="AJ49" s="73">
        <f t="shared" si="25"/>
        <v>0.56000000000000005</v>
      </c>
      <c r="AK49" s="72">
        <f t="shared" si="26"/>
        <v>1.1614317727451349</v>
      </c>
      <c r="AL49" s="72">
        <f t="shared" si="27"/>
        <v>0.39200000000000002</v>
      </c>
      <c r="AM49" s="72">
        <f t="shared" si="41"/>
        <v>0.42354999999999998</v>
      </c>
      <c r="AN49" s="74">
        <f t="shared" si="28"/>
        <v>0.81555</v>
      </c>
      <c r="AO49" s="73">
        <f t="shared" si="42"/>
        <v>1.1639225279558407E-2</v>
      </c>
      <c r="AP49" s="72">
        <f t="shared" si="16"/>
        <v>0.2467125</v>
      </c>
      <c r="AQ49" s="74">
        <f t="shared" si="29"/>
        <v>3.15E-3</v>
      </c>
      <c r="AR49" s="73">
        <f t="shared" si="30"/>
        <v>1.4091888276338411</v>
      </c>
      <c r="AS49" s="72">
        <f t="shared" si="31"/>
        <v>6.7200000000000006</v>
      </c>
      <c r="AT49" s="74">
        <f t="shared" si="32"/>
        <v>82.665074492506136</v>
      </c>
    </row>
    <row r="50" spans="17:46" ht="14.65" x14ac:dyDescent="0.4">
      <c r="Q50">
        <v>43</v>
      </c>
      <c r="R50" s="73">
        <f t="shared" si="0"/>
        <v>12</v>
      </c>
      <c r="S50" s="72">
        <f t="shared" si="34"/>
        <v>0.57333333333333336</v>
      </c>
      <c r="T50" s="72">
        <f t="shared" si="2"/>
        <v>7</v>
      </c>
      <c r="U50" s="74">
        <f t="shared" si="35"/>
        <v>0.98285714285714298</v>
      </c>
      <c r="V50" s="73">
        <f t="shared" si="36"/>
        <v>2</v>
      </c>
      <c r="W50" s="72">
        <f t="shared" si="37"/>
        <v>0.63157894736842102</v>
      </c>
      <c r="X50" s="74">
        <f t="shared" si="38"/>
        <v>0.36842105263157898</v>
      </c>
      <c r="Y50" s="73">
        <f t="shared" si="18"/>
        <v>0.76159390724874199</v>
      </c>
      <c r="Z50" s="72">
        <f t="shared" si="33"/>
        <v>2.3177843834392182</v>
      </c>
      <c r="AA50" s="72">
        <f t="shared" si="19"/>
        <v>1.0071462670478935</v>
      </c>
      <c r="AB50" s="72">
        <v>0</v>
      </c>
      <c r="AC50" s="72">
        <f t="shared" si="20"/>
        <v>1.0143436032285067E-2</v>
      </c>
      <c r="AD50" s="74">
        <f t="shared" si="21"/>
        <v>1.0143436032285067E-2</v>
      </c>
      <c r="AE50" s="73">
        <f t="shared" si="22"/>
        <v>0.35589774436090227</v>
      </c>
      <c r="AF50" s="72">
        <f t="shared" si="23"/>
        <v>1.0071462670478935</v>
      </c>
      <c r="AG50" s="72">
        <f t="shared" si="39"/>
        <v>4.5645462145282806E-3</v>
      </c>
      <c r="AH50" s="72">
        <f t="shared" si="40"/>
        <v>0.33557649746669699</v>
      </c>
      <c r="AI50" s="74">
        <f t="shared" si="24"/>
        <v>0.34014104368122527</v>
      </c>
      <c r="AJ50" s="73">
        <f t="shared" si="25"/>
        <v>0.57333333333333336</v>
      </c>
      <c r="AK50" s="72">
        <f t="shared" si="26"/>
        <v>1.1832557716688998</v>
      </c>
      <c r="AL50" s="72">
        <f t="shared" si="27"/>
        <v>0.40133333333333332</v>
      </c>
      <c r="AM50" s="72">
        <f t="shared" si="41"/>
        <v>0.42354999999999998</v>
      </c>
      <c r="AN50" s="74">
        <f t="shared" si="28"/>
        <v>0.8248833333333333</v>
      </c>
      <c r="AO50" s="73">
        <f t="shared" si="42"/>
        <v>1.217212323874208E-2</v>
      </c>
      <c r="AP50" s="72">
        <f t="shared" si="16"/>
        <v>0.2467125</v>
      </c>
      <c r="AQ50" s="74">
        <f t="shared" si="29"/>
        <v>3.15E-3</v>
      </c>
      <c r="AR50" s="73">
        <f t="shared" si="30"/>
        <v>1.4270590002533006</v>
      </c>
      <c r="AS50" s="72">
        <f t="shared" si="31"/>
        <v>6.8800000000000008</v>
      </c>
      <c r="AT50" s="74">
        <f t="shared" si="32"/>
        <v>82.821128389604709</v>
      </c>
    </row>
    <row r="51" spans="17:46" ht="14.65" x14ac:dyDescent="0.4">
      <c r="Q51">
        <v>44</v>
      </c>
      <c r="R51" s="73">
        <f t="shared" si="0"/>
        <v>12</v>
      </c>
      <c r="S51" s="72">
        <f t="shared" si="34"/>
        <v>0.58666666666666667</v>
      </c>
      <c r="T51" s="72">
        <f t="shared" si="2"/>
        <v>7</v>
      </c>
      <c r="U51" s="74">
        <f t="shared" si="35"/>
        <v>1.0057142857142858</v>
      </c>
      <c r="V51" s="73">
        <f t="shared" si="36"/>
        <v>2</v>
      </c>
      <c r="W51" s="72">
        <f t="shared" si="37"/>
        <v>0.63157894736842102</v>
      </c>
      <c r="X51" s="74">
        <f t="shared" si="38"/>
        <v>0.36842105263157898</v>
      </c>
      <c r="Y51" s="73">
        <f t="shared" si="18"/>
        <v>0.76159390724874199</v>
      </c>
      <c r="Z51" s="72">
        <f t="shared" si="33"/>
        <v>2.3539748596296945</v>
      </c>
      <c r="AA51" s="72">
        <f t="shared" si="19"/>
        <v>1.0294642608915554</v>
      </c>
      <c r="AB51" s="72">
        <v>0</v>
      </c>
      <c r="AC51" s="72">
        <f t="shared" si="20"/>
        <v>1.0597966644529964E-2</v>
      </c>
      <c r="AD51" s="74">
        <f t="shared" si="21"/>
        <v>1.0597966644529964E-2</v>
      </c>
      <c r="AE51" s="73">
        <f t="shared" si="22"/>
        <v>0.37264360902255639</v>
      </c>
      <c r="AF51" s="72">
        <f t="shared" si="23"/>
        <v>1.0294642608915554</v>
      </c>
      <c r="AG51" s="72">
        <f t="shared" si="39"/>
        <v>4.7690849900384842E-3</v>
      </c>
      <c r="AH51" s="72">
        <f t="shared" si="40"/>
        <v>0.34338060205894577</v>
      </c>
      <c r="AI51" s="74">
        <f t="shared" si="24"/>
        <v>0.34814968704898425</v>
      </c>
      <c r="AJ51" s="73">
        <f t="shared" si="25"/>
        <v>0.58666666666666667</v>
      </c>
      <c r="AK51" s="72">
        <f t="shared" si="26"/>
        <v>1.205084959245073</v>
      </c>
      <c r="AL51" s="72">
        <f t="shared" si="27"/>
        <v>0.41066666666666662</v>
      </c>
      <c r="AM51" s="72">
        <f t="shared" si="41"/>
        <v>0.42354999999999998</v>
      </c>
      <c r="AN51" s="74">
        <f t="shared" si="28"/>
        <v>0.83421666666666661</v>
      </c>
      <c r="AO51" s="73">
        <f t="shared" si="42"/>
        <v>1.2717559973435957E-2</v>
      </c>
      <c r="AP51" s="72">
        <f t="shared" si="16"/>
        <v>0.2467125</v>
      </c>
      <c r="AQ51" s="74">
        <f t="shared" si="29"/>
        <v>3.15E-3</v>
      </c>
      <c r="AR51" s="73">
        <f t="shared" si="30"/>
        <v>1.4449464136890866</v>
      </c>
      <c r="AS51" s="72">
        <f t="shared" si="31"/>
        <v>7.04</v>
      </c>
      <c r="AT51" s="74">
        <f t="shared" si="32"/>
        <v>82.97047095833274</v>
      </c>
    </row>
    <row r="52" spans="17:46" ht="14.65" x14ac:dyDescent="0.4">
      <c r="Q52">
        <v>45</v>
      </c>
      <c r="R52" s="73">
        <f t="shared" si="0"/>
        <v>12</v>
      </c>
      <c r="S52" s="72">
        <f t="shared" si="34"/>
        <v>0.60000000000000009</v>
      </c>
      <c r="T52" s="72">
        <f t="shared" si="2"/>
        <v>7</v>
      </c>
      <c r="U52" s="74">
        <f t="shared" si="35"/>
        <v>1.0285714285714287</v>
      </c>
      <c r="V52" s="73">
        <f t="shared" si="36"/>
        <v>2</v>
      </c>
      <c r="W52" s="72">
        <f t="shared" si="37"/>
        <v>0.63157894736842102</v>
      </c>
      <c r="X52" s="74">
        <f t="shared" si="38"/>
        <v>0.36842105263157898</v>
      </c>
      <c r="Y52" s="73">
        <f t="shared" si="18"/>
        <v>0.76159390724874199</v>
      </c>
      <c r="Z52" s="72">
        <f t="shared" si="33"/>
        <v>2.3901653358201709</v>
      </c>
      <c r="AA52" s="72">
        <f t="shared" si="19"/>
        <v>1.0518054114885844</v>
      </c>
      <c r="AB52" s="72">
        <v>0</v>
      </c>
      <c r="AC52" s="72">
        <f t="shared" si="20"/>
        <v>1.1062946236366705E-2</v>
      </c>
      <c r="AD52" s="74">
        <f t="shared" si="21"/>
        <v>1.1062946236366705E-2</v>
      </c>
      <c r="AE52" s="73">
        <f t="shared" si="22"/>
        <v>0.38977443609022566</v>
      </c>
      <c r="AF52" s="72">
        <f t="shared" si="23"/>
        <v>1.0518054114885844</v>
      </c>
      <c r="AG52" s="72">
        <f t="shared" si="39"/>
        <v>4.9783258063650178E-3</v>
      </c>
      <c r="AH52" s="72">
        <f t="shared" si="40"/>
        <v>0.35118470665119456</v>
      </c>
      <c r="AI52" s="74">
        <f t="shared" si="24"/>
        <v>0.35616303245755959</v>
      </c>
      <c r="AJ52" s="73">
        <f t="shared" si="25"/>
        <v>0.60000000000000009</v>
      </c>
      <c r="AK52" s="72">
        <f t="shared" si="26"/>
        <v>1.2269190585261582</v>
      </c>
      <c r="AL52" s="72">
        <f t="shared" si="27"/>
        <v>0.42000000000000004</v>
      </c>
      <c r="AM52" s="72">
        <f t="shared" si="41"/>
        <v>0.42354999999999998</v>
      </c>
      <c r="AN52" s="74">
        <f t="shared" si="28"/>
        <v>0.84355000000000002</v>
      </c>
      <c r="AO52" s="73">
        <f t="shared" si="42"/>
        <v>1.3275535483640044E-2</v>
      </c>
      <c r="AP52" s="72">
        <f t="shared" si="16"/>
        <v>0.2467125</v>
      </c>
      <c r="AQ52" s="74">
        <f t="shared" si="29"/>
        <v>3.15E-3</v>
      </c>
      <c r="AR52" s="73">
        <f t="shared" si="30"/>
        <v>1.4628510679411997</v>
      </c>
      <c r="AS52" s="72">
        <f t="shared" si="31"/>
        <v>7.2000000000000011</v>
      </c>
      <c r="AT52" s="74">
        <f t="shared" si="32"/>
        <v>83.113514748570424</v>
      </c>
    </row>
    <row r="53" spans="17:46" ht="14.65" x14ac:dyDescent="0.4">
      <c r="Q53">
        <v>46</v>
      </c>
      <c r="R53" s="73">
        <f t="shared" si="0"/>
        <v>12</v>
      </c>
      <c r="S53" s="72">
        <f t="shared" si="34"/>
        <v>0.6133333333333334</v>
      </c>
      <c r="T53" s="72">
        <f t="shared" si="2"/>
        <v>7</v>
      </c>
      <c r="U53" s="74">
        <f t="shared" si="35"/>
        <v>1.0514285714285716</v>
      </c>
      <c r="V53" s="73">
        <f t="shared" si="36"/>
        <v>2</v>
      </c>
      <c r="W53" s="72">
        <f t="shared" si="37"/>
        <v>0.63157894736842102</v>
      </c>
      <c r="X53" s="74">
        <f t="shared" si="38"/>
        <v>0.36842105263157898</v>
      </c>
      <c r="Y53" s="73">
        <f t="shared" si="18"/>
        <v>0.76159390724874199</v>
      </c>
      <c r="Z53" s="72">
        <f t="shared" si="33"/>
        <v>2.4263558120106468</v>
      </c>
      <c r="AA53" s="72">
        <f t="shared" si="19"/>
        <v>1.0741682739587535</v>
      </c>
      <c r="AB53" s="72">
        <v>0</v>
      </c>
      <c r="AC53" s="72">
        <f t="shared" si="20"/>
        <v>1.1538374807795277E-2</v>
      </c>
      <c r="AD53" s="74">
        <f t="shared" si="21"/>
        <v>1.1538374807795277E-2</v>
      </c>
      <c r="AE53" s="73">
        <f t="shared" si="22"/>
        <v>0.40729022556390981</v>
      </c>
      <c r="AF53" s="72">
        <f t="shared" si="23"/>
        <v>1.0741682739587535</v>
      </c>
      <c r="AG53" s="72">
        <f t="shared" si="39"/>
        <v>5.1922686635078753E-3</v>
      </c>
      <c r="AH53" s="72">
        <f t="shared" si="40"/>
        <v>0.35898881124344334</v>
      </c>
      <c r="AI53" s="74">
        <f t="shared" si="24"/>
        <v>0.3641810799069512</v>
      </c>
      <c r="AJ53" s="73">
        <f t="shared" si="25"/>
        <v>0.6133333333333334</v>
      </c>
      <c r="AK53" s="72">
        <f t="shared" si="26"/>
        <v>1.2487578118737868</v>
      </c>
      <c r="AL53" s="72">
        <f t="shared" si="27"/>
        <v>0.42933333333333334</v>
      </c>
      <c r="AM53" s="72">
        <f t="shared" si="41"/>
        <v>0.42354999999999998</v>
      </c>
      <c r="AN53" s="74">
        <f t="shared" si="28"/>
        <v>0.85288333333333333</v>
      </c>
      <c r="AO53" s="73">
        <f t="shared" si="42"/>
        <v>1.3846049769354333E-2</v>
      </c>
      <c r="AP53" s="72">
        <f t="shared" si="16"/>
        <v>0.2467125</v>
      </c>
      <c r="AQ53" s="74">
        <f t="shared" si="29"/>
        <v>3.15E-3</v>
      </c>
      <c r="AR53" s="73">
        <f t="shared" si="30"/>
        <v>1.4807729630096389</v>
      </c>
      <c r="AS53" s="72">
        <f t="shared" si="31"/>
        <v>7.3600000000000012</v>
      </c>
      <c r="AT53" s="74">
        <f t="shared" si="32"/>
        <v>83.250639178211145</v>
      </c>
    </row>
    <row r="54" spans="17:46" ht="14.65" x14ac:dyDescent="0.4">
      <c r="Q54">
        <v>47</v>
      </c>
      <c r="R54" s="73">
        <f t="shared" si="0"/>
        <v>12</v>
      </c>
      <c r="S54" s="72">
        <f t="shared" si="34"/>
        <v>0.62666666666666671</v>
      </c>
      <c r="T54" s="72">
        <f t="shared" si="2"/>
        <v>7</v>
      </c>
      <c r="U54" s="74">
        <f t="shared" si="35"/>
        <v>1.0742857142857143</v>
      </c>
      <c r="V54" s="73">
        <f t="shared" si="36"/>
        <v>2</v>
      </c>
      <c r="W54" s="72">
        <f t="shared" si="37"/>
        <v>0.63157894736842102</v>
      </c>
      <c r="X54" s="74">
        <f t="shared" si="38"/>
        <v>0.36842105263157898</v>
      </c>
      <c r="Y54" s="73">
        <f t="shared" si="18"/>
        <v>0.76159390724874199</v>
      </c>
      <c r="Z54" s="72">
        <f t="shared" si="33"/>
        <v>2.4625462882011231</v>
      </c>
      <c r="AA54" s="72">
        <f t="shared" si="19"/>
        <v>1.0965515199394729</v>
      </c>
      <c r="AB54" s="72">
        <v>0</v>
      </c>
      <c r="AC54" s="72">
        <f t="shared" si="20"/>
        <v>1.2024252358815681E-2</v>
      </c>
      <c r="AD54" s="74">
        <f t="shared" si="21"/>
        <v>1.2024252358815681E-2</v>
      </c>
      <c r="AE54" s="73">
        <f t="shared" si="22"/>
        <v>0.42519097744360906</v>
      </c>
      <c r="AF54" s="72">
        <f t="shared" si="23"/>
        <v>1.0965515199394729</v>
      </c>
      <c r="AG54" s="72">
        <f t="shared" si="39"/>
        <v>5.4109135614670576E-3</v>
      </c>
      <c r="AH54" s="72">
        <f t="shared" si="40"/>
        <v>0.36679291583569207</v>
      </c>
      <c r="AI54" s="74">
        <f t="shared" si="24"/>
        <v>0.37220382939715912</v>
      </c>
      <c r="AJ54" s="73">
        <f t="shared" si="25"/>
        <v>0.62666666666666671</v>
      </c>
      <c r="AK54" s="72">
        <f t="shared" si="26"/>
        <v>1.2706009793093904</v>
      </c>
      <c r="AL54" s="72">
        <f t="shared" si="27"/>
        <v>0.43866666666666665</v>
      </c>
      <c r="AM54" s="72">
        <f t="shared" si="41"/>
        <v>0.42354999999999998</v>
      </c>
      <c r="AN54" s="74">
        <f t="shared" si="28"/>
        <v>0.86221666666666663</v>
      </c>
      <c r="AO54" s="73">
        <f t="shared" si="42"/>
        <v>1.4429102830578818E-2</v>
      </c>
      <c r="AP54" s="72">
        <f t="shared" si="16"/>
        <v>0.2467125</v>
      </c>
      <c r="AQ54" s="74">
        <f t="shared" si="29"/>
        <v>3.15E-3</v>
      </c>
      <c r="AR54" s="73">
        <f t="shared" si="30"/>
        <v>1.4987120988944047</v>
      </c>
      <c r="AS54" s="72">
        <f t="shared" si="31"/>
        <v>7.5200000000000005</v>
      </c>
      <c r="AT54" s="74">
        <f t="shared" si="32"/>
        <v>83.382193793744335</v>
      </c>
    </row>
    <row r="55" spans="17:46" ht="14.65" x14ac:dyDescent="0.4">
      <c r="Q55">
        <v>48</v>
      </c>
      <c r="R55" s="73">
        <f t="shared" si="0"/>
        <v>12</v>
      </c>
      <c r="S55" s="72">
        <f t="shared" si="34"/>
        <v>0.64</v>
      </c>
      <c r="T55" s="72">
        <f t="shared" si="2"/>
        <v>7</v>
      </c>
      <c r="U55" s="74">
        <f t="shared" si="35"/>
        <v>1.0971428571428572</v>
      </c>
      <c r="V55" s="73">
        <f t="shared" si="36"/>
        <v>2</v>
      </c>
      <c r="W55" s="72">
        <f t="shared" si="37"/>
        <v>0.63157894736842102</v>
      </c>
      <c r="X55" s="74">
        <f t="shared" si="38"/>
        <v>0.36842105263157898</v>
      </c>
      <c r="Y55" s="73">
        <f t="shared" si="18"/>
        <v>0.76159390724874199</v>
      </c>
      <c r="Z55" s="72">
        <f t="shared" si="33"/>
        <v>2.498736764391599</v>
      </c>
      <c r="AA55" s="72">
        <f t="shared" si="19"/>
        <v>1.1189539261930281</v>
      </c>
      <c r="AB55" s="72">
        <v>0</v>
      </c>
      <c r="AC55" s="72">
        <f t="shared" si="20"/>
        <v>1.2520578889427926E-2</v>
      </c>
      <c r="AD55" s="74">
        <f t="shared" si="21"/>
        <v>1.2520578889427926E-2</v>
      </c>
      <c r="AE55" s="73">
        <f t="shared" si="22"/>
        <v>0.44347669172932336</v>
      </c>
      <c r="AF55" s="72">
        <f t="shared" si="23"/>
        <v>1.1189539261930281</v>
      </c>
      <c r="AG55" s="72">
        <f t="shared" si="39"/>
        <v>5.6342605002425682E-3</v>
      </c>
      <c r="AH55" s="72">
        <f t="shared" si="40"/>
        <v>0.37459702042794085</v>
      </c>
      <c r="AI55" s="74">
        <f t="shared" si="24"/>
        <v>0.38023128092818342</v>
      </c>
      <c r="AJ55" s="73">
        <f t="shared" si="25"/>
        <v>0.64</v>
      </c>
      <c r="AK55" s="72">
        <f t="shared" si="26"/>
        <v>1.2924483370306277</v>
      </c>
      <c r="AL55" s="72">
        <f t="shared" si="27"/>
        <v>0.44799999999999995</v>
      </c>
      <c r="AM55" s="72">
        <f t="shared" si="41"/>
        <v>0.42354999999999998</v>
      </c>
      <c r="AN55" s="74">
        <f t="shared" si="28"/>
        <v>0.87154999999999994</v>
      </c>
      <c r="AO55" s="73">
        <f t="shared" si="42"/>
        <v>1.5024694667313513E-2</v>
      </c>
      <c r="AP55" s="72">
        <f t="shared" si="16"/>
        <v>0.2467125</v>
      </c>
      <c r="AQ55" s="74">
        <f t="shared" si="29"/>
        <v>3.15E-3</v>
      </c>
      <c r="AR55" s="73">
        <f t="shared" si="30"/>
        <v>1.5166684755954967</v>
      </c>
      <c r="AS55" s="72">
        <f t="shared" si="31"/>
        <v>7.68</v>
      </c>
      <c r="AT55" s="74">
        <f t="shared" si="32"/>
        <v>83.508501153214723</v>
      </c>
    </row>
    <row r="56" spans="17:46" ht="14.65" x14ac:dyDescent="0.4">
      <c r="Q56">
        <v>49</v>
      </c>
      <c r="R56" s="73">
        <f t="shared" si="0"/>
        <v>12</v>
      </c>
      <c r="S56" s="72">
        <f t="shared" si="34"/>
        <v>0.65333333333333332</v>
      </c>
      <c r="T56" s="72">
        <f t="shared" si="2"/>
        <v>7</v>
      </c>
      <c r="U56" s="74">
        <f t="shared" si="35"/>
        <v>1.1199999999999999</v>
      </c>
      <c r="V56" s="73">
        <f t="shared" si="36"/>
        <v>2</v>
      </c>
      <c r="W56" s="72">
        <f t="shared" si="37"/>
        <v>0.63157894736842102</v>
      </c>
      <c r="X56" s="74">
        <f t="shared" si="38"/>
        <v>0.36842105263157898</v>
      </c>
      <c r="Y56" s="73">
        <f t="shared" si="18"/>
        <v>0.76159390724874199</v>
      </c>
      <c r="Z56" s="72">
        <f t="shared" si="33"/>
        <v>2.5349272405820753</v>
      </c>
      <c r="AA56" s="72">
        <f t="shared" si="19"/>
        <v>1.1413743645111363</v>
      </c>
      <c r="AB56" s="72">
        <v>0</v>
      </c>
      <c r="AC56" s="72">
        <f t="shared" si="20"/>
        <v>1.3027354399632001E-2</v>
      </c>
      <c r="AD56" s="74">
        <f t="shared" si="21"/>
        <v>1.3027354399632001E-2</v>
      </c>
      <c r="AE56" s="73">
        <f t="shared" si="22"/>
        <v>0.46214736842105253</v>
      </c>
      <c r="AF56" s="72">
        <f t="shared" si="23"/>
        <v>1.1413743645111363</v>
      </c>
      <c r="AG56" s="72">
        <f t="shared" si="39"/>
        <v>5.862309479834401E-3</v>
      </c>
      <c r="AH56" s="72">
        <f t="shared" si="40"/>
        <v>0.38240112502018953</v>
      </c>
      <c r="AI56" s="74">
        <f t="shared" si="24"/>
        <v>0.38826343450002393</v>
      </c>
      <c r="AJ56" s="73">
        <f t="shared" si="25"/>
        <v>0.65333333333333332</v>
      </c>
      <c r="AK56" s="72">
        <f t="shared" si="26"/>
        <v>1.314299676074512</v>
      </c>
      <c r="AL56" s="72">
        <f t="shared" si="27"/>
        <v>0.45733333333333331</v>
      </c>
      <c r="AM56" s="72">
        <f t="shared" si="41"/>
        <v>0.42354999999999998</v>
      </c>
      <c r="AN56" s="74">
        <f t="shared" si="28"/>
        <v>0.88088333333333324</v>
      </c>
      <c r="AO56" s="73">
        <f t="shared" si="42"/>
        <v>1.56328252795584E-2</v>
      </c>
      <c r="AP56" s="72">
        <f t="shared" si="16"/>
        <v>0.2467125</v>
      </c>
      <c r="AQ56" s="74">
        <f t="shared" si="29"/>
        <v>3.15E-3</v>
      </c>
      <c r="AR56" s="73">
        <f t="shared" si="30"/>
        <v>1.5346420931129157</v>
      </c>
      <c r="AS56" s="72">
        <f t="shared" si="31"/>
        <v>7.84</v>
      </c>
      <c r="AT56" s="74">
        <f t="shared" si="32"/>
        <v>83.629859381614779</v>
      </c>
    </row>
    <row r="57" spans="17:46" ht="14.65" x14ac:dyDescent="0.4">
      <c r="Q57">
        <v>50</v>
      </c>
      <c r="R57" s="73">
        <f t="shared" si="0"/>
        <v>12</v>
      </c>
      <c r="S57" s="72">
        <f t="shared" si="34"/>
        <v>0.66666666666666674</v>
      </c>
      <c r="T57" s="72">
        <f t="shared" si="2"/>
        <v>7</v>
      </c>
      <c r="U57" s="74">
        <f t="shared" si="35"/>
        <v>1.1428571428571428</v>
      </c>
      <c r="V57" s="73">
        <f t="shared" si="36"/>
        <v>2</v>
      </c>
      <c r="W57" s="72">
        <f t="shared" si="37"/>
        <v>0.63157894736842102</v>
      </c>
      <c r="X57" s="74">
        <f t="shared" si="38"/>
        <v>0.36842105263157898</v>
      </c>
      <c r="Y57" s="73">
        <f t="shared" si="18"/>
        <v>0.76159390724874199</v>
      </c>
      <c r="Z57" s="72">
        <f t="shared" si="33"/>
        <v>2.5711177167725516</v>
      </c>
      <c r="AA57" s="72">
        <f t="shared" si="19"/>
        <v>1.1638117927494944</v>
      </c>
      <c r="AB57" s="72">
        <v>0</v>
      </c>
      <c r="AC57" s="72">
        <f t="shared" si="20"/>
        <v>1.3544578889427922E-2</v>
      </c>
      <c r="AD57" s="74">
        <f t="shared" si="21"/>
        <v>1.3544578889427922E-2</v>
      </c>
      <c r="AE57" s="73">
        <f t="shared" si="22"/>
        <v>0.48120300751879702</v>
      </c>
      <c r="AF57" s="72">
        <f t="shared" si="23"/>
        <v>1.1638117927494944</v>
      </c>
      <c r="AG57" s="72">
        <f t="shared" si="39"/>
        <v>6.0950605002425646E-3</v>
      </c>
      <c r="AH57" s="72">
        <f t="shared" si="40"/>
        <v>0.39020522961243831</v>
      </c>
      <c r="AI57" s="74">
        <f t="shared" si="24"/>
        <v>0.39630029011268086</v>
      </c>
      <c r="AJ57" s="73">
        <f t="shared" si="25"/>
        <v>0.66666666666666674</v>
      </c>
      <c r="AK57" s="72">
        <f t="shared" si="26"/>
        <v>1.336154801110627</v>
      </c>
      <c r="AL57" s="72">
        <f t="shared" si="27"/>
        <v>0.46666666666666667</v>
      </c>
      <c r="AM57" s="72">
        <f t="shared" si="41"/>
        <v>0.42354999999999998</v>
      </c>
      <c r="AN57" s="74">
        <f t="shared" si="28"/>
        <v>0.89021666666666666</v>
      </c>
      <c r="AO57" s="73">
        <f t="shared" si="42"/>
        <v>1.6253494667313507E-2</v>
      </c>
      <c r="AP57" s="72">
        <f t="shared" si="16"/>
        <v>0.2467125</v>
      </c>
      <c r="AQ57" s="74">
        <f t="shared" si="29"/>
        <v>3.15E-3</v>
      </c>
      <c r="AR57" s="73">
        <f t="shared" si="30"/>
        <v>1.5526329514466612</v>
      </c>
      <c r="AS57" s="72">
        <f t="shared" si="31"/>
        <v>8</v>
      </c>
      <c r="AT57" s="74">
        <f t="shared" si="32"/>
        <v>83.746544441325682</v>
      </c>
    </row>
    <row r="58" spans="17:46" ht="14.65" x14ac:dyDescent="0.4">
      <c r="Q58">
        <v>51</v>
      </c>
      <c r="R58" s="73">
        <f t="shared" si="0"/>
        <v>12</v>
      </c>
      <c r="S58" s="72">
        <f t="shared" si="34"/>
        <v>0.68</v>
      </c>
      <c r="T58" s="72">
        <f t="shared" si="2"/>
        <v>7</v>
      </c>
      <c r="U58" s="74">
        <f t="shared" si="35"/>
        <v>1.1657142857142857</v>
      </c>
      <c r="V58" s="73">
        <f t="shared" si="36"/>
        <v>2</v>
      </c>
      <c r="W58" s="72">
        <f t="shared" si="37"/>
        <v>0.63157894736842102</v>
      </c>
      <c r="X58" s="74">
        <f t="shared" si="38"/>
        <v>0.36842105263157898</v>
      </c>
      <c r="Y58" s="73">
        <f t="shared" si="18"/>
        <v>0.76159390724874199</v>
      </c>
      <c r="Z58" s="72">
        <f t="shared" si="33"/>
        <v>2.6073081929630275</v>
      </c>
      <c r="AA58" s="72">
        <f t="shared" si="19"/>
        <v>1.1862652468489363</v>
      </c>
      <c r="AB58" s="72">
        <v>0</v>
      </c>
      <c r="AC58" s="72">
        <f t="shared" si="20"/>
        <v>1.4072252358815679E-2</v>
      </c>
      <c r="AD58" s="74">
        <f t="shared" si="21"/>
        <v>1.4072252358815679E-2</v>
      </c>
      <c r="AE58" s="73">
        <f t="shared" si="22"/>
        <v>0.50064360902255634</v>
      </c>
      <c r="AF58" s="72">
        <f t="shared" si="23"/>
        <v>1.1862652468489363</v>
      </c>
      <c r="AG58" s="72">
        <f t="shared" si="39"/>
        <v>6.3325135614670557E-3</v>
      </c>
      <c r="AH58" s="72">
        <f t="shared" si="40"/>
        <v>0.39800933420468709</v>
      </c>
      <c r="AI58" s="74">
        <f t="shared" si="24"/>
        <v>0.40434184776615417</v>
      </c>
      <c r="AJ58" s="73">
        <f t="shared" si="25"/>
        <v>0.68</v>
      </c>
      <c r="AK58" s="72">
        <f t="shared" si="26"/>
        <v>1.3580135293499362</v>
      </c>
      <c r="AL58" s="72">
        <f t="shared" si="27"/>
        <v>0.47599999999999998</v>
      </c>
      <c r="AM58" s="72">
        <f t="shared" si="41"/>
        <v>0.42354999999999998</v>
      </c>
      <c r="AN58" s="74">
        <f t="shared" si="28"/>
        <v>0.89954999999999996</v>
      </c>
      <c r="AO58" s="73">
        <f t="shared" si="42"/>
        <v>1.6886702830578814E-2</v>
      </c>
      <c r="AP58" s="72">
        <f t="shared" si="16"/>
        <v>0.2467125</v>
      </c>
      <c r="AQ58" s="74">
        <f t="shared" si="29"/>
        <v>3.15E-3</v>
      </c>
      <c r="AR58" s="73">
        <f t="shared" si="30"/>
        <v>1.570641050596733</v>
      </c>
      <c r="AS58" s="72">
        <f t="shared" si="31"/>
        <v>8.16</v>
      </c>
      <c r="AT58" s="74">
        <f t="shared" si="32"/>
        <v>83.858812154000759</v>
      </c>
    </row>
    <row r="59" spans="17:46" ht="14.65" x14ac:dyDescent="0.4">
      <c r="Q59">
        <v>52</v>
      </c>
      <c r="R59" s="73">
        <f t="shared" si="0"/>
        <v>12</v>
      </c>
      <c r="S59" s="72">
        <f t="shared" si="34"/>
        <v>0.69333333333333336</v>
      </c>
      <c r="T59" s="72">
        <f t="shared" si="2"/>
        <v>7</v>
      </c>
      <c r="U59" s="74">
        <f t="shared" si="35"/>
        <v>1.1885714285714286</v>
      </c>
      <c r="V59" s="73">
        <f t="shared" si="36"/>
        <v>2</v>
      </c>
      <c r="W59" s="72">
        <f t="shared" si="37"/>
        <v>0.63157894736842102</v>
      </c>
      <c r="X59" s="74">
        <f t="shared" si="38"/>
        <v>0.36842105263157898</v>
      </c>
      <c r="Y59" s="73">
        <f t="shared" si="18"/>
        <v>0.76159390724874199</v>
      </c>
      <c r="Z59" s="72">
        <f t="shared" si="33"/>
        <v>2.6434986691535038</v>
      </c>
      <c r="AA59" s="72">
        <f t="shared" si="19"/>
        <v>1.2087338337200326</v>
      </c>
      <c r="AB59" s="72">
        <v>0</v>
      </c>
      <c r="AC59" s="72">
        <f t="shared" si="20"/>
        <v>1.4610374807795274E-2</v>
      </c>
      <c r="AD59" s="74">
        <f t="shared" si="21"/>
        <v>1.4610374807795274E-2</v>
      </c>
      <c r="AE59" s="73">
        <f t="shared" si="22"/>
        <v>0.52046917293233086</v>
      </c>
      <c r="AF59" s="72">
        <f t="shared" si="23"/>
        <v>1.2087338337200326</v>
      </c>
      <c r="AG59" s="72">
        <f t="shared" si="39"/>
        <v>6.5746686635078742E-3</v>
      </c>
      <c r="AH59" s="72">
        <f t="shared" si="40"/>
        <v>0.40581343879693588</v>
      </c>
      <c r="AI59" s="74">
        <f t="shared" si="24"/>
        <v>0.41238810746044374</v>
      </c>
      <c r="AJ59" s="73">
        <f t="shared" si="25"/>
        <v>0.69333333333333336</v>
      </c>
      <c r="AK59" s="72">
        <f t="shared" si="26"/>
        <v>1.3798756895565052</v>
      </c>
      <c r="AL59" s="72">
        <f t="shared" si="27"/>
        <v>0.48533333333333334</v>
      </c>
      <c r="AM59" s="72">
        <f t="shared" si="41"/>
        <v>0.42354999999999998</v>
      </c>
      <c r="AN59" s="74">
        <f t="shared" si="28"/>
        <v>0.90888333333333327</v>
      </c>
      <c r="AO59" s="73">
        <f t="shared" si="42"/>
        <v>1.7532449769354329E-2</v>
      </c>
      <c r="AP59" s="72">
        <f t="shared" si="16"/>
        <v>0.2467125</v>
      </c>
      <c r="AQ59" s="74">
        <f t="shared" si="29"/>
        <v>3.15E-3</v>
      </c>
      <c r="AR59" s="73">
        <f t="shared" si="30"/>
        <v>1.5886663905631313</v>
      </c>
      <c r="AS59" s="72">
        <f t="shared" si="31"/>
        <v>8.32</v>
      </c>
      <c r="AT59" s="74">
        <f t="shared" si="32"/>
        <v>83.966900005068752</v>
      </c>
    </row>
    <row r="60" spans="17:46" ht="14.65" x14ac:dyDescent="0.4">
      <c r="Q60">
        <v>53</v>
      </c>
      <c r="R60" s="73">
        <f t="shared" si="0"/>
        <v>12</v>
      </c>
      <c r="S60" s="72">
        <f t="shared" si="34"/>
        <v>0.70666666666666667</v>
      </c>
      <c r="T60" s="72">
        <f t="shared" si="2"/>
        <v>7</v>
      </c>
      <c r="U60" s="74">
        <f t="shared" si="35"/>
        <v>1.2114285714285715</v>
      </c>
      <c r="V60" s="73">
        <f t="shared" si="36"/>
        <v>2</v>
      </c>
      <c r="W60" s="72">
        <f t="shared" si="37"/>
        <v>0.63157894736842102</v>
      </c>
      <c r="X60" s="74">
        <f t="shared" si="38"/>
        <v>0.36842105263157898</v>
      </c>
      <c r="Y60" s="73">
        <f t="shared" si="18"/>
        <v>0.76159390724874199</v>
      </c>
      <c r="Z60" s="72">
        <f t="shared" si="33"/>
        <v>2.6796891453439802</v>
      </c>
      <c r="AA60" s="72">
        <f t="shared" si="19"/>
        <v>1.2312167248850505</v>
      </c>
      <c r="AB60" s="72">
        <v>0</v>
      </c>
      <c r="AC60" s="72">
        <f t="shared" si="20"/>
        <v>1.5158946236366702E-2</v>
      </c>
      <c r="AD60" s="74">
        <f t="shared" si="21"/>
        <v>1.5158946236366702E-2</v>
      </c>
      <c r="AE60" s="73">
        <f t="shared" si="22"/>
        <v>0.54067969924812032</v>
      </c>
      <c r="AF60" s="72">
        <f t="shared" si="23"/>
        <v>1.2312167248850505</v>
      </c>
      <c r="AG60" s="72">
        <f t="shared" si="39"/>
        <v>6.8215258063650166E-3</v>
      </c>
      <c r="AH60" s="72">
        <f t="shared" si="40"/>
        <v>0.41361754338918466</v>
      </c>
      <c r="AI60" s="74">
        <f t="shared" si="24"/>
        <v>0.42043906919554969</v>
      </c>
      <c r="AJ60" s="73">
        <f t="shared" si="25"/>
        <v>0.70666666666666667</v>
      </c>
      <c r="AK60" s="72">
        <f t="shared" si="26"/>
        <v>1.40174112115101</v>
      </c>
      <c r="AL60" s="72">
        <f t="shared" si="27"/>
        <v>0.49466666666666664</v>
      </c>
      <c r="AM60" s="72">
        <f t="shared" si="41"/>
        <v>0.42354999999999998</v>
      </c>
      <c r="AN60" s="74">
        <f t="shared" si="28"/>
        <v>0.91821666666666668</v>
      </c>
      <c r="AO60" s="73">
        <f t="shared" si="42"/>
        <v>1.8190735483640041E-2</v>
      </c>
      <c r="AP60" s="72">
        <f t="shared" si="16"/>
        <v>0.2467125</v>
      </c>
      <c r="AQ60" s="74">
        <f t="shared" si="29"/>
        <v>3.15E-3</v>
      </c>
      <c r="AR60" s="73">
        <f t="shared" si="30"/>
        <v>1.6067089713458562</v>
      </c>
      <c r="AS60" s="72">
        <f t="shared" si="31"/>
        <v>8.48</v>
      </c>
      <c r="AT60" s="74">
        <f t="shared" si="32"/>
        <v>84.071028757643688</v>
      </c>
    </row>
    <row r="61" spans="17:46" ht="14.65" x14ac:dyDescent="0.4">
      <c r="Q61">
        <v>54</v>
      </c>
      <c r="R61" s="73">
        <f t="shared" si="0"/>
        <v>12</v>
      </c>
      <c r="S61" s="72">
        <f t="shared" si="34"/>
        <v>0.72000000000000008</v>
      </c>
      <c r="T61" s="72">
        <f t="shared" si="2"/>
        <v>7</v>
      </c>
      <c r="U61" s="74">
        <f t="shared" si="35"/>
        <v>1.2342857142857144</v>
      </c>
      <c r="V61" s="73">
        <f t="shared" si="36"/>
        <v>2</v>
      </c>
      <c r="W61" s="72">
        <f t="shared" si="37"/>
        <v>0.63157894736842102</v>
      </c>
      <c r="X61" s="74">
        <f t="shared" si="38"/>
        <v>0.36842105263157898</v>
      </c>
      <c r="Y61" s="73">
        <f t="shared" si="18"/>
        <v>0.76159390724874199</v>
      </c>
      <c r="Z61" s="72">
        <f t="shared" si="33"/>
        <v>2.7158796215344565</v>
      </c>
      <c r="AA61" s="72">
        <f t="shared" si="19"/>
        <v>1.2537131507856958</v>
      </c>
      <c r="AB61" s="72">
        <v>0</v>
      </c>
      <c r="AC61" s="72">
        <f t="shared" si="20"/>
        <v>1.5717966644529967E-2</v>
      </c>
      <c r="AD61" s="74">
        <f t="shared" si="21"/>
        <v>1.5717966644529967E-2</v>
      </c>
      <c r="AE61" s="73">
        <f t="shared" si="22"/>
        <v>0.56127518796992493</v>
      </c>
      <c r="AF61" s="72">
        <f t="shared" si="23"/>
        <v>1.2537131507856958</v>
      </c>
      <c r="AG61" s="72">
        <f t="shared" si="39"/>
        <v>7.0730849900384864E-3</v>
      </c>
      <c r="AH61" s="72">
        <f t="shared" si="40"/>
        <v>0.4214216479814335</v>
      </c>
      <c r="AI61" s="74">
        <f t="shared" si="24"/>
        <v>0.428494732971472</v>
      </c>
      <c r="AJ61" s="73">
        <f t="shared" si="25"/>
        <v>0.72000000000000008</v>
      </c>
      <c r="AK61" s="72">
        <f t="shared" si="26"/>
        <v>1.4236096733962651</v>
      </c>
      <c r="AL61" s="72">
        <f t="shared" si="27"/>
        <v>0.504</v>
      </c>
      <c r="AM61" s="72">
        <f t="shared" si="41"/>
        <v>0.42354999999999998</v>
      </c>
      <c r="AN61" s="74">
        <f t="shared" si="28"/>
        <v>0.92754999999999999</v>
      </c>
      <c r="AO61" s="73">
        <f t="shared" si="42"/>
        <v>1.8861559973435964E-2</v>
      </c>
      <c r="AP61" s="72">
        <f t="shared" si="16"/>
        <v>0.2467125</v>
      </c>
      <c r="AQ61" s="74">
        <f t="shared" si="29"/>
        <v>3.15E-3</v>
      </c>
      <c r="AR61" s="73">
        <f t="shared" si="30"/>
        <v>1.6247687929449082</v>
      </c>
      <c r="AS61" s="72">
        <f t="shared" si="31"/>
        <v>8.64</v>
      </c>
      <c r="AT61" s="74">
        <f t="shared" si="32"/>
        <v>84.17140389892046</v>
      </c>
    </row>
    <row r="62" spans="17:46" ht="14.65" x14ac:dyDescent="0.4">
      <c r="Q62">
        <v>55</v>
      </c>
      <c r="R62" s="73">
        <f t="shared" si="0"/>
        <v>12</v>
      </c>
      <c r="S62" s="72">
        <f t="shared" si="34"/>
        <v>0.73333333333333339</v>
      </c>
      <c r="T62" s="72">
        <f t="shared" si="2"/>
        <v>7</v>
      </c>
      <c r="U62" s="74">
        <f t="shared" si="35"/>
        <v>1.2571428571428573</v>
      </c>
      <c r="V62" s="73">
        <f t="shared" si="36"/>
        <v>2</v>
      </c>
      <c r="W62" s="72">
        <f t="shared" si="37"/>
        <v>0.63157894736842102</v>
      </c>
      <c r="X62" s="74">
        <f t="shared" si="38"/>
        <v>0.36842105263157898</v>
      </c>
      <c r="Y62" s="73">
        <f t="shared" si="18"/>
        <v>0.76159390724874199</v>
      </c>
      <c r="Z62" s="72">
        <f t="shared" si="33"/>
        <v>2.7520700977249328</v>
      </c>
      <c r="AA62" s="72">
        <f t="shared" si="19"/>
        <v>1.2762223956773784</v>
      </c>
      <c r="AB62" s="72">
        <v>0</v>
      </c>
      <c r="AC62" s="72">
        <f t="shared" si="20"/>
        <v>1.6287436032285069E-2</v>
      </c>
      <c r="AD62" s="74">
        <f t="shared" si="21"/>
        <v>1.6287436032285069E-2</v>
      </c>
      <c r="AE62" s="73">
        <f t="shared" si="22"/>
        <v>0.58225563909774447</v>
      </c>
      <c r="AF62" s="72">
        <f t="shared" si="23"/>
        <v>1.2762223956773784</v>
      </c>
      <c r="AG62" s="72">
        <f t="shared" si="39"/>
        <v>7.3293462145282819E-3</v>
      </c>
      <c r="AH62" s="72">
        <f t="shared" si="40"/>
        <v>0.42922575257368223</v>
      </c>
      <c r="AI62" s="74">
        <f t="shared" si="24"/>
        <v>0.43655509878821053</v>
      </c>
      <c r="AJ62" s="73">
        <f t="shared" si="25"/>
        <v>0.73333333333333339</v>
      </c>
      <c r="AK62" s="72">
        <f t="shared" si="26"/>
        <v>1.445481204656162</v>
      </c>
      <c r="AL62" s="72">
        <f t="shared" si="27"/>
        <v>0.51333333333333331</v>
      </c>
      <c r="AM62" s="72">
        <f t="shared" si="41"/>
        <v>0.42354999999999998</v>
      </c>
      <c r="AN62" s="74">
        <f t="shared" si="28"/>
        <v>0.93688333333333329</v>
      </c>
      <c r="AO62" s="73">
        <f t="shared" si="42"/>
        <v>1.9544923238742084E-2</v>
      </c>
      <c r="AP62" s="72">
        <f t="shared" si="16"/>
        <v>0.2467125</v>
      </c>
      <c r="AQ62" s="74">
        <f t="shared" si="29"/>
        <v>3.15E-3</v>
      </c>
      <c r="AR62" s="73">
        <f t="shared" si="30"/>
        <v>1.6428458553602858</v>
      </c>
      <c r="AS62" s="72">
        <f t="shared" si="31"/>
        <v>8.8000000000000007</v>
      </c>
      <c r="AT62" s="74">
        <f t="shared" si="32"/>
        <v>84.268216938996403</v>
      </c>
    </row>
    <row r="63" spans="17:46" ht="14.65" x14ac:dyDescent="0.4">
      <c r="Q63">
        <v>56</v>
      </c>
      <c r="R63" s="73">
        <f t="shared" si="0"/>
        <v>12</v>
      </c>
      <c r="S63" s="72">
        <f t="shared" si="34"/>
        <v>0.7466666666666667</v>
      </c>
      <c r="T63" s="72">
        <f t="shared" si="2"/>
        <v>7</v>
      </c>
      <c r="U63" s="74">
        <f t="shared" si="35"/>
        <v>1.28</v>
      </c>
      <c r="V63" s="73">
        <f t="shared" si="36"/>
        <v>2</v>
      </c>
      <c r="W63" s="72">
        <f t="shared" si="37"/>
        <v>0.63157894736842102</v>
      </c>
      <c r="X63" s="74">
        <f t="shared" si="38"/>
        <v>0.36842105263157898</v>
      </c>
      <c r="Y63" s="73">
        <f t="shared" si="18"/>
        <v>0.76159390724874199</v>
      </c>
      <c r="Z63" s="72">
        <f t="shared" si="33"/>
        <v>2.7882605739154087</v>
      </c>
      <c r="AA63" s="72">
        <f t="shared" si="19"/>
        <v>1.2987437930412606</v>
      </c>
      <c r="AB63" s="72">
        <v>0</v>
      </c>
      <c r="AC63" s="72">
        <f t="shared" si="20"/>
        <v>1.6867354399632009E-2</v>
      </c>
      <c r="AD63" s="74">
        <f t="shared" si="21"/>
        <v>1.6867354399632009E-2</v>
      </c>
      <c r="AE63" s="73">
        <f t="shared" si="22"/>
        <v>0.60362105263157895</v>
      </c>
      <c r="AF63" s="72">
        <f t="shared" si="23"/>
        <v>1.2987437930412606</v>
      </c>
      <c r="AG63" s="72">
        <f t="shared" si="39"/>
        <v>7.5903094798344048E-3</v>
      </c>
      <c r="AH63" s="72">
        <f t="shared" si="40"/>
        <v>0.43702985716593096</v>
      </c>
      <c r="AI63" s="74">
        <f t="shared" si="24"/>
        <v>0.44462016664576537</v>
      </c>
      <c r="AJ63" s="73">
        <f t="shared" si="25"/>
        <v>0.7466666666666667</v>
      </c>
      <c r="AK63" s="72">
        <f t="shared" si="26"/>
        <v>1.4673555817204351</v>
      </c>
      <c r="AL63" s="72">
        <f t="shared" si="27"/>
        <v>0.52266666666666661</v>
      </c>
      <c r="AM63" s="72">
        <f t="shared" si="41"/>
        <v>0.42354999999999998</v>
      </c>
      <c r="AN63" s="74">
        <f t="shared" si="28"/>
        <v>0.94621666666666659</v>
      </c>
      <c r="AO63" s="73">
        <f t="shared" si="42"/>
        <v>2.0240825279558412E-2</v>
      </c>
      <c r="AP63" s="72">
        <f t="shared" si="16"/>
        <v>0.2467125</v>
      </c>
      <c r="AQ63" s="74">
        <f t="shared" si="29"/>
        <v>3.15E-3</v>
      </c>
      <c r="AR63" s="73">
        <f t="shared" si="30"/>
        <v>1.6609401585919905</v>
      </c>
      <c r="AS63" s="72">
        <f t="shared" si="31"/>
        <v>8.9600000000000009</v>
      </c>
      <c r="AT63" s="74">
        <f t="shared" si="32"/>
        <v>84.361646579391135</v>
      </c>
    </row>
    <row r="64" spans="17:46" ht="14.65" x14ac:dyDescent="0.4">
      <c r="Q64">
        <v>57</v>
      </c>
      <c r="R64" s="73">
        <f t="shared" si="0"/>
        <v>12</v>
      </c>
      <c r="S64" s="72">
        <f t="shared" si="34"/>
        <v>0.76</v>
      </c>
      <c r="T64" s="72">
        <f t="shared" si="2"/>
        <v>7</v>
      </c>
      <c r="U64" s="74">
        <f t="shared" si="35"/>
        <v>1.3028571428571429</v>
      </c>
      <c r="V64" s="73">
        <f t="shared" si="36"/>
        <v>2</v>
      </c>
      <c r="W64" s="72">
        <f t="shared" si="37"/>
        <v>0.63157894736842102</v>
      </c>
      <c r="X64" s="74">
        <f t="shared" si="38"/>
        <v>0.36842105263157898</v>
      </c>
      <c r="Y64" s="73">
        <f t="shared" si="18"/>
        <v>0.76159390724874199</v>
      </c>
      <c r="Z64" s="72">
        <f t="shared" si="33"/>
        <v>2.824451050105885</v>
      </c>
      <c r="AA64" s="72">
        <f t="shared" si="19"/>
        <v>1.3212767214543206</v>
      </c>
      <c r="AB64" s="72">
        <v>0</v>
      </c>
      <c r="AC64" s="72">
        <f t="shared" si="20"/>
        <v>1.7457721746570783E-2</v>
      </c>
      <c r="AD64" s="74">
        <f t="shared" si="21"/>
        <v>1.7457721746570783E-2</v>
      </c>
      <c r="AE64" s="73">
        <f t="shared" si="22"/>
        <v>0.62537142857142858</v>
      </c>
      <c r="AF64" s="72">
        <f t="shared" si="23"/>
        <v>1.3212767214543206</v>
      </c>
      <c r="AG64" s="72">
        <f t="shared" si="39"/>
        <v>7.8559747859568534E-3</v>
      </c>
      <c r="AH64" s="72">
        <f t="shared" si="40"/>
        <v>0.4448339617581798</v>
      </c>
      <c r="AI64" s="74">
        <f t="shared" si="24"/>
        <v>0.45268993654413664</v>
      </c>
      <c r="AJ64" s="73">
        <f t="shared" si="25"/>
        <v>0.76</v>
      </c>
      <c r="AK64" s="72">
        <f t="shared" si="26"/>
        <v>1.4892326791885424</v>
      </c>
      <c r="AL64" s="72">
        <f t="shared" si="27"/>
        <v>0.53199999999999992</v>
      </c>
      <c r="AM64" s="72">
        <f t="shared" si="41"/>
        <v>0.42354999999999998</v>
      </c>
      <c r="AN64" s="74">
        <f t="shared" si="28"/>
        <v>0.9555499999999999</v>
      </c>
      <c r="AO64" s="73">
        <f t="shared" si="42"/>
        <v>2.0949266095884943E-2</v>
      </c>
      <c r="AP64" s="72">
        <f t="shared" si="16"/>
        <v>0.2467125</v>
      </c>
      <c r="AQ64" s="74">
        <f t="shared" si="29"/>
        <v>3.15E-3</v>
      </c>
      <c r="AR64" s="73">
        <f t="shared" si="30"/>
        <v>1.6790517026400213</v>
      </c>
      <c r="AS64" s="72">
        <f t="shared" si="31"/>
        <v>9.120000000000001</v>
      </c>
      <c r="AT64" s="74">
        <f t="shared" si="32"/>
        <v>84.45185976626496</v>
      </c>
    </row>
    <row r="65" spans="17:46" ht="14.65" x14ac:dyDescent="0.4">
      <c r="Q65">
        <v>58</v>
      </c>
      <c r="R65" s="73">
        <f t="shared" si="0"/>
        <v>12</v>
      </c>
      <c r="S65" s="72">
        <f t="shared" si="34"/>
        <v>0.77333333333333343</v>
      </c>
      <c r="T65" s="72">
        <f t="shared" si="2"/>
        <v>7</v>
      </c>
      <c r="U65" s="74">
        <f t="shared" si="35"/>
        <v>1.3257142857142858</v>
      </c>
      <c r="V65" s="73">
        <f t="shared" si="36"/>
        <v>2</v>
      </c>
      <c r="W65" s="72">
        <f t="shared" si="37"/>
        <v>0.63157894736842102</v>
      </c>
      <c r="X65" s="74">
        <f t="shared" si="38"/>
        <v>0.36842105263157898</v>
      </c>
      <c r="Y65" s="73">
        <f t="shared" si="18"/>
        <v>0.76159390724874199</v>
      </c>
      <c r="Z65" s="72">
        <f t="shared" si="33"/>
        <v>2.8606415262963609</v>
      </c>
      <c r="AA65" s="72">
        <f t="shared" si="19"/>
        <v>1.343820600865361</v>
      </c>
      <c r="AB65" s="72">
        <v>0</v>
      </c>
      <c r="AC65" s="72">
        <f t="shared" si="20"/>
        <v>1.8058538073101399E-2</v>
      </c>
      <c r="AD65" s="74">
        <f t="shared" si="21"/>
        <v>1.8058538073101399E-2</v>
      </c>
      <c r="AE65" s="73">
        <f t="shared" si="22"/>
        <v>0.64750676691729336</v>
      </c>
      <c r="AF65" s="72">
        <f t="shared" si="23"/>
        <v>1.343820600865361</v>
      </c>
      <c r="AG65" s="72">
        <f t="shared" si="39"/>
        <v>8.1263421328956302E-3</v>
      </c>
      <c r="AH65" s="72">
        <f t="shared" si="40"/>
        <v>0.45263806635042853</v>
      </c>
      <c r="AI65" s="74">
        <f t="shared" si="24"/>
        <v>0.46076440848332417</v>
      </c>
      <c r="AJ65" s="73">
        <f t="shared" si="25"/>
        <v>0.77333333333333343</v>
      </c>
      <c r="AK65" s="72">
        <f t="shared" si="26"/>
        <v>1.5111123789067213</v>
      </c>
      <c r="AL65" s="72">
        <f t="shared" si="27"/>
        <v>0.54133333333333333</v>
      </c>
      <c r="AM65" s="72">
        <f t="shared" si="41"/>
        <v>0.42354999999999998</v>
      </c>
      <c r="AN65" s="74">
        <f t="shared" si="28"/>
        <v>0.96488333333333332</v>
      </c>
      <c r="AO65" s="73">
        <f t="shared" si="42"/>
        <v>2.1670245687721679E-2</v>
      </c>
      <c r="AP65" s="72">
        <f t="shared" si="16"/>
        <v>0.2467125</v>
      </c>
      <c r="AQ65" s="74">
        <f t="shared" si="29"/>
        <v>3.15E-3</v>
      </c>
      <c r="AR65" s="73">
        <f t="shared" si="30"/>
        <v>1.6971804875043792</v>
      </c>
      <c r="AS65" s="72">
        <f t="shared" si="31"/>
        <v>9.2800000000000011</v>
      </c>
      <c r="AT65" s="74">
        <f t="shared" si="32"/>
        <v>84.539012641394336</v>
      </c>
    </row>
    <row r="66" spans="17:46" ht="14.65" x14ac:dyDescent="0.4">
      <c r="Q66">
        <v>59</v>
      </c>
      <c r="R66" s="73">
        <f t="shared" si="0"/>
        <v>12</v>
      </c>
      <c r="S66" s="72">
        <f t="shared" si="34"/>
        <v>0.78666666666666674</v>
      </c>
      <c r="T66" s="72">
        <f t="shared" si="2"/>
        <v>7</v>
      </c>
      <c r="U66" s="74">
        <f t="shared" si="35"/>
        <v>1.3485714285714288</v>
      </c>
      <c r="V66" s="73">
        <f t="shared" si="36"/>
        <v>2</v>
      </c>
      <c r="W66" s="72">
        <f t="shared" si="37"/>
        <v>0.63157894736842102</v>
      </c>
      <c r="X66" s="74">
        <f t="shared" si="38"/>
        <v>0.36842105263157898</v>
      </c>
      <c r="Y66" s="73">
        <f t="shared" si="18"/>
        <v>0.76159390724874199</v>
      </c>
      <c r="Z66" s="72">
        <f t="shared" si="33"/>
        <v>2.8968320024868373</v>
      </c>
      <c r="AA66" s="72">
        <f t="shared" si="19"/>
        <v>1.3663748892314966</v>
      </c>
      <c r="AB66" s="72">
        <v>0</v>
      </c>
      <c r="AC66" s="72">
        <f t="shared" si="20"/>
        <v>1.8669803379223845E-2</v>
      </c>
      <c r="AD66" s="74">
        <f t="shared" si="21"/>
        <v>1.8669803379223845E-2</v>
      </c>
      <c r="AE66" s="73">
        <f t="shared" si="22"/>
        <v>0.67002706766917308</v>
      </c>
      <c r="AF66" s="72">
        <f t="shared" si="23"/>
        <v>1.3663748892314966</v>
      </c>
      <c r="AG66" s="72">
        <f t="shared" si="39"/>
        <v>8.4014115206507319E-3</v>
      </c>
      <c r="AH66" s="72">
        <f t="shared" si="40"/>
        <v>0.46044217094267736</v>
      </c>
      <c r="AI66" s="74">
        <f t="shared" si="24"/>
        <v>0.46884358246332808</v>
      </c>
      <c r="AJ66" s="73">
        <f t="shared" si="25"/>
        <v>0.78666666666666674</v>
      </c>
      <c r="AK66" s="72">
        <f t="shared" si="26"/>
        <v>1.5329945694529568</v>
      </c>
      <c r="AL66" s="72">
        <f t="shared" si="27"/>
        <v>0.55066666666666664</v>
      </c>
      <c r="AM66" s="72">
        <f t="shared" si="41"/>
        <v>0.42354999999999998</v>
      </c>
      <c r="AN66" s="74">
        <f t="shared" si="28"/>
        <v>0.97421666666666662</v>
      </c>
      <c r="AO66" s="73">
        <f t="shared" si="42"/>
        <v>2.2403764055068616E-2</v>
      </c>
      <c r="AP66" s="72">
        <f t="shared" si="16"/>
        <v>0.2467125</v>
      </c>
      <c r="AQ66" s="74">
        <f t="shared" si="29"/>
        <v>3.15E-3</v>
      </c>
      <c r="AR66" s="73">
        <f t="shared" si="30"/>
        <v>1.7153265131850632</v>
      </c>
      <c r="AS66" s="72">
        <f t="shared" si="31"/>
        <v>9.4400000000000013</v>
      </c>
      <c r="AT66" s="74">
        <f t="shared" si="32"/>
        <v>84.623251402299786</v>
      </c>
    </row>
    <row r="67" spans="17:46" ht="14.65" x14ac:dyDescent="0.4">
      <c r="Q67">
        <v>60</v>
      </c>
      <c r="R67" s="73">
        <f t="shared" si="0"/>
        <v>12</v>
      </c>
      <c r="S67" s="72">
        <f t="shared" si="34"/>
        <v>0.8</v>
      </c>
      <c r="T67" s="72">
        <f t="shared" si="2"/>
        <v>7</v>
      </c>
      <c r="U67" s="74">
        <f t="shared" si="35"/>
        <v>1.3714285714285717</v>
      </c>
      <c r="V67" s="73">
        <f t="shared" si="36"/>
        <v>2</v>
      </c>
      <c r="W67" s="72">
        <f t="shared" si="37"/>
        <v>0.63157894736842102</v>
      </c>
      <c r="X67" s="74">
        <f t="shared" si="38"/>
        <v>0.36842105263157898</v>
      </c>
      <c r="Y67" s="73">
        <f t="shared" si="18"/>
        <v>0.76159390724874199</v>
      </c>
      <c r="Z67" s="72">
        <f t="shared" si="33"/>
        <v>2.9330224786773136</v>
      </c>
      <c r="AA67" s="72">
        <f t="shared" si="19"/>
        <v>1.3889390794753431</v>
      </c>
      <c r="AB67" s="72">
        <v>0</v>
      </c>
      <c r="AC67" s="72">
        <f t="shared" si="20"/>
        <v>1.9291517664938137E-2</v>
      </c>
      <c r="AD67" s="74">
        <f t="shared" si="21"/>
        <v>1.9291517664938137E-2</v>
      </c>
      <c r="AE67" s="73">
        <f t="shared" si="22"/>
        <v>0.69293233082706784</v>
      </c>
      <c r="AF67" s="72">
        <f t="shared" si="23"/>
        <v>1.3889390794753431</v>
      </c>
      <c r="AG67" s="72">
        <f t="shared" si="39"/>
        <v>8.6811829492221618E-3</v>
      </c>
      <c r="AH67" s="72">
        <f t="shared" si="40"/>
        <v>0.46824627553492604</v>
      </c>
      <c r="AI67" s="74">
        <f t="shared" si="24"/>
        <v>0.47692745848414819</v>
      </c>
      <c r="AJ67" s="73">
        <f t="shared" si="25"/>
        <v>0.8</v>
      </c>
      <c r="AK67" s="72">
        <f t="shared" si="26"/>
        <v>1.5548791456651743</v>
      </c>
      <c r="AL67" s="72">
        <f t="shared" si="27"/>
        <v>0.55999999999999994</v>
      </c>
      <c r="AM67" s="72">
        <f t="shared" si="41"/>
        <v>0.42354999999999998</v>
      </c>
      <c r="AN67" s="74">
        <f t="shared" si="28"/>
        <v>0.98354999999999992</v>
      </c>
      <c r="AO67" s="73">
        <f t="shared" si="42"/>
        <v>2.3149821197925764E-2</v>
      </c>
      <c r="AP67" s="72">
        <f t="shared" si="16"/>
        <v>0.2467125</v>
      </c>
      <c r="AQ67" s="74">
        <f t="shared" si="29"/>
        <v>3.15E-3</v>
      </c>
      <c r="AR67" s="73">
        <f t="shared" si="30"/>
        <v>1.7334897796820739</v>
      </c>
      <c r="AS67" s="72">
        <f t="shared" si="31"/>
        <v>9.6000000000000014</v>
      </c>
      <c r="AT67" s="74">
        <f t="shared" si="32"/>
        <v>84.704713081492699</v>
      </c>
    </row>
    <row r="68" spans="17:46" ht="14.65" x14ac:dyDescent="0.4">
      <c r="Q68">
        <v>61</v>
      </c>
      <c r="R68" s="73">
        <f t="shared" si="0"/>
        <v>12</v>
      </c>
      <c r="S68" s="72">
        <f t="shared" si="34"/>
        <v>0.81333333333333335</v>
      </c>
      <c r="T68" s="72">
        <f t="shared" si="2"/>
        <v>7</v>
      </c>
      <c r="U68" s="74">
        <f t="shared" si="35"/>
        <v>1.3942857142857144</v>
      </c>
      <c r="V68" s="73">
        <f t="shared" si="36"/>
        <v>2</v>
      </c>
      <c r="W68" s="72">
        <f t="shared" si="37"/>
        <v>0.63157894736842102</v>
      </c>
      <c r="X68" s="74">
        <f t="shared" si="38"/>
        <v>0.36842105263157898</v>
      </c>
      <c r="Y68" s="73">
        <f t="shared" si="18"/>
        <v>0.76159390724874199</v>
      </c>
      <c r="Z68" s="72">
        <f t="shared" si="33"/>
        <v>2.9692129548677895</v>
      </c>
      <c r="AA68" s="72">
        <f t="shared" si="19"/>
        <v>1.4115126967280263</v>
      </c>
      <c r="AB68" s="72">
        <v>0</v>
      </c>
      <c r="AC68" s="72">
        <f t="shared" si="20"/>
        <v>1.9923680930244249E-2</v>
      </c>
      <c r="AD68" s="74">
        <f t="shared" si="21"/>
        <v>1.9923680930244249E-2</v>
      </c>
      <c r="AE68" s="73">
        <f t="shared" si="22"/>
        <v>0.71622255639097743</v>
      </c>
      <c r="AF68" s="72">
        <f t="shared" si="23"/>
        <v>1.4115126967280263</v>
      </c>
      <c r="AG68" s="72">
        <f t="shared" si="39"/>
        <v>8.965656418609913E-3</v>
      </c>
      <c r="AH68" s="72">
        <f t="shared" si="40"/>
        <v>0.47605038012717477</v>
      </c>
      <c r="AI68" s="74">
        <f t="shared" si="24"/>
        <v>0.48501603654578468</v>
      </c>
      <c r="AJ68" s="73">
        <f t="shared" si="25"/>
        <v>0.81333333333333335</v>
      </c>
      <c r="AK68" s="72">
        <f t="shared" si="26"/>
        <v>1.5767660082084936</v>
      </c>
      <c r="AL68" s="72">
        <f t="shared" si="27"/>
        <v>0.56933333333333336</v>
      </c>
      <c r="AM68" s="72">
        <f t="shared" si="41"/>
        <v>0.42354999999999998</v>
      </c>
      <c r="AN68" s="74">
        <f t="shared" si="28"/>
        <v>0.99288333333333334</v>
      </c>
      <c r="AO68" s="73">
        <f t="shared" si="42"/>
        <v>2.3908417116293101E-2</v>
      </c>
      <c r="AP68" s="72">
        <f t="shared" si="16"/>
        <v>0.2467125</v>
      </c>
      <c r="AQ68" s="74">
        <f t="shared" si="29"/>
        <v>3.15E-3</v>
      </c>
      <c r="AR68" s="73">
        <f t="shared" si="30"/>
        <v>1.7516702869954111</v>
      </c>
      <c r="AS68" s="72">
        <f t="shared" si="31"/>
        <v>9.76</v>
      </c>
      <c r="AT68" s="74">
        <f t="shared" si="32"/>
        <v>84.783526253577207</v>
      </c>
    </row>
    <row r="69" spans="17:46" ht="14.65" x14ac:dyDescent="0.4">
      <c r="Q69">
        <v>62</v>
      </c>
      <c r="R69" s="73">
        <f t="shared" si="0"/>
        <v>12</v>
      </c>
      <c r="S69" s="72">
        <f t="shared" si="34"/>
        <v>0.82666666666666677</v>
      </c>
      <c r="T69" s="72">
        <f t="shared" si="2"/>
        <v>7</v>
      </c>
      <c r="U69" s="74">
        <f t="shared" si="35"/>
        <v>1.4171428571428575</v>
      </c>
      <c r="V69" s="73">
        <f t="shared" si="36"/>
        <v>2</v>
      </c>
      <c r="W69" s="72">
        <f t="shared" si="37"/>
        <v>0.63157894736842102</v>
      </c>
      <c r="X69" s="74">
        <f t="shared" si="38"/>
        <v>0.36842105263157898</v>
      </c>
      <c r="Y69" s="73">
        <f t="shared" si="18"/>
        <v>0.76159390724874199</v>
      </c>
      <c r="Z69" s="72">
        <f t="shared" si="33"/>
        <v>3.0054034310582662</v>
      </c>
      <c r="AA69" s="72">
        <f t="shared" si="19"/>
        <v>1.4340952958273803</v>
      </c>
      <c r="AB69" s="72">
        <v>0</v>
      </c>
      <c r="AC69" s="72">
        <f t="shared" si="20"/>
        <v>2.0566293175142213E-2</v>
      </c>
      <c r="AD69" s="74">
        <f t="shared" si="21"/>
        <v>2.0566293175142213E-2</v>
      </c>
      <c r="AE69" s="73">
        <f t="shared" si="22"/>
        <v>0.7398977443609025</v>
      </c>
      <c r="AF69" s="72">
        <f t="shared" si="23"/>
        <v>1.4340952958273803</v>
      </c>
      <c r="AG69" s="72">
        <f t="shared" si="39"/>
        <v>9.254831928813996E-3</v>
      </c>
      <c r="AH69" s="72">
        <f t="shared" si="40"/>
        <v>0.48385448471942372</v>
      </c>
      <c r="AI69" s="74">
        <f t="shared" si="24"/>
        <v>0.49310931664823771</v>
      </c>
      <c r="AJ69" s="73">
        <f t="shared" si="25"/>
        <v>0.82666666666666677</v>
      </c>
      <c r="AK69" s="72">
        <f t="shared" si="26"/>
        <v>1.5986550631778302</v>
      </c>
      <c r="AL69" s="72">
        <f t="shared" si="27"/>
        <v>0.57866666666666666</v>
      </c>
      <c r="AM69" s="72">
        <f t="shared" si="41"/>
        <v>0.42354999999999998</v>
      </c>
      <c r="AN69" s="74">
        <f t="shared" si="28"/>
        <v>1.0022166666666665</v>
      </c>
      <c r="AO69" s="73">
        <f t="shared" si="42"/>
        <v>2.4679551810170654E-2</v>
      </c>
      <c r="AP69" s="72">
        <f t="shared" si="16"/>
        <v>0.2467125</v>
      </c>
      <c r="AQ69" s="74">
        <f t="shared" si="29"/>
        <v>3.15E-3</v>
      </c>
      <c r="AR69" s="73">
        <f t="shared" si="30"/>
        <v>1.7698680351250748</v>
      </c>
      <c r="AS69" s="72">
        <f t="shared" si="31"/>
        <v>9.9200000000000017</v>
      </c>
      <c r="AT69" s="74">
        <f t="shared" si="32"/>
        <v>84.859811677881453</v>
      </c>
    </row>
    <row r="70" spans="17:46" ht="14.65" x14ac:dyDescent="0.4">
      <c r="Q70">
        <v>63</v>
      </c>
      <c r="R70" s="73">
        <f t="shared" si="0"/>
        <v>12</v>
      </c>
      <c r="S70" s="72">
        <f t="shared" si="34"/>
        <v>0.84000000000000008</v>
      </c>
      <c r="T70" s="72">
        <f t="shared" si="2"/>
        <v>7</v>
      </c>
      <c r="U70" s="74">
        <f t="shared" si="35"/>
        <v>1.4400000000000002</v>
      </c>
      <c r="V70" s="73">
        <f t="shared" si="36"/>
        <v>2</v>
      </c>
      <c r="W70" s="72">
        <f t="shared" si="37"/>
        <v>0.63157894736842102</v>
      </c>
      <c r="X70" s="74">
        <f t="shared" si="38"/>
        <v>0.36842105263157898</v>
      </c>
      <c r="Y70" s="73">
        <f t="shared" si="18"/>
        <v>0.76159390724874199</v>
      </c>
      <c r="Z70" s="72">
        <f t="shared" si="33"/>
        <v>3.0415939072487421</v>
      </c>
      <c r="AA70" s="72">
        <f t="shared" si="19"/>
        <v>1.4566864590443616</v>
      </c>
      <c r="AB70" s="72">
        <v>0</v>
      </c>
      <c r="AC70" s="72">
        <f t="shared" si="20"/>
        <v>2.1219354399632007E-2</v>
      </c>
      <c r="AD70" s="74">
        <f t="shared" si="21"/>
        <v>2.1219354399632007E-2</v>
      </c>
      <c r="AE70" s="73">
        <f t="shared" si="22"/>
        <v>0.76395789473684217</v>
      </c>
      <c r="AF70" s="72">
        <f t="shared" si="23"/>
        <v>1.4566864590443616</v>
      </c>
      <c r="AG70" s="72">
        <f t="shared" si="39"/>
        <v>9.5487094798344038E-3</v>
      </c>
      <c r="AH70" s="72">
        <f t="shared" si="40"/>
        <v>0.49165858931167239</v>
      </c>
      <c r="AI70" s="74">
        <f t="shared" si="24"/>
        <v>0.50120729879150683</v>
      </c>
      <c r="AJ70" s="73">
        <f t="shared" si="25"/>
        <v>0.84000000000000008</v>
      </c>
      <c r="AK70" s="72">
        <f t="shared" si="26"/>
        <v>1.6205462217325226</v>
      </c>
      <c r="AL70" s="72">
        <f t="shared" si="27"/>
        <v>0.58799999999999997</v>
      </c>
      <c r="AM70" s="72">
        <f t="shared" si="41"/>
        <v>0.42354999999999998</v>
      </c>
      <c r="AN70" s="74">
        <f t="shared" si="28"/>
        <v>1.0115499999999999</v>
      </c>
      <c r="AO70" s="73">
        <f t="shared" si="42"/>
        <v>2.546322527955841E-2</v>
      </c>
      <c r="AP70" s="72">
        <f t="shared" si="16"/>
        <v>0.2467125</v>
      </c>
      <c r="AQ70" s="74">
        <f t="shared" si="29"/>
        <v>3.15E-3</v>
      </c>
      <c r="AR70" s="73">
        <f t="shared" si="30"/>
        <v>1.7880830240710652</v>
      </c>
      <c r="AS70" s="72">
        <f t="shared" si="31"/>
        <v>10.080000000000002</v>
      </c>
      <c r="AT70" s="74">
        <f t="shared" si="32"/>
        <v>84.933682883373478</v>
      </c>
    </row>
    <row r="71" spans="17:46" ht="14.65" x14ac:dyDescent="0.4">
      <c r="Q71">
        <v>64</v>
      </c>
      <c r="R71" s="73">
        <f t="shared" ref="R71:R134" si="43">VOUT</f>
        <v>12</v>
      </c>
      <c r="S71" s="72">
        <f t="shared" ref="S71:S102" si="44">Q71*$O$12</f>
        <v>0.85333333333333339</v>
      </c>
      <c r="T71" s="72">
        <f t="shared" ref="T71:T134" si="45">VIN_var</f>
        <v>7</v>
      </c>
      <c r="U71" s="74">
        <f t="shared" ref="U71:U102" si="46">(R71*S71)/(T71*EFF_est)</f>
        <v>1.4628571428571429</v>
      </c>
      <c r="V71" s="73">
        <f t="shared" ref="V71:V102" si="47">IF(S71&lt;((T71^2)*R71)/(2*Fsw*Lm*((T71+R71)^2)),1,2)</f>
        <v>2</v>
      </c>
      <c r="W71" s="72">
        <f t="shared" ref="W71:W102" si="48">CHOOSE(V71,SQRT(2*Lm*R71*S71*Fsw)/T71,R71/(T71+R71))</f>
        <v>0.63157894736842102</v>
      </c>
      <c r="X71" s="74">
        <f t="shared" ref="X71:X102" si="49">CHOOSE(V71,(Lm*Z71*Fsw)/(R71),1-W71)</f>
        <v>0.36842105263157898</v>
      </c>
      <c r="Y71" s="73">
        <f t="shared" si="18"/>
        <v>0.76159390724874199</v>
      </c>
      <c r="Z71" s="72">
        <f t="shared" si="33"/>
        <v>3.077784383439218</v>
      </c>
      <c r="AA71" s="72">
        <f t="shared" si="19"/>
        <v>1.4792857940139097</v>
      </c>
      <c r="AB71" s="72">
        <v>0</v>
      </c>
      <c r="AC71" s="72">
        <f t="shared" si="20"/>
        <v>2.1882864603713633E-2</v>
      </c>
      <c r="AD71" s="74">
        <f t="shared" si="21"/>
        <v>2.1882864603713633E-2</v>
      </c>
      <c r="AE71" s="73">
        <f t="shared" si="22"/>
        <v>0.78840300751879699</v>
      </c>
      <c r="AF71" s="72">
        <f t="shared" si="23"/>
        <v>1.4792857940139097</v>
      </c>
      <c r="AG71" s="72">
        <f t="shared" ref="AG71:AG102" si="50">(AF71^2)*RDS_on</f>
        <v>9.8472890716711364E-3</v>
      </c>
      <c r="AH71" s="72">
        <f t="shared" ref="AH71:AH102" si="51">(((R71+T71)*(U71+S71))/2)*Fsw*(tr_sw+tf_sw)</f>
        <v>0.49946269390392101</v>
      </c>
      <c r="AI71" s="74">
        <f t="shared" si="24"/>
        <v>0.50930998297559216</v>
      </c>
      <c r="AJ71" s="73">
        <f t="shared" si="25"/>
        <v>0.85333333333333339</v>
      </c>
      <c r="AK71" s="72">
        <f t="shared" si="26"/>
        <v>1.6424393997600268</v>
      </c>
      <c r="AL71" s="72">
        <f t="shared" si="27"/>
        <v>0.59733333333333338</v>
      </c>
      <c r="AM71" s="72">
        <f t="shared" ref="AM71:AM102" si="52">(R71+T71+Vd_rect)*Qrr*Fsw</f>
        <v>0.42354999999999998</v>
      </c>
      <c r="AN71" s="74">
        <f t="shared" si="28"/>
        <v>1.0208833333333334</v>
      </c>
      <c r="AO71" s="73">
        <f t="shared" ref="AO71:AO102" si="53">(AF71^2)*R_cs</f>
        <v>2.625943752445636E-2</v>
      </c>
      <c r="AP71" s="72">
        <f t="shared" ref="AP71:AP134" si="54">Qg_tot*Vcc*Fsw</f>
        <v>0.2467125</v>
      </c>
      <c r="AQ71" s="74">
        <f t="shared" si="29"/>
        <v>3.15E-3</v>
      </c>
      <c r="AR71" s="73">
        <f t="shared" si="30"/>
        <v>1.8063152538333818</v>
      </c>
      <c r="AS71" s="72">
        <f t="shared" si="31"/>
        <v>10.24</v>
      </c>
      <c r="AT71" s="74">
        <f t="shared" si="32"/>
        <v>85.005246701819658</v>
      </c>
    </row>
    <row r="72" spans="17:46" ht="14.65" x14ac:dyDescent="0.4">
      <c r="Q72">
        <v>65</v>
      </c>
      <c r="R72" s="73">
        <f t="shared" si="43"/>
        <v>12</v>
      </c>
      <c r="S72" s="72">
        <f t="shared" si="44"/>
        <v>0.8666666666666667</v>
      </c>
      <c r="T72" s="72">
        <f t="shared" si="45"/>
        <v>7</v>
      </c>
      <c r="U72" s="74">
        <f t="shared" si="46"/>
        <v>1.4857142857142858</v>
      </c>
      <c r="V72" s="73">
        <f t="shared" si="47"/>
        <v>2</v>
      </c>
      <c r="W72" s="72">
        <f t="shared" si="48"/>
        <v>0.63157894736842102</v>
      </c>
      <c r="X72" s="74">
        <f t="shared" si="49"/>
        <v>0.36842105263157898</v>
      </c>
      <c r="Y72" s="73">
        <f t="shared" ref="Y72:Y135" si="55">(T72*W72)/(Lm*Fsw)</f>
        <v>0.76159390724874199</v>
      </c>
      <c r="Z72" s="72">
        <f t="shared" ref="Z72:Z135" si="56">CHOOSE(V72,Y72,U72+S72+(Y72))</f>
        <v>3.1139748596296943</v>
      </c>
      <c r="AA72" s="72">
        <f t="shared" ref="AA72:AA135" si="57">CHOOSE(V72,Z72*SQRT((W72+X72)/3),SQRT((U72^2)+((Y72^2)/12)))</f>
        <v>1.5018929318492416</v>
      </c>
      <c r="AB72" s="72">
        <v>0</v>
      </c>
      <c r="AC72" s="72">
        <f t="shared" ref="AC72:AC135" si="58">(AA72^2)*Rdcr</f>
        <v>2.2556823787387104E-2</v>
      </c>
      <c r="AD72" s="74">
        <f t="shared" ref="AD72:AD135" si="59">AB72+AC72</f>
        <v>2.2556823787387104E-2</v>
      </c>
      <c r="AE72" s="73">
        <f t="shared" ref="AE72:AE135" si="60">U72*S72*W72</f>
        <v>0.81323308270676686</v>
      </c>
      <c r="AF72" s="72">
        <f t="shared" ref="AF72:AF135" si="61">AA72</f>
        <v>1.5018929318492416</v>
      </c>
      <c r="AG72" s="72">
        <f t="shared" si="50"/>
        <v>1.0150570704324197E-2</v>
      </c>
      <c r="AH72" s="72">
        <f t="shared" si="51"/>
        <v>0.50726679849616985</v>
      </c>
      <c r="AI72" s="74">
        <f t="shared" ref="AI72:AI135" si="62">AG72+AH72</f>
        <v>0.51741736920049408</v>
      </c>
      <c r="AJ72" s="73">
        <f t="shared" ref="AJ72:AJ135" si="63">S72</f>
        <v>0.8666666666666667</v>
      </c>
      <c r="AK72" s="72">
        <f t="shared" ref="AK72:AK135" si="64">CHOOSE(V72,Z72*SQRT(X72/3),SQRT(X72*((Z72^2)+((Y72^2)/3)-(Y72*Z72))))</f>
        <v>1.6643345175660089</v>
      </c>
      <c r="AL72" s="72">
        <f t="shared" ref="AL72:AL135" si="65">S72*Vd_rect</f>
        <v>0.60666666666666669</v>
      </c>
      <c r="AM72" s="72">
        <f t="shared" si="52"/>
        <v>0.42354999999999998</v>
      </c>
      <c r="AN72" s="74">
        <f t="shared" ref="AN72:AN135" si="66">AL72+AM72</f>
        <v>1.0302166666666666</v>
      </c>
      <c r="AO72" s="73">
        <f t="shared" si="53"/>
        <v>2.7068188544864525E-2</v>
      </c>
      <c r="AP72" s="72">
        <f t="shared" si="54"/>
        <v>0.2467125</v>
      </c>
      <c r="AQ72" s="74">
        <f t="shared" ref="AQ72:AQ135" si="67">IQ*T72</f>
        <v>3.15E-3</v>
      </c>
      <c r="AR72" s="73">
        <f t="shared" ref="AR72:AR135" si="68">AO72+AN72+AI72+AP72+AQ72</f>
        <v>1.8245647244120253</v>
      </c>
      <c r="AS72" s="72">
        <f t="shared" ref="AS72:AS135" si="69">R72*S72</f>
        <v>10.4</v>
      </c>
      <c r="AT72" s="74">
        <f t="shared" ref="AT72:AT135" si="70">(AS72/(AS72+AR72))*100</f>
        <v>85.074603754451601</v>
      </c>
    </row>
    <row r="73" spans="17:46" ht="14.65" x14ac:dyDescent="0.4">
      <c r="Q73">
        <v>66</v>
      </c>
      <c r="R73" s="73">
        <f t="shared" si="43"/>
        <v>12</v>
      </c>
      <c r="S73" s="72">
        <f t="shared" si="44"/>
        <v>0.88</v>
      </c>
      <c r="T73" s="72">
        <f t="shared" si="45"/>
        <v>7</v>
      </c>
      <c r="U73" s="74">
        <f t="shared" si="46"/>
        <v>1.5085714285714287</v>
      </c>
      <c r="V73" s="73">
        <f t="shared" si="47"/>
        <v>2</v>
      </c>
      <c r="W73" s="72">
        <f t="shared" si="48"/>
        <v>0.63157894736842102</v>
      </c>
      <c r="X73" s="74">
        <f t="shared" si="49"/>
        <v>0.36842105263157898</v>
      </c>
      <c r="Y73" s="73">
        <f t="shared" si="55"/>
        <v>0.76159390724874199</v>
      </c>
      <c r="Z73" s="72">
        <f t="shared" si="56"/>
        <v>3.1501653358201707</v>
      </c>
      <c r="AA73" s="72">
        <f t="shared" si="57"/>
        <v>1.5245075254209937</v>
      </c>
      <c r="AB73" s="72">
        <v>0</v>
      </c>
      <c r="AC73" s="72">
        <f t="shared" si="58"/>
        <v>2.3241231950652416E-2</v>
      </c>
      <c r="AD73" s="74">
        <f t="shared" si="59"/>
        <v>2.3241231950652416E-2</v>
      </c>
      <c r="AE73" s="73">
        <f t="shared" si="60"/>
        <v>0.83844812030075178</v>
      </c>
      <c r="AF73" s="72">
        <f t="shared" si="61"/>
        <v>1.5245075254209937</v>
      </c>
      <c r="AG73" s="72">
        <f t="shared" si="50"/>
        <v>1.0458554377793588E-2</v>
      </c>
      <c r="AH73" s="72">
        <f t="shared" si="51"/>
        <v>0.51507090308841863</v>
      </c>
      <c r="AI73" s="74">
        <f t="shared" si="62"/>
        <v>0.52552945746621227</v>
      </c>
      <c r="AJ73" s="73">
        <f t="shared" si="63"/>
        <v>0.88</v>
      </c>
      <c r="AK73" s="72">
        <f t="shared" si="64"/>
        <v>1.6862314995884644</v>
      </c>
      <c r="AL73" s="72">
        <f t="shared" si="65"/>
        <v>0.61599999999999999</v>
      </c>
      <c r="AM73" s="72">
        <f t="shared" si="52"/>
        <v>0.42354999999999998</v>
      </c>
      <c r="AN73" s="74">
        <f t="shared" si="66"/>
        <v>1.03955</v>
      </c>
      <c r="AO73" s="73">
        <f t="shared" si="53"/>
        <v>2.7889478340782897E-2</v>
      </c>
      <c r="AP73" s="72">
        <f t="shared" si="54"/>
        <v>0.2467125</v>
      </c>
      <c r="AQ73" s="74">
        <f t="shared" si="67"/>
        <v>3.15E-3</v>
      </c>
      <c r="AR73" s="73">
        <f t="shared" si="68"/>
        <v>1.842831435806995</v>
      </c>
      <c r="AS73" s="72">
        <f t="shared" si="69"/>
        <v>10.56</v>
      </c>
      <c r="AT73" s="74">
        <f t="shared" si="70"/>
        <v>85.141848896803225</v>
      </c>
    </row>
    <row r="74" spans="17:46" ht="14.65" x14ac:dyDescent="0.4">
      <c r="Q74">
        <v>67</v>
      </c>
      <c r="R74" s="73">
        <f t="shared" si="43"/>
        <v>12</v>
      </c>
      <c r="S74" s="72">
        <f t="shared" si="44"/>
        <v>0.89333333333333342</v>
      </c>
      <c r="T74" s="72">
        <f t="shared" si="45"/>
        <v>7</v>
      </c>
      <c r="U74" s="74">
        <f t="shared" si="46"/>
        <v>1.5314285714285716</v>
      </c>
      <c r="V74" s="73">
        <f t="shared" si="47"/>
        <v>2</v>
      </c>
      <c r="W74" s="72">
        <f t="shared" si="48"/>
        <v>0.63157894736842102</v>
      </c>
      <c r="X74" s="74">
        <f t="shared" si="49"/>
        <v>0.36842105263157898</v>
      </c>
      <c r="Y74" s="73">
        <f t="shared" si="55"/>
        <v>0.76159390724874199</v>
      </c>
      <c r="Z74" s="72">
        <f t="shared" si="56"/>
        <v>3.186355812010647</v>
      </c>
      <c r="AA74" s="72">
        <f t="shared" si="57"/>
        <v>1.5471292477847336</v>
      </c>
      <c r="AB74" s="72">
        <v>0</v>
      </c>
      <c r="AC74" s="72">
        <f t="shared" si="58"/>
        <v>2.3936089093509558E-2</v>
      </c>
      <c r="AD74" s="74">
        <f t="shared" si="59"/>
        <v>2.3936089093509558E-2</v>
      </c>
      <c r="AE74" s="73">
        <f t="shared" si="60"/>
        <v>0.86404812030075195</v>
      </c>
      <c r="AF74" s="72">
        <f t="shared" si="61"/>
        <v>1.5471292477847336</v>
      </c>
      <c r="AG74" s="72">
        <f t="shared" si="50"/>
        <v>1.0771240092079302E-2</v>
      </c>
      <c r="AH74" s="72">
        <f t="shared" si="51"/>
        <v>0.52287500768066753</v>
      </c>
      <c r="AI74" s="74">
        <f t="shared" si="62"/>
        <v>0.53364624777274683</v>
      </c>
      <c r="AJ74" s="73">
        <f t="shared" si="63"/>
        <v>0.89333333333333342</v>
      </c>
      <c r="AK74" s="72">
        <f t="shared" si="64"/>
        <v>1.7081302741337157</v>
      </c>
      <c r="AL74" s="72">
        <f t="shared" si="65"/>
        <v>0.62533333333333341</v>
      </c>
      <c r="AM74" s="72">
        <f t="shared" si="52"/>
        <v>0.42354999999999998</v>
      </c>
      <c r="AN74" s="74">
        <f t="shared" si="66"/>
        <v>1.0488833333333334</v>
      </c>
      <c r="AO74" s="73">
        <f t="shared" si="53"/>
        <v>2.872330691221147E-2</v>
      </c>
      <c r="AP74" s="72">
        <f t="shared" si="54"/>
        <v>0.2467125</v>
      </c>
      <c r="AQ74" s="74">
        <f t="shared" si="67"/>
        <v>3.15E-3</v>
      </c>
      <c r="AR74" s="73">
        <f t="shared" si="68"/>
        <v>1.8611153880182918</v>
      </c>
      <c r="AS74" s="72">
        <f t="shared" si="69"/>
        <v>10.72</v>
      </c>
      <c r="AT74" s="74">
        <f t="shared" si="70"/>
        <v>85.207071625853331</v>
      </c>
    </row>
    <row r="75" spans="17:46" ht="14.65" x14ac:dyDescent="0.4">
      <c r="Q75">
        <v>68</v>
      </c>
      <c r="R75" s="73">
        <f t="shared" si="43"/>
        <v>12</v>
      </c>
      <c r="S75" s="72">
        <f t="shared" si="44"/>
        <v>0.90666666666666673</v>
      </c>
      <c r="T75" s="72">
        <f t="shared" si="45"/>
        <v>7</v>
      </c>
      <c r="U75" s="74">
        <f t="shared" si="46"/>
        <v>1.5542857142857145</v>
      </c>
      <c r="V75" s="73">
        <f t="shared" si="47"/>
        <v>2</v>
      </c>
      <c r="W75" s="72">
        <f t="shared" si="48"/>
        <v>0.63157894736842102</v>
      </c>
      <c r="X75" s="74">
        <f t="shared" si="49"/>
        <v>0.36842105263157898</v>
      </c>
      <c r="Y75" s="73">
        <f t="shared" si="55"/>
        <v>0.76159390724874199</v>
      </c>
      <c r="Z75" s="72">
        <f t="shared" si="56"/>
        <v>3.2225462882011233</v>
      </c>
      <c r="AA75" s="72">
        <f t="shared" si="57"/>
        <v>1.5697577907422069</v>
      </c>
      <c r="AB75" s="72">
        <v>0</v>
      </c>
      <c r="AC75" s="72">
        <f t="shared" si="58"/>
        <v>2.4641395215958543E-2</v>
      </c>
      <c r="AD75" s="74">
        <f t="shared" si="59"/>
        <v>2.4641395215958543E-2</v>
      </c>
      <c r="AE75" s="73">
        <f t="shared" si="60"/>
        <v>0.89003308270676695</v>
      </c>
      <c r="AF75" s="72">
        <f t="shared" si="61"/>
        <v>1.5697577907422069</v>
      </c>
      <c r="AG75" s="72">
        <f t="shared" si="50"/>
        <v>1.1088627847181346E-2</v>
      </c>
      <c r="AH75" s="72">
        <f t="shared" si="51"/>
        <v>0.53067911227291631</v>
      </c>
      <c r="AI75" s="74">
        <f t="shared" si="62"/>
        <v>0.54176774012009765</v>
      </c>
      <c r="AJ75" s="73">
        <f t="shared" si="63"/>
        <v>0.90666666666666673</v>
      </c>
      <c r="AK75" s="72">
        <f t="shared" si="64"/>
        <v>1.7300307731323636</v>
      </c>
      <c r="AL75" s="72">
        <f t="shared" si="65"/>
        <v>0.63466666666666671</v>
      </c>
      <c r="AM75" s="72">
        <f t="shared" si="52"/>
        <v>0.42354999999999998</v>
      </c>
      <c r="AN75" s="74">
        <f t="shared" si="66"/>
        <v>1.0582166666666666</v>
      </c>
      <c r="AO75" s="73">
        <f t="shared" si="53"/>
        <v>2.9569674259150254E-2</v>
      </c>
      <c r="AP75" s="72">
        <f t="shared" si="54"/>
        <v>0.2467125</v>
      </c>
      <c r="AQ75" s="74">
        <f t="shared" si="67"/>
        <v>3.15E-3</v>
      </c>
      <c r="AR75" s="73">
        <f t="shared" si="68"/>
        <v>1.8794165810459147</v>
      </c>
      <c r="AS75" s="72">
        <f t="shared" si="69"/>
        <v>10.88</v>
      </c>
      <c r="AT75" s="74">
        <f t="shared" si="70"/>
        <v>85.270356453148622</v>
      </c>
    </row>
    <row r="76" spans="17:46" ht="14.65" x14ac:dyDescent="0.4">
      <c r="Q76">
        <v>69</v>
      </c>
      <c r="R76" s="73">
        <f t="shared" si="43"/>
        <v>12</v>
      </c>
      <c r="S76" s="72">
        <f t="shared" si="44"/>
        <v>0.92</v>
      </c>
      <c r="T76" s="72">
        <f t="shared" si="45"/>
        <v>7</v>
      </c>
      <c r="U76" s="74">
        <f t="shared" si="46"/>
        <v>1.5771428571428572</v>
      </c>
      <c r="V76" s="73">
        <f t="shared" si="47"/>
        <v>2</v>
      </c>
      <c r="W76" s="72">
        <f t="shared" si="48"/>
        <v>0.63157894736842102</v>
      </c>
      <c r="X76" s="74">
        <f t="shared" si="49"/>
        <v>0.36842105263157898</v>
      </c>
      <c r="Y76" s="73">
        <f t="shared" si="55"/>
        <v>0.76159390724874199</v>
      </c>
      <c r="Z76" s="72">
        <f t="shared" si="56"/>
        <v>3.2587367643915992</v>
      </c>
      <c r="AA76" s="72">
        <f t="shared" si="57"/>
        <v>1.5923928635233</v>
      </c>
      <c r="AB76" s="72">
        <v>0</v>
      </c>
      <c r="AC76" s="72">
        <f t="shared" si="58"/>
        <v>2.5357150317999354E-2</v>
      </c>
      <c r="AD76" s="74">
        <f t="shared" si="59"/>
        <v>2.5357150317999354E-2</v>
      </c>
      <c r="AE76" s="73">
        <f t="shared" si="60"/>
        <v>0.916403007518797</v>
      </c>
      <c r="AF76" s="72">
        <f t="shared" si="61"/>
        <v>1.5923928635233</v>
      </c>
      <c r="AG76" s="72">
        <f t="shared" si="50"/>
        <v>1.141071764309971E-2</v>
      </c>
      <c r="AH76" s="72">
        <f t="shared" si="51"/>
        <v>0.53848321686516498</v>
      </c>
      <c r="AI76" s="74">
        <f t="shared" si="62"/>
        <v>0.54989393450826474</v>
      </c>
      <c r="AJ76" s="73">
        <f t="shared" si="63"/>
        <v>0.92</v>
      </c>
      <c r="AK76" s="72">
        <f t="shared" si="64"/>
        <v>1.7519329319134573</v>
      </c>
      <c r="AL76" s="72">
        <f t="shared" si="65"/>
        <v>0.64400000000000002</v>
      </c>
      <c r="AM76" s="72">
        <f t="shared" si="52"/>
        <v>0.42354999999999998</v>
      </c>
      <c r="AN76" s="74">
        <f t="shared" si="66"/>
        <v>1.06755</v>
      </c>
      <c r="AO76" s="73">
        <f t="shared" si="53"/>
        <v>3.0428580381599225E-2</v>
      </c>
      <c r="AP76" s="72">
        <f t="shared" si="54"/>
        <v>0.2467125</v>
      </c>
      <c r="AQ76" s="74">
        <f t="shared" si="67"/>
        <v>3.15E-3</v>
      </c>
      <c r="AR76" s="73">
        <f t="shared" si="68"/>
        <v>1.8977350148898637</v>
      </c>
      <c r="AS76" s="72">
        <f t="shared" si="69"/>
        <v>11.040000000000001</v>
      </c>
      <c r="AT76" s="74">
        <f t="shared" si="70"/>
        <v>85.331783247177455</v>
      </c>
    </row>
    <row r="77" spans="17:46" ht="14.65" x14ac:dyDescent="0.4">
      <c r="Q77">
        <v>70</v>
      </c>
      <c r="R77" s="73">
        <f t="shared" si="43"/>
        <v>12</v>
      </c>
      <c r="S77" s="72">
        <f t="shared" si="44"/>
        <v>0.93333333333333335</v>
      </c>
      <c r="T77" s="72">
        <f t="shared" si="45"/>
        <v>7</v>
      </c>
      <c r="U77" s="74">
        <f t="shared" si="46"/>
        <v>1.5999999999999999</v>
      </c>
      <c r="V77" s="73">
        <f t="shared" si="47"/>
        <v>2</v>
      </c>
      <c r="W77" s="72">
        <f t="shared" si="48"/>
        <v>0.63157894736842102</v>
      </c>
      <c r="X77" s="74">
        <f t="shared" si="49"/>
        <v>0.36842105263157898</v>
      </c>
      <c r="Y77" s="73">
        <f t="shared" si="55"/>
        <v>0.76159390724874199</v>
      </c>
      <c r="Z77" s="72">
        <f t="shared" si="56"/>
        <v>3.2949272405820751</v>
      </c>
      <c r="AA77" s="72">
        <f t="shared" si="57"/>
        <v>1.6150341915771318</v>
      </c>
      <c r="AB77" s="72">
        <v>0</v>
      </c>
      <c r="AC77" s="72">
        <f t="shared" si="58"/>
        <v>2.6083354399631997E-2</v>
      </c>
      <c r="AD77" s="74">
        <f t="shared" si="59"/>
        <v>2.6083354399631997E-2</v>
      </c>
      <c r="AE77" s="73">
        <f t="shared" si="60"/>
        <v>0.94315789473684197</v>
      </c>
      <c r="AF77" s="72">
        <f t="shared" si="61"/>
        <v>1.6150341915771318</v>
      </c>
      <c r="AG77" s="72">
        <f t="shared" si="50"/>
        <v>1.17375094798344E-2</v>
      </c>
      <c r="AH77" s="72">
        <f t="shared" si="51"/>
        <v>0.54628732145741377</v>
      </c>
      <c r="AI77" s="74">
        <f t="shared" si="62"/>
        <v>0.5580248309372482</v>
      </c>
      <c r="AJ77" s="73">
        <f t="shared" si="63"/>
        <v>0.93333333333333335</v>
      </c>
      <c r="AK77" s="72">
        <f t="shared" si="64"/>
        <v>1.7738366889953205</v>
      </c>
      <c r="AL77" s="72">
        <f t="shared" si="65"/>
        <v>0.65333333333333332</v>
      </c>
      <c r="AM77" s="72">
        <f t="shared" si="52"/>
        <v>0.42354999999999998</v>
      </c>
      <c r="AN77" s="74">
        <f t="shared" si="66"/>
        <v>1.0768833333333334</v>
      </c>
      <c r="AO77" s="73">
        <f t="shared" si="53"/>
        <v>3.1300025279558392E-2</v>
      </c>
      <c r="AP77" s="72">
        <f t="shared" si="54"/>
        <v>0.2467125</v>
      </c>
      <c r="AQ77" s="74">
        <f t="shared" si="67"/>
        <v>3.15E-3</v>
      </c>
      <c r="AR77" s="73">
        <f t="shared" si="68"/>
        <v>1.9160706895501398</v>
      </c>
      <c r="AS77" s="72">
        <f t="shared" si="69"/>
        <v>11.2</v>
      </c>
      <c r="AT77" s="74">
        <f t="shared" si="70"/>
        <v>85.391427547911007</v>
      </c>
    </row>
    <row r="78" spans="17:46" ht="14.65" x14ac:dyDescent="0.4">
      <c r="Q78">
        <v>71</v>
      </c>
      <c r="R78" s="73">
        <f t="shared" si="43"/>
        <v>12</v>
      </c>
      <c r="S78" s="72">
        <f t="shared" si="44"/>
        <v>0.94666666666666677</v>
      </c>
      <c r="T78" s="72">
        <f t="shared" si="45"/>
        <v>7</v>
      </c>
      <c r="U78" s="74">
        <f t="shared" si="46"/>
        <v>1.622857142857143</v>
      </c>
      <c r="V78" s="73">
        <f t="shared" si="47"/>
        <v>2</v>
      </c>
      <c r="W78" s="72">
        <f t="shared" si="48"/>
        <v>0.63157894736842102</v>
      </c>
      <c r="X78" s="74">
        <f t="shared" si="49"/>
        <v>0.36842105263157898</v>
      </c>
      <c r="Y78" s="73">
        <f t="shared" si="55"/>
        <v>0.76159390724874199</v>
      </c>
      <c r="Z78" s="72">
        <f t="shared" si="56"/>
        <v>3.3311177167725519</v>
      </c>
      <c r="AA78" s="72">
        <f t="shared" si="57"/>
        <v>1.6376815154619195</v>
      </c>
      <c r="AB78" s="72">
        <v>0</v>
      </c>
      <c r="AC78" s="72">
        <f t="shared" si="58"/>
        <v>2.6820007460856492E-2</v>
      </c>
      <c r="AD78" s="74">
        <f t="shared" si="59"/>
        <v>2.6820007460856492E-2</v>
      </c>
      <c r="AE78" s="73">
        <f t="shared" si="60"/>
        <v>0.97029774436090244</v>
      </c>
      <c r="AF78" s="72">
        <f t="shared" si="61"/>
        <v>1.6376815154619195</v>
      </c>
      <c r="AG78" s="72">
        <f t="shared" si="50"/>
        <v>1.2069003357385423E-2</v>
      </c>
      <c r="AH78" s="72">
        <f t="shared" si="51"/>
        <v>0.55409142604966255</v>
      </c>
      <c r="AI78" s="74">
        <f t="shared" si="62"/>
        <v>0.56616042940704803</v>
      </c>
      <c r="AJ78" s="73">
        <f t="shared" si="63"/>
        <v>0.94666666666666677</v>
      </c>
      <c r="AK78" s="72">
        <f t="shared" si="64"/>
        <v>1.7957419858916148</v>
      </c>
      <c r="AL78" s="72">
        <f t="shared" si="65"/>
        <v>0.66266666666666674</v>
      </c>
      <c r="AM78" s="72">
        <f t="shared" si="52"/>
        <v>0.42354999999999998</v>
      </c>
      <c r="AN78" s="74">
        <f t="shared" si="66"/>
        <v>1.0862166666666666</v>
      </c>
      <c r="AO78" s="73">
        <f t="shared" si="53"/>
        <v>3.2184008953027789E-2</v>
      </c>
      <c r="AP78" s="72">
        <f t="shared" si="54"/>
        <v>0.2467125</v>
      </c>
      <c r="AQ78" s="74">
        <f t="shared" si="67"/>
        <v>3.15E-3</v>
      </c>
      <c r="AR78" s="73">
        <f t="shared" si="68"/>
        <v>1.9344236050267425</v>
      </c>
      <c r="AS78" s="72">
        <f t="shared" si="69"/>
        <v>11.360000000000001</v>
      </c>
      <c r="AT78" s="74">
        <f t="shared" si="70"/>
        <v>85.449360856116257</v>
      </c>
    </row>
    <row r="79" spans="17:46" ht="14.65" x14ac:dyDescent="0.4">
      <c r="Q79">
        <v>72</v>
      </c>
      <c r="R79" s="73">
        <f t="shared" si="43"/>
        <v>12</v>
      </c>
      <c r="S79" s="72">
        <f t="shared" si="44"/>
        <v>0.96000000000000008</v>
      </c>
      <c r="T79" s="72">
        <f t="shared" si="45"/>
        <v>7</v>
      </c>
      <c r="U79" s="74">
        <f t="shared" si="46"/>
        <v>1.6457142857142859</v>
      </c>
      <c r="V79" s="73">
        <f t="shared" si="47"/>
        <v>2</v>
      </c>
      <c r="W79" s="72">
        <f t="shared" si="48"/>
        <v>0.63157894736842102</v>
      </c>
      <c r="X79" s="74">
        <f t="shared" si="49"/>
        <v>0.36842105263157898</v>
      </c>
      <c r="Y79" s="73">
        <f t="shared" si="55"/>
        <v>0.76159390724874199</v>
      </c>
      <c r="Z79" s="72">
        <f t="shared" si="56"/>
        <v>3.3673081929630277</v>
      </c>
      <c r="AA79" s="72">
        <f t="shared" si="57"/>
        <v>1.6603345898243771</v>
      </c>
      <c r="AB79" s="72">
        <v>0</v>
      </c>
      <c r="AC79" s="72">
        <f t="shared" si="58"/>
        <v>2.7567109501672828E-2</v>
      </c>
      <c r="AD79" s="74">
        <f t="shared" si="59"/>
        <v>2.7567109501672828E-2</v>
      </c>
      <c r="AE79" s="73">
        <f t="shared" si="60"/>
        <v>0.99782255639097761</v>
      </c>
      <c r="AF79" s="72">
        <f t="shared" si="61"/>
        <v>1.6603345898243771</v>
      </c>
      <c r="AG79" s="72">
        <f t="shared" si="50"/>
        <v>1.2405199275752773E-2</v>
      </c>
      <c r="AH79" s="72">
        <f t="shared" si="51"/>
        <v>0.56189553064191122</v>
      </c>
      <c r="AI79" s="74">
        <f t="shared" si="62"/>
        <v>0.57430072991766401</v>
      </c>
      <c r="AJ79" s="73">
        <f t="shared" si="63"/>
        <v>0.96000000000000008</v>
      </c>
      <c r="AK79" s="72">
        <f t="shared" si="64"/>
        <v>1.8176487669313668</v>
      </c>
      <c r="AL79" s="72">
        <f t="shared" si="65"/>
        <v>0.67200000000000004</v>
      </c>
      <c r="AM79" s="72">
        <f t="shared" si="52"/>
        <v>0.42354999999999998</v>
      </c>
      <c r="AN79" s="74">
        <f t="shared" si="66"/>
        <v>1.09555</v>
      </c>
      <c r="AO79" s="73">
        <f t="shared" si="53"/>
        <v>3.3080531402007389E-2</v>
      </c>
      <c r="AP79" s="72">
        <f t="shared" si="54"/>
        <v>0.2467125</v>
      </c>
      <c r="AQ79" s="74">
        <f t="shared" si="67"/>
        <v>3.15E-3</v>
      </c>
      <c r="AR79" s="73">
        <f t="shared" si="68"/>
        <v>1.9527937613196713</v>
      </c>
      <c r="AS79" s="72">
        <f t="shared" si="69"/>
        <v>11.520000000000001</v>
      </c>
      <c r="AT79" s="74">
        <f t="shared" si="70"/>
        <v>85.505650899770075</v>
      </c>
    </row>
    <row r="80" spans="17:46" ht="14.65" x14ac:dyDescent="0.4">
      <c r="Q80">
        <v>73</v>
      </c>
      <c r="R80" s="73">
        <f t="shared" si="43"/>
        <v>12</v>
      </c>
      <c r="S80" s="72">
        <f t="shared" si="44"/>
        <v>0.97333333333333338</v>
      </c>
      <c r="T80" s="72">
        <f t="shared" si="45"/>
        <v>7</v>
      </c>
      <c r="U80" s="74">
        <f t="shared" si="46"/>
        <v>1.6685714285714286</v>
      </c>
      <c r="V80" s="73">
        <f t="shared" si="47"/>
        <v>2</v>
      </c>
      <c r="W80" s="72">
        <f t="shared" si="48"/>
        <v>0.63157894736842102</v>
      </c>
      <c r="X80" s="74">
        <f t="shared" si="49"/>
        <v>0.36842105263157898</v>
      </c>
      <c r="Y80" s="73">
        <f t="shared" si="55"/>
        <v>0.76159390724874199</v>
      </c>
      <c r="Z80" s="72">
        <f t="shared" si="56"/>
        <v>3.4034986691535036</v>
      </c>
      <c r="AA80" s="72">
        <f t="shared" si="57"/>
        <v>1.6829931824603741</v>
      </c>
      <c r="AB80" s="72">
        <v>0</v>
      </c>
      <c r="AC80" s="72">
        <f t="shared" si="58"/>
        <v>2.8324660522080981E-2</v>
      </c>
      <c r="AD80" s="74">
        <f t="shared" si="59"/>
        <v>2.8324660522080981E-2</v>
      </c>
      <c r="AE80" s="73">
        <f t="shared" si="60"/>
        <v>1.0257323308270678</v>
      </c>
      <c r="AF80" s="72">
        <f t="shared" si="61"/>
        <v>1.6829931824603741</v>
      </c>
      <c r="AG80" s="72">
        <f t="shared" si="50"/>
        <v>1.2746097234936443E-2</v>
      </c>
      <c r="AH80" s="72">
        <f t="shared" si="51"/>
        <v>0.56969963523416001</v>
      </c>
      <c r="AI80" s="74">
        <f t="shared" si="62"/>
        <v>0.58244573246909648</v>
      </c>
      <c r="AJ80" s="73">
        <f t="shared" si="63"/>
        <v>0.97333333333333338</v>
      </c>
      <c r="AK80" s="72">
        <f t="shared" si="64"/>
        <v>1.8395569790918016</v>
      </c>
      <c r="AL80" s="72">
        <f t="shared" si="65"/>
        <v>0.68133333333333335</v>
      </c>
      <c r="AM80" s="72">
        <f t="shared" si="52"/>
        <v>0.42354999999999998</v>
      </c>
      <c r="AN80" s="74">
        <f t="shared" si="66"/>
        <v>1.1048833333333334</v>
      </c>
      <c r="AO80" s="73">
        <f t="shared" si="53"/>
        <v>3.398959262649718E-2</v>
      </c>
      <c r="AP80" s="72">
        <f t="shared" si="54"/>
        <v>0.2467125</v>
      </c>
      <c r="AQ80" s="74">
        <f t="shared" si="67"/>
        <v>3.15E-3</v>
      </c>
      <c r="AR80" s="73">
        <f t="shared" si="68"/>
        <v>1.9711811584289272</v>
      </c>
      <c r="AS80" s="72">
        <f t="shared" si="69"/>
        <v>11.68</v>
      </c>
      <c r="AT80" s="74">
        <f t="shared" si="70"/>
        <v>85.560361879661812</v>
      </c>
    </row>
    <row r="81" spans="17:46" ht="14.65" x14ac:dyDescent="0.4">
      <c r="Q81">
        <v>74</v>
      </c>
      <c r="R81" s="73">
        <f t="shared" si="43"/>
        <v>12</v>
      </c>
      <c r="S81" s="72">
        <f t="shared" si="44"/>
        <v>0.98666666666666669</v>
      </c>
      <c r="T81" s="72">
        <f t="shared" si="45"/>
        <v>7</v>
      </c>
      <c r="U81" s="74">
        <f t="shared" si="46"/>
        <v>1.6914285714285715</v>
      </c>
      <c r="V81" s="73">
        <f t="shared" si="47"/>
        <v>2</v>
      </c>
      <c r="W81" s="72">
        <f t="shared" si="48"/>
        <v>0.63157894736842102</v>
      </c>
      <c r="X81" s="74">
        <f t="shared" si="49"/>
        <v>0.36842105263157898</v>
      </c>
      <c r="Y81" s="73">
        <f t="shared" si="55"/>
        <v>0.76159390724874199</v>
      </c>
      <c r="Z81" s="72">
        <f t="shared" si="56"/>
        <v>3.43968914534398</v>
      </c>
      <c r="AA81" s="72">
        <f t="shared" si="57"/>
        <v>1.7056570734494372</v>
      </c>
      <c r="AB81" s="72">
        <v>0</v>
      </c>
      <c r="AC81" s="72">
        <f t="shared" si="58"/>
        <v>2.9092660522080989E-2</v>
      </c>
      <c r="AD81" s="74">
        <f t="shared" si="59"/>
        <v>2.9092660522080989E-2</v>
      </c>
      <c r="AE81" s="73">
        <f t="shared" si="60"/>
        <v>1.054027067669173</v>
      </c>
      <c r="AF81" s="72">
        <f t="shared" si="61"/>
        <v>1.7056570734494372</v>
      </c>
      <c r="AG81" s="72">
        <f t="shared" si="50"/>
        <v>1.3091697234936446E-2</v>
      </c>
      <c r="AH81" s="72">
        <f t="shared" si="51"/>
        <v>0.57750373982640879</v>
      </c>
      <c r="AI81" s="74">
        <f t="shared" si="62"/>
        <v>0.59059543706134521</v>
      </c>
      <c r="AJ81" s="73">
        <f t="shared" si="63"/>
        <v>0.98666666666666669</v>
      </c>
      <c r="AK81" s="72">
        <f t="shared" si="64"/>
        <v>1.8614665718429302</v>
      </c>
      <c r="AL81" s="72">
        <f t="shared" si="65"/>
        <v>0.69066666666666665</v>
      </c>
      <c r="AM81" s="72">
        <f t="shared" si="52"/>
        <v>0.42354999999999998</v>
      </c>
      <c r="AN81" s="74">
        <f t="shared" si="66"/>
        <v>1.1142166666666666</v>
      </c>
      <c r="AO81" s="73">
        <f t="shared" si="53"/>
        <v>3.4911192626497188E-2</v>
      </c>
      <c r="AP81" s="72">
        <f t="shared" si="54"/>
        <v>0.2467125</v>
      </c>
      <c r="AQ81" s="74">
        <f t="shared" si="67"/>
        <v>3.15E-3</v>
      </c>
      <c r="AR81" s="73">
        <f t="shared" si="68"/>
        <v>1.9895857963545092</v>
      </c>
      <c r="AS81" s="72">
        <f t="shared" si="69"/>
        <v>11.84</v>
      </c>
      <c r="AT81" s="74">
        <f t="shared" si="70"/>
        <v>85.613554696056298</v>
      </c>
    </row>
    <row r="82" spans="17:46" ht="14.65" x14ac:dyDescent="0.4">
      <c r="Q82">
        <v>75</v>
      </c>
      <c r="R82" s="73">
        <f t="shared" si="43"/>
        <v>12</v>
      </c>
      <c r="S82" s="72">
        <f t="shared" si="44"/>
        <v>1</v>
      </c>
      <c r="T82" s="72">
        <f t="shared" si="45"/>
        <v>7</v>
      </c>
      <c r="U82" s="74">
        <f t="shared" si="46"/>
        <v>1.7142857142857142</v>
      </c>
      <c r="V82" s="73">
        <f t="shared" si="47"/>
        <v>2</v>
      </c>
      <c r="W82" s="72">
        <f t="shared" si="48"/>
        <v>0.63157894736842102</v>
      </c>
      <c r="X82" s="74">
        <f t="shared" si="49"/>
        <v>0.36842105263157898</v>
      </c>
      <c r="Y82" s="73">
        <f t="shared" si="55"/>
        <v>0.76159390724874199</v>
      </c>
      <c r="Z82" s="72">
        <f t="shared" si="56"/>
        <v>3.4758796215344563</v>
      </c>
      <c r="AA82" s="72">
        <f t="shared" si="57"/>
        <v>1.7283260543564347</v>
      </c>
      <c r="AB82" s="72">
        <v>0</v>
      </c>
      <c r="AC82" s="72">
        <f t="shared" si="58"/>
        <v>2.9871109501672818E-2</v>
      </c>
      <c r="AD82" s="74">
        <f t="shared" si="59"/>
        <v>2.9871109501672818E-2</v>
      </c>
      <c r="AE82" s="73">
        <f t="shared" si="60"/>
        <v>1.0827067669172932</v>
      </c>
      <c r="AF82" s="72">
        <f t="shared" si="61"/>
        <v>1.7283260543564347</v>
      </c>
      <c r="AG82" s="72">
        <f t="shared" si="50"/>
        <v>1.3441999275752769E-2</v>
      </c>
      <c r="AH82" s="72">
        <f t="shared" si="51"/>
        <v>0.58530784441865757</v>
      </c>
      <c r="AI82" s="74">
        <f t="shared" si="62"/>
        <v>0.59874984369441031</v>
      </c>
      <c r="AJ82" s="73">
        <f t="shared" si="63"/>
        <v>1</v>
      </c>
      <c r="AK82" s="72">
        <f t="shared" si="64"/>
        <v>1.8833774970029422</v>
      </c>
      <c r="AL82" s="72">
        <f t="shared" si="65"/>
        <v>0.7</v>
      </c>
      <c r="AM82" s="72">
        <f t="shared" si="52"/>
        <v>0.42354999999999998</v>
      </c>
      <c r="AN82" s="74">
        <f t="shared" si="66"/>
        <v>1.1235499999999998</v>
      </c>
      <c r="AO82" s="73">
        <f t="shared" si="53"/>
        <v>3.584533140200738E-2</v>
      </c>
      <c r="AP82" s="72">
        <f t="shared" si="54"/>
        <v>0.2467125</v>
      </c>
      <c r="AQ82" s="74">
        <f t="shared" si="67"/>
        <v>3.15E-3</v>
      </c>
      <c r="AR82" s="73">
        <f t="shared" si="68"/>
        <v>2.0080076750964175</v>
      </c>
      <c r="AS82" s="72">
        <f t="shared" si="69"/>
        <v>12</v>
      </c>
      <c r="AT82" s="74">
        <f t="shared" si="70"/>
        <v>85.665287158099758</v>
      </c>
    </row>
    <row r="83" spans="17:46" ht="14.65" x14ac:dyDescent="0.4">
      <c r="Q83">
        <v>76</v>
      </c>
      <c r="R83" s="73">
        <f t="shared" si="43"/>
        <v>12</v>
      </c>
      <c r="S83" s="72">
        <f t="shared" si="44"/>
        <v>1.0133333333333334</v>
      </c>
      <c r="T83" s="72">
        <f t="shared" si="45"/>
        <v>7</v>
      </c>
      <c r="U83" s="74">
        <f t="shared" si="46"/>
        <v>1.7371428571428571</v>
      </c>
      <c r="V83" s="73">
        <f t="shared" si="47"/>
        <v>2</v>
      </c>
      <c r="W83" s="72">
        <f t="shared" si="48"/>
        <v>0.63157894736842102</v>
      </c>
      <c r="X83" s="74">
        <f t="shared" si="49"/>
        <v>0.36842105263157898</v>
      </c>
      <c r="Y83" s="73">
        <f t="shared" si="55"/>
        <v>0.76159390724874199</v>
      </c>
      <c r="Z83" s="72">
        <f t="shared" si="56"/>
        <v>3.5120700977249322</v>
      </c>
      <c r="AA83" s="72">
        <f t="shared" si="57"/>
        <v>1.7509999274944728</v>
      </c>
      <c r="AB83" s="72">
        <v>0</v>
      </c>
      <c r="AC83" s="72">
        <f t="shared" si="58"/>
        <v>3.0660007460856488E-2</v>
      </c>
      <c r="AD83" s="74">
        <f t="shared" si="59"/>
        <v>3.0660007460856488E-2</v>
      </c>
      <c r="AE83" s="73">
        <f t="shared" si="60"/>
        <v>1.1117714285714286</v>
      </c>
      <c r="AF83" s="72">
        <f t="shared" si="61"/>
        <v>1.7509999274944728</v>
      </c>
      <c r="AG83" s="72">
        <f t="shared" si="50"/>
        <v>1.379700335738542E-2</v>
      </c>
      <c r="AH83" s="72">
        <f t="shared" si="51"/>
        <v>0.59311194901090625</v>
      </c>
      <c r="AI83" s="74">
        <f t="shared" si="62"/>
        <v>0.60690895236829168</v>
      </c>
      <c r="AJ83" s="73">
        <f t="shared" si="63"/>
        <v>1.0133333333333334</v>
      </c>
      <c r="AK83" s="72">
        <f t="shared" si="64"/>
        <v>1.9052897086035347</v>
      </c>
      <c r="AL83" s="72">
        <f t="shared" si="65"/>
        <v>0.70933333333333337</v>
      </c>
      <c r="AM83" s="72">
        <f t="shared" si="52"/>
        <v>0.42354999999999998</v>
      </c>
      <c r="AN83" s="74">
        <f t="shared" si="66"/>
        <v>1.1328833333333335</v>
      </c>
      <c r="AO83" s="73">
        <f t="shared" si="53"/>
        <v>3.6792008953027783E-2</v>
      </c>
      <c r="AP83" s="72">
        <f t="shared" si="54"/>
        <v>0.2467125</v>
      </c>
      <c r="AQ83" s="74">
        <f t="shared" si="67"/>
        <v>3.15E-3</v>
      </c>
      <c r="AR83" s="73">
        <f t="shared" si="68"/>
        <v>2.0264467946546532</v>
      </c>
      <c r="AS83" s="72">
        <f t="shared" si="69"/>
        <v>12.16</v>
      </c>
      <c r="AT83" s="74">
        <f t="shared" si="70"/>
        <v>85.715614177482394</v>
      </c>
    </row>
    <row r="84" spans="17:46" ht="14.65" x14ac:dyDescent="0.4">
      <c r="Q84">
        <v>77</v>
      </c>
      <c r="R84" s="73">
        <f t="shared" si="43"/>
        <v>12</v>
      </c>
      <c r="S84" s="72">
        <f t="shared" si="44"/>
        <v>1.0266666666666668</v>
      </c>
      <c r="T84" s="72">
        <f t="shared" si="45"/>
        <v>7</v>
      </c>
      <c r="U84" s="74">
        <f t="shared" si="46"/>
        <v>1.7600000000000002</v>
      </c>
      <c r="V84" s="73">
        <f t="shared" si="47"/>
        <v>2</v>
      </c>
      <c r="W84" s="72">
        <f t="shared" si="48"/>
        <v>0.63157894736842102</v>
      </c>
      <c r="X84" s="74">
        <f t="shared" si="49"/>
        <v>0.36842105263157898</v>
      </c>
      <c r="Y84" s="73">
        <f t="shared" si="55"/>
        <v>0.76159390724874199</v>
      </c>
      <c r="Z84" s="72">
        <f t="shared" si="56"/>
        <v>3.5482605739154089</v>
      </c>
      <c r="AA84" s="72">
        <f t="shared" si="57"/>
        <v>1.7736785052436084</v>
      </c>
      <c r="AB84" s="72">
        <v>0</v>
      </c>
      <c r="AC84" s="72">
        <f t="shared" si="58"/>
        <v>3.145935439963201E-2</v>
      </c>
      <c r="AD84" s="74">
        <f t="shared" si="59"/>
        <v>3.145935439963201E-2</v>
      </c>
      <c r="AE84" s="73">
        <f t="shared" si="60"/>
        <v>1.1412210526315794</v>
      </c>
      <c r="AF84" s="72">
        <f t="shared" si="61"/>
        <v>1.7736785052436084</v>
      </c>
      <c r="AG84" s="72">
        <f t="shared" si="50"/>
        <v>1.4156709479834405E-2</v>
      </c>
      <c r="AH84" s="72">
        <f t="shared" si="51"/>
        <v>0.60091605360315514</v>
      </c>
      <c r="AI84" s="74">
        <f t="shared" si="62"/>
        <v>0.61507276308298953</v>
      </c>
      <c r="AJ84" s="73">
        <f t="shared" si="63"/>
        <v>1.0266666666666668</v>
      </c>
      <c r="AK84" s="72">
        <f t="shared" si="64"/>
        <v>1.9272031627643977</v>
      </c>
      <c r="AL84" s="72">
        <f t="shared" si="65"/>
        <v>0.71866666666666679</v>
      </c>
      <c r="AM84" s="72">
        <f t="shared" si="52"/>
        <v>0.42354999999999998</v>
      </c>
      <c r="AN84" s="74">
        <f t="shared" si="66"/>
        <v>1.1422166666666667</v>
      </c>
      <c r="AO84" s="73">
        <f t="shared" si="53"/>
        <v>3.7751225279558411E-2</v>
      </c>
      <c r="AP84" s="72">
        <f t="shared" si="54"/>
        <v>0.2467125</v>
      </c>
      <c r="AQ84" s="74">
        <f t="shared" si="67"/>
        <v>3.15E-3</v>
      </c>
      <c r="AR84" s="73">
        <f t="shared" si="68"/>
        <v>2.0449031550292149</v>
      </c>
      <c r="AS84" s="72">
        <f t="shared" si="69"/>
        <v>12.320000000000002</v>
      </c>
      <c r="AT84" s="74">
        <f t="shared" si="70"/>
        <v>85.764587947721139</v>
      </c>
    </row>
    <row r="85" spans="17:46" ht="14.65" x14ac:dyDescent="0.4">
      <c r="Q85">
        <v>78</v>
      </c>
      <c r="R85" s="73">
        <f t="shared" si="43"/>
        <v>12</v>
      </c>
      <c r="S85" s="72">
        <f t="shared" si="44"/>
        <v>1.04</v>
      </c>
      <c r="T85" s="72">
        <f t="shared" si="45"/>
        <v>7</v>
      </c>
      <c r="U85" s="74">
        <f t="shared" si="46"/>
        <v>1.7828571428571429</v>
      </c>
      <c r="V85" s="73">
        <f t="shared" si="47"/>
        <v>2</v>
      </c>
      <c r="W85" s="72">
        <f t="shared" si="48"/>
        <v>0.63157894736842102</v>
      </c>
      <c r="X85" s="74">
        <f t="shared" si="49"/>
        <v>0.36842105263157898</v>
      </c>
      <c r="Y85" s="73">
        <f t="shared" si="55"/>
        <v>0.76159390724874199</v>
      </c>
      <c r="Z85" s="72">
        <f t="shared" si="56"/>
        <v>3.5844510501058848</v>
      </c>
      <c r="AA85" s="72">
        <f t="shared" si="57"/>
        <v>1.796361609420535</v>
      </c>
      <c r="AB85" s="72">
        <v>0</v>
      </c>
      <c r="AC85" s="72">
        <f t="shared" si="58"/>
        <v>3.2269150317999346E-2</v>
      </c>
      <c r="AD85" s="74">
        <f t="shared" si="59"/>
        <v>3.2269150317999346E-2</v>
      </c>
      <c r="AE85" s="73">
        <f t="shared" si="60"/>
        <v>1.1710556390977445</v>
      </c>
      <c r="AF85" s="72">
        <f t="shared" si="61"/>
        <v>1.796361609420535</v>
      </c>
      <c r="AG85" s="72">
        <f t="shared" si="50"/>
        <v>1.4521117643099707E-2</v>
      </c>
      <c r="AH85" s="72">
        <f t="shared" si="51"/>
        <v>0.60872015819540393</v>
      </c>
      <c r="AI85" s="74">
        <f t="shared" si="62"/>
        <v>0.62324127583850364</v>
      </c>
      <c r="AJ85" s="73">
        <f t="shared" si="63"/>
        <v>1.04</v>
      </c>
      <c r="AK85" s="72">
        <f t="shared" si="64"/>
        <v>1.9491178175761288</v>
      </c>
      <c r="AL85" s="72">
        <f t="shared" si="65"/>
        <v>0.72799999999999998</v>
      </c>
      <c r="AM85" s="72">
        <f t="shared" si="52"/>
        <v>0.42354999999999998</v>
      </c>
      <c r="AN85" s="74">
        <f t="shared" si="66"/>
        <v>1.1515499999999999</v>
      </c>
      <c r="AO85" s="73">
        <f t="shared" si="53"/>
        <v>3.8722980381599215E-2</v>
      </c>
      <c r="AP85" s="72">
        <f t="shared" si="54"/>
        <v>0.2467125</v>
      </c>
      <c r="AQ85" s="74">
        <f t="shared" si="67"/>
        <v>3.15E-3</v>
      </c>
      <c r="AR85" s="73">
        <f t="shared" si="68"/>
        <v>2.0633767562201029</v>
      </c>
      <c r="AS85" s="72">
        <f t="shared" si="69"/>
        <v>12.48</v>
      </c>
      <c r="AT85" s="74">
        <f t="shared" si="70"/>
        <v>85.812258110293328</v>
      </c>
    </row>
    <row r="86" spans="17:46" ht="14.65" x14ac:dyDescent="0.4">
      <c r="Q86">
        <v>79</v>
      </c>
      <c r="R86" s="73">
        <f t="shared" si="43"/>
        <v>12</v>
      </c>
      <c r="S86" s="72">
        <f t="shared" si="44"/>
        <v>1.0533333333333335</v>
      </c>
      <c r="T86" s="72">
        <f t="shared" si="45"/>
        <v>7</v>
      </c>
      <c r="U86" s="74">
        <f t="shared" si="46"/>
        <v>1.8057142857142858</v>
      </c>
      <c r="V86" s="73">
        <f t="shared" si="47"/>
        <v>2</v>
      </c>
      <c r="W86" s="72">
        <f t="shared" si="48"/>
        <v>0.63157894736842102</v>
      </c>
      <c r="X86" s="74">
        <f t="shared" si="49"/>
        <v>0.36842105263157898</v>
      </c>
      <c r="Y86" s="73">
        <f t="shared" si="55"/>
        <v>0.76159390724874199</v>
      </c>
      <c r="Z86" s="72">
        <f t="shared" si="56"/>
        <v>3.6206415262963612</v>
      </c>
      <c r="AA86" s="72">
        <f t="shared" si="57"/>
        <v>1.8190490706948654</v>
      </c>
      <c r="AB86" s="72">
        <v>0</v>
      </c>
      <c r="AC86" s="72">
        <f t="shared" si="58"/>
        <v>3.3089395215958536E-2</v>
      </c>
      <c r="AD86" s="74">
        <f t="shared" si="59"/>
        <v>3.3089395215958536E-2</v>
      </c>
      <c r="AE86" s="73">
        <f t="shared" si="60"/>
        <v>1.2012751879699251</v>
      </c>
      <c r="AF86" s="72">
        <f t="shared" si="61"/>
        <v>1.8190490706948654</v>
      </c>
      <c r="AG86" s="72">
        <f t="shared" si="50"/>
        <v>1.4890227847181343E-2</v>
      </c>
      <c r="AH86" s="72">
        <f t="shared" si="51"/>
        <v>0.61652426278765271</v>
      </c>
      <c r="AI86" s="74">
        <f t="shared" si="62"/>
        <v>0.63141449063483401</v>
      </c>
      <c r="AJ86" s="73">
        <f t="shared" si="63"/>
        <v>1.0533333333333335</v>
      </c>
      <c r="AK86" s="72">
        <f t="shared" si="64"/>
        <v>1.9710336329909353</v>
      </c>
      <c r="AL86" s="72">
        <f t="shared" si="65"/>
        <v>0.7373333333333334</v>
      </c>
      <c r="AM86" s="72">
        <f t="shared" si="52"/>
        <v>0.42354999999999998</v>
      </c>
      <c r="AN86" s="74">
        <f t="shared" si="66"/>
        <v>1.1608833333333335</v>
      </c>
      <c r="AO86" s="73">
        <f t="shared" si="53"/>
        <v>3.9707274259150244E-2</v>
      </c>
      <c r="AP86" s="72">
        <f t="shared" si="54"/>
        <v>0.2467125</v>
      </c>
      <c r="AQ86" s="74">
        <f t="shared" si="67"/>
        <v>3.15E-3</v>
      </c>
      <c r="AR86" s="73">
        <f t="shared" si="68"/>
        <v>2.0818675982273178</v>
      </c>
      <c r="AS86" s="72">
        <f t="shared" si="69"/>
        <v>12.64</v>
      </c>
      <c r="AT86" s="74">
        <f t="shared" si="70"/>
        <v>85.858671908732575</v>
      </c>
    </row>
    <row r="87" spans="17:46" ht="14.65" x14ac:dyDescent="0.4">
      <c r="Q87">
        <v>80</v>
      </c>
      <c r="R87" s="73">
        <f t="shared" si="43"/>
        <v>12</v>
      </c>
      <c r="S87" s="72">
        <f t="shared" si="44"/>
        <v>1.0666666666666667</v>
      </c>
      <c r="T87" s="72">
        <f t="shared" si="45"/>
        <v>7</v>
      </c>
      <c r="U87" s="74">
        <f t="shared" si="46"/>
        <v>1.8285714285714287</v>
      </c>
      <c r="V87" s="73">
        <f t="shared" si="47"/>
        <v>2</v>
      </c>
      <c r="W87" s="72">
        <f t="shared" si="48"/>
        <v>0.63157894736842102</v>
      </c>
      <c r="X87" s="74">
        <f t="shared" si="49"/>
        <v>0.36842105263157898</v>
      </c>
      <c r="Y87" s="73">
        <f t="shared" si="55"/>
        <v>0.76159390724874199</v>
      </c>
      <c r="Z87" s="72">
        <f t="shared" si="56"/>
        <v>3.6568320024868375</v>
      </c>
      <c r="AA87" s="72">
        <f t="shared" si="57"/>
        <v>1.8417407280480487</v>
      </c>
      <c r="AB87" s="72">
        <v>0</v>
      </c>
      <c r="AC87" s="72">
        <f t="shared" si="58"/>
        <v>3.3920089093509569E-2</v>
      </c>
      <c r="AD87" s="74">
        <f t="shared" si="59"/>
        <v>3.3920089093509569E-2</v>
      </c>
      <c r="AE87" s="73">
        <f t="shared" si="60"/>
        <v>1.2318796992481205</v>
      </c>
      <c r="AF87" s="72">
        <f t="shared" si="61"/>
        <v>1.8417407280480487</v>
      </c>
      <c r="AG87" s="72">
        <f t="shared" si="50"/>
        <v>1.5264040092079306E-2</v>
      </c>
      <c r="AH87" s="72">
        <f t="shared" si="51"/>
        <v>0.62432836737990138</v>
      </c>
      <c r="AI87" s="74">
        <f t="shared" si="62"/>
        <v>0.63959240747198065</v>
      </c>
      <c r="AJ87" s="73">
        <f t="shared" si="63"/>
        <v>1.0666666666666667</v>
      </c>
      <c r="AK87" s="72">
        <f t="shared" si="64"/>
        <v>1.992950570720518</v>
      </c>
      <c r="AL87" s="72">
        <f t="shared" si="65"/>
        <v>0.74666666666666659</v>
      </c>
      <c r="AM87" s="72">
        <f t="shared" si="52"/>
        <v>0.42354999999999998</v>
      </c>
      <c r="AN87" s="74">
        <f t="shared" si="66"/>
        <v>1.1702166666666667</v>
      </c>
      <c r="AO87" s="73">
        <f t="shared" si="53"/>
        <v>4.0704106912211477E-2</v>
      </c>
      <c r="AP87" s="72">
        <f t="shared" si="54"/>
        <v>0.2467125</v>
      </c>
      <c r="AQ87" s="74">
        <f t="shared" si="67"/>
        <v>3.15E-3</v>
      </c>
      <c r="AR87" s="73">
        <f t="shared" si="68"/>
        <v>2.1003756810508589</v>
      </c>
      <c r="AS87" s="72">
        <f t="shared" si="69"/>
        <v>12.8</v>
      </c>
      <c r="AT87" s="74">
        <f t="shared" si="70"/>
        <v>85.903874331692492</v>
      </c>
    </row>
    <row r="88" spans="17:46" ht="14.65" x14ac:dyDescent="0.4">
      <c r="Q88">
        <v>81</v>
      </c>
      <c r="R88" s="73">
        <f t="shared" si="43"/>
        <v>12</v>
      </c>
      <c r="S88" s="72">
        <f t="shared" si="44"/>
        <v>1.08</v>
      </c>
      <c r="T88" s="72">
        <f t="shared" si="45"/>
        <v>7</v>
      </c>
      <c r="U88" s="74">
        <f t="shared" si="46"/>
        <v>1.8514285714285716</v>
      </c>
      <c r="V88" s="73">
        <f t="shared" si="47"/>
        <v>2</v>
      </c>
      <c r="W88" s="72">
        <f t="shared" si="48"/>
        <v>0.63157894736842102</v>
      </c>
      <c r="X88" s="74">
        <f t="shared" si="49"/>
        <v>0.36842105263157898</v>
      </c>
      <c r="Y88" s="73">
        <f t="shared" si="55"/>
        <v>0.76159390724874199</v>
      </c>
      <c r="Z88" s="72">
        <f t="shared" si="56"/>
        <v>3.6930224786773134</v>
      </c>
      <c r="AA88" s="72">
        <f t="shared" si="57"/>
        <v>1.8644364282713535</v>
      </c>
      <c r="AB88" s="72">
        <v>0</v>
      </c>
      <c r="AC88" s="72">
        <f t="shared" si="58"/>
        <v>3.4761231950652415E-2</v>
      </c>
      <c r="AD88" s="74">
        <f t="shared" si="59"/>
        <v>3.4761231950652415E-2</v>
      </c>
      <c r="AE88" s="73">
        <f t="shared" si="60"/>
        <v>1.2628691729323309</v>
      </c>
      <c r="AF88" s="72">
        <f t="shared" si="61"/>
        <v>1.8644364282713535</v>
      </c>
      <c r="AG88" s="72">
        <f t="shared" si="50"/>
        <v>1.5642554377793588E-2</v>
      </c>
      <c r="AH88" s="72">
        <f t="shared" si="51"/>
        <v>0.63213247197215017</v>
      </c>
      <c r="AI88" s="74">
        <f t="shared" si="62"/>
        <v>0.64777502634994377</v>
      </c>
      <c r="AJ88" s="73">
        <f t="shared" si="63"/>
        <v>1.08</v>
      </c>
      <c r="AK88" s="72">
        <f t="shared" si="64"/>
        <v>2.0148685941405979</v>
      </c>
      <c r="AL88" s="72">
        <f t="shared" si="65"/>
        <v>0.75600000000000001</v>
      </c>
      <c r="AM88" s="72">
        <f t="shared" si="52"/>
        <v>0.42354999999999998</v>
      </c>
      <c r="AN88" s="74">
        <f t="shared" si="66"/>
        <v>1.1795499999999999</v>
      </c>
      <c r="AO88" s="73">
        <f t="shared" si="53"/>
        <v>4.17134783407829E-2</v>
      </c>
      <c r="AP88" s="72">
        <f t="shared" si="54"/>
        <v>0.2467125</v>
      </c>
      <c r="AQ88" s="74">
        <f t="shared" si="67"/>
        <v>3.15E-3</v>
      </c>
      <c r="AR88" s="73">
        <f t="shared" si="68"/>
        <v>2.1189010046907266</v>
      </c>
      <c r="AS88" s="72">
        <f t="shared" si="69"/>
        <v>12.96</v>
      </c>
      <c r="AT88" s="74">
        <f t="shared" si="70"/>
        <v>85.947908245888854</v>
      </c>
    </row>
    <row r="89" spans="17:46" ht="14.65" x14ac:dyDescent="0.4">
      <c r="Q89">
        <v>82</v>
      </c>
      <c r="R89" s="73">
        <f t="shared" si="43"/>
        <v>12</v>
      </c>
      <c r="S89" s="72">
        <f t="shared" si="44"/>
        <v>1.0933333333333335</v>
      </c>
      <c r="T89" s="72">
        <f t="shared" si="45"/>
        <v>7</v>
      </c>
      <c r="U89" s="74">
        <f t="shared" si="46"/>
        <v>1.8742857142857143</v>
      </c>
      <c r="V89" s="73">
        <f t="shared" si="47"/>
        <v>2</v>
      </c>
      <c r="W89" s="72">
        <f t="shared" si="48"/>
        <v>0.63157894736842102</v>
      </c>
      <c r="X89" s="74">
        <f t="shared" si="49"/>
        <v>0.36842105263157898</v>
      </c>
      <c r="Y89" s="73">
        <f t="shared" si="55"/>
        <v>0.76159390724874199</v>
      </c>
      <c r="Z89" s="72">
        <f t="shared" si="56"/>
        <v>3.7292129548677897</v>
      </c>
      <c r="AA89" s="72">
        <f t="shared" si="57"/>
        <v>1.8871360254996752</v>
      </c>
      <c r="AB89" s="72">
        <v>0</v>
      </c>
      <c r="AC89" s="72">
        <f t="shared" si="58"/>
        <v>3.5612823787387109E-2</v>
      </c>
      <c r="AD89" s="74">
        <f t="shared" si="59"/>
        <v>3.5612823787387109E-2</v>
      </c>
      <c r="AE89" s="73">
        <f t="shared" si="60"/>
        <v>1.2942436090225566</v>
      </c>
      <c r="AF89" s="72">
        <f t="shared" si="61"/>
        <v>1.8871360254996752</v>
      </c>
      <c r="AG89" s="72">
        <f t="shared" si="50"/>
        <v>1.6025770704324201E-2</v>
      </c>
      <c r="AH89" s="72">
        <f t="shared" si="51"/>
        <v>0.63993657656439895</v>
      </c>
      <c r="AI89" s="74">
        <f t="shared" si="62"/>
        <v>0.65596234726872316</v>
      </c>
      <c r="AJ89" s="73">
        <f t="shared" si="63"/>
        <v>1.0933333333333335</v>
      </c>
      <c r="AK89" s="72">
        <f t="shared" si="64"/>
        <v>2.0367876682015877</v>
      </c>
      <c r="AL89" s="72">
        <f t="shared" si="65"/>
        <v>0.76533333333333342</v>
      </c>
      <c r="AM89" s="72">
        <f t="shared" si="52"/>
        <v>0.42354999999999998</v>
      </c>
      <c r="AN89" s="74">
        <f t="shared" si="66"/>
        <v>1.1888833333333335</v>
      </c>
      <c r="AO89" s="73">
        <f t="shared" si="53"/>
        <v>4.2735388544864535E-2</v>
      </c>
      <c r="AP89" s="72">
        <f t="shared" si="54"/>
        <v>0.2467125</v>
      </c>
      <c r="AQ89" s="74">
        <f t="shared" si="67"/>
        <v>3.15E-3</v>
      </c>
      <c r="AR89" s="73">
        <f t="shared" si="68"/>
        <v>2.1374435691469214</v>
      </c>
      <c r="AS89" s="72">
        <f t="shared" si="69"/>
        <v>13.120000000000001</v>
      </c>
      <c r="AT89" s="74">
        <f t="shared" si="70"/>
        <v>85.990814519745712</v>
      </c>
    </row>
    <row r="90" spans="17:46" ht="14.65" x14ac:dyDescent="0.4">
      <c r="Q90">
        <v>83</v>
      </c>
      <c r="R90" s="73">
        <f t="shared" si="43"/>
        <v>12</v>
      </c>
      <c r="S90" s="72">
        <f t="shared" si="44"/>
        <v>1.1066666666666667</v>
      </c>
      <c r="T90" s="72">
        <f t="shared" si="45"/>
        <v>7</v>
      </c>
      <c r="U90" s="74">
        <f t="shared" si="46"/>
        <v>1.8971428571428572</v>
      </c>
      <c r="V90" s="73">
        <f t="shared" si="47"/>
        <v>2</v>
      </c>
      <c r="W90" s="72">
        <f t="shared" si="48"/>
        <v>0.63157894736842102</v>
      </c>
      <c r="X90" s="74">
        <f t="shared" si="49"/>
        <v>0.36842105263157898</v>
      </c>
      <c r="Y90" s="73">
        <f t="shared" si="55"/>
        <v>0.76159390724874199</v>
      </c>
      <c r="Z90" s="72">
        <f t="shared" si="56"/>
        <v>3.765403431058266</v>
      </c>
      <c r="AA90" s="72">
        <f t="shared" si="57"/>
        <v>1.9098393807782277</v>
      </c>
      <c r="AB90" s="72">
        <v>0</v>
      </c>
      <c r="AC90" s="72">
        <f t="shared" si="58"/>
        <v>3.6474864603713637E-2</v>
      </c>
      <c r="AD90" s="74">
        <f t="shared" si="59"/>
        <v>3.6474864603713637E-2</v>
      </c>
      <c r="AE90" s="73">
        <f t="shared" si="60"/>
        <v>1.326003007518797</v>
      </c>
      <c r="AF90" s="72">
        <f t="shared" si="61"/>
        <v>1.9098393807782277</v>
      </c>
      <c r="AG90" s="72">
        <f t="shared" si="50"/>
        <v>1.641368907167114E-2</v>
      </c>
      <c r="AH90" s="72">
        <f t="shared" si="51"/>
        <v>0.64774068115664774</v>
      </c>
      <c r="AI90" s="74">
        <f t="shared" si="62"/>
        <v>0.66415437022831891</v>
      </c>
      <c r="AJ90" s="73">
        <f t="shared" si="63"/>
        <v>1.1066666666666667</v>
      </c>
      <c r="AK90" s="72">
        <f t="shared" si="64"/>
        <v>2.0587077593449474</v>
      </c>
      <c r="AL90" s="72">
        <f t="shared" si="65"/>
        <v>0.77466666666666661</v>
      </c>
      <c r="AM90" s="72">
        <f t="shared" si="52"/>
        <v>0.42354999999999998</v>
      </c>
      <c r="AN90" s="74">
        <f t="shared" si="66"/>
        <v>1.1982166666666667</v>
      </c>
      <c r="AO90" s="73">
        <f t="shared" si="53"/>
        <v>4.3769837524456366E-2</v>
      </c>
      <c r="AP90" s="72">
        <f t="shared" si="54"/>
        <v>0.2467125</v>
      </c>
      <c r="AQ90" s="74">
        <f t="shared" si="67"/>
        <v>3.15E-3</v>
      </c>
      <c r="AR90" s="73">
        <f t="shared" si="68"/>
        <v>2.1560033744194422</v>
      </c>
      <c r="AS90" s="72">
        <f t="shared" si="69"/>
        <v>13.280000000000001</v>
      </c>
      <c r="AT90" s="74">
        <f t="shared" si="70"/>
        <v>86.032632138495302</v>
      </c>
    </row>
    <row r="91" spans="17:46" ht="14.65" x14ac:dyDescent="0.4">
      <c r="Q91">
        <v>84</v>
      </c>
      <c r="R91" s="73">
        <f t="shared" si="43"/>
        <v>12</v>
      </c>
      <c r="S91" s="72">
        <f t="shared" si="44"/>
        <v>1.1200000000000001</v>
      </c>
      <c r="T91" s="72">
        <f t="shared" si="45"/>
        <v>7</v>
      </c>
      <c r="U91" s="74">
        <f t="shared" si="46"/>
        <v>1.9200000000000002</v>
      </c>
      <c r="V91" s="73">
        <f t="shared" si="47"/>
        <v>2</v>
      </c>
      <c r="W91" s="72">
        <f t="shared" si="48"/>
        <v>0.63157894736842102</v>
      </c>
      <c r="X91" s="74">
        <f t="shared" si="49"/>
        <v>0.36842105263157898</v>
      </c>
      <c r="Y91" s="73">
        <f t="shared" si="55"/>
        <v>0.76159390724874199</v>
      </c>
      <c r="Z91" s="72">
        <f t="shared" si="56"/>
        <v>3.8015939072487419</v>
      </c>
      <c r="AA91" s="72">
        <f t="shared" si="57"/>
        <v>1.932546361659456</v>
      </c>
      <c r="AB91" s="72">
        <v>0</v>
      </c>
      <c r="AC91" s="72">
        <f t="shared" si="58"/>
        <v>3.7347354399632014E-2</v>
      </c>
      <c r="AD91" s="74">
        <f t="shared" si="59"/>
        <v>3.7347354399632014E-2</v>
      </c>
      <c r="AE91" s="73">
        <f t="shared" si="60"/>
        <v>1.3581473684210528</v>
      </c>
      <c r="AF91" s="72">
        <f t="shared" si="61"/>
        <v>1.932546361659456</v>
      </c>
      <c r="AG91" s="72">
        <f t="shared" si="50"/>
        <v>1.6806309479834407E-2</v>
      </c>
      <c r="AH91" s="72">
        <f t="shared" si="51"/>
        <v>0.65554478574889641</v>
      </c>
      <c r="AI91" s="74">
        <f t="shared" si="62"/>
        <v>0.67235109522873082</v>
      </c>
      <c r="AJ91" s="73">
        <f t="shared" si="63"/>
        <v>1.1200000000000001</v>
      </c>
      <c r="AK91" s="72">
        <f t="shared" si="64"/>
        <v>2.0806288354248101</v>
      </c>
      <c r="AL91" s="72">
        <f t="shared" si="65"/>
        <v>0.78400000000000003</v>
      </c>
      <c r="AM91" s="72">
        <f t="shared" si="52"/>
        <v>0.42354999999999998</v>
      </c>
      <c r="AN91" s="74">
        <f t="shared" si="66"/>
        <v>1.2075499999999999</v>
      </c>
      <c r="AO91" s="73">
        <f t="shared" si="53"/>
        <v>4.4816825279558416E-2</v>
      </c>
      <c r="AP91" s="72">
        <f t="shared" si="54"/>
        <v>0.2467125</v>
      </c>
      <c r="AQ91" s="74">
        <f t="shared" si="67"/>
        <v>3.15E-3</v>
      </c>
      <c r="AR91" s="73">
        <f t="shared" si="68"/>
        <v>2.1745804205082893</v>
      </c>
      <c r="AS91" s="72">
        <f t="shared" si="69"/>
        <v>13.440000000000001</v>
      </c>
      <c r="AT91" s="74">
        <f t="shared" si="70"/>
        <v>86.073398311412959</v>
      </c>
    </row>
    <row r="92" spans="17:46" ht="14.65" x14ac:dyDescent="0.4">
      <c r="Q92">
        <v>85</v>
      </c>
      <c r="R92" s="73">
        <f t="shared" si="43"/>
        <v>12</v>
      </c>
      <c r="S92" s="72">
        <f t="shared" si="44"/>
        <v>1.1333333333333333</v>
      </c>
      <c r="T92" s="72">
        <f t="shared" si="45"/>
        <v>7</v>
      </c>
      <c r="U92" s="74">
        <f t="shared" si="46"/>
        <v>1.9428571428571428</v>
      </c>
      <c r="V92" s="73">
        <f t="shared" si="47"/>
        <v>2</v>
      </c>
      <c r="W92" s="72">
        <f t="shared" si="48"/>
        <v>0.63157894736842102</v>
      </c>
      <c r="X92" s="74">
        <f t="shared" si="49"/>
        <v>0.36842105263157898</v>
      </c>
      <c r="Y92" s="73">
        <f t="shared" si="55"/>
        <v>0.76159390724874199</v>
      </c>
      <c r="Z92" s="72">
        <f t="shared" si="56"/>
        <v>3.8377843834392178</v>
      </c>
      <c r="AA92" s="72">
        <f t="shared" si="57"/>
        <v>1.9552568418277485</v>
      </c>
      <c r="AB92" s="72">
        <v>0</v>
      </c>
      <c r="AC92" s="72">
        <f t="shared" si="58"/>
        <v>3.8230293175142212E-2</v>
      </c>
      <c r="AD92" s="74">
        <f t="shared" si="59"/>
        <v>3.8230293175142212E-2</v>
      </c>
      <c r="AE92" s="73">
        <f t="shared" si="60"/>
        <v>1.3906766917293232</v>
      </c>
      <c r="AF92" s="72">
        <f t="shared" si="61"/>
        <v>1.9552568418277485</v>
      </c>
      <c r="AG92" s="72">
        <f t="shared" si="50"/>
        <v>1.7203631928813998E-2</v>
      </c>
      <c r="AH92" s="72">
        <f t="shared" si="51"/>
        <v>0.66334889034114519</v>
      </c>
      <c r="AI92" s="74">
        <f t="shared" si="62"/>
        <v>0.68055252226995921</v>
      </c>
      <c r="AJ92" s="73">
        <f t="shared" si="63"/>
        <v>1.1333333333333333</v>
      </c>
      <c r="AK92" s="72">
        <f t="shared" si="64"/>
        <v>2.1025508656345013</v>
      </c>
      <c r="AL92" s="72">
        <f t="shared" si="65"/>
        <v>0.79333333333333322</v>
      </c>
      <c r="AM92" s="72">
        <f t="shared" si="52"/>
        <v>0.42354999999999998</v>
      </c>
      <c r="AN92" s="74">
        <f t="shared" si="66"/>
        <v>1.2168833333333331</v>
      </c>
      <c r="AO92" s="73">
        <f t="shared" si="53"/>
        <v>4.5876351810170655E-2</v>
      </c>
      <c r="AP92" s="72">
        <f t="shared" si="54"/>
        <v>0.2467125</v>
      </c>
      <c r="AQ92" s="74">
        <f t="shared" si="67"/>
        <v>3.15E-3</v>
      </c>
      <c r="AR92" s="73">
        <f t="shared" si="68"/>
        <v>2.1931747074134633</v>
      </c>
      <c r="AS92" s="72">
        <f t="shared" si="69"/>
        <v>13.6</v>
      </c>
      <c r="AT92" s="74">
        <f t="shared" si="70"/>
        <v>86.113148571806988</v>
      </c>
    </row>
    <row r="93" spans="17:46" ht="14.65" x14ac:dyDescent="0.4">
      <c r="Q93">
        <v>86</v>
      </c>
      <c r="R93" s="73">
        <f t="shared" si="43"/>
        <v>12</v>
      </c>
      <c r="S93" s="72">
        <f t="shared" si="44"/>
        <v>1.1466666666666667</v>
      </c>
      <c r="T93" s="72">
        <f t="shared" si="45"/>
        <v>7</v>
      </c>
      <c r="U93" s="74">
        <f t="shared" si="46"/>
        <v>1.965714285714286</v>
      </c>
      <c r="V93" s="73">
        <f t="shared" si="47"/>
        <v>2</v>
      </c>
      <c r="W93" s="72">
        <f t="shared" si="48"/>
        <v>0.63157894736842102</v>
      </c>
      <c r="X93" s="74">
        <f t="shared" si="49"/>
        <v>0.36842105263157898</v>
      </c>
      <c r="Y93" s="73">
        <f t="shared" si="55"/>
        <v>0.76159390724874199</v>
      </c>
      <c r="Z93" s="72">
        <f t="shared" si="56"/>
        <v>3.8739748596296946</v>
      </c>
      <c r="AA93" s="72">
        <f t="shared" si="57"/>
        <v>1.977970700749742</v>
      </c>
      <c r="AB93" s="72">
        <v>0</v>
      </c>
      <c r="AC93" s="72">
        <f t="shared" si="58"/>
        <v>3.9123680930244258E-2</v>
      </c>
      <c r="AD93" s="74">
        <f t="shared" si="59"/>
        <v>3.9123680930244258E-2</v>
      </c>
      <c r="AE93" s="73">
        <f t="shared" si="60"/>
        <v>1.4235909774436091</v>
      </c>
      <c r="AF93" s="72">
        <f t="shared" si="61"/>
        <v>1.977970700749742</v>
      </c>
      <c r="AG93" s="72">
        <f t="shared" si="50"/>
        <v>1.7605656418609915E-2</v>
      </c>
      <c r="AH93" s="72">
        <f t="shared" si="51"/>
        <v>0.67115299493339398</v>
      </c>
      <c r="AI93" s="74">
        <f t="shared" si="62"/>
        <v>0.68875865135200387</v>
      </c>
      <c r="AJ93" s="73">
        <f t="shared" si="63"/>
        <v>1.1466666666666667</v>
      </c>
      <c r="AK93" s="72">
        <f t="shared" si="64"/>
        <v>2.1244738204375833</v>
      </c>
      <c r="AL93" s="72">
        <f t="shared" si="65"/>
        <v>0.80266666666666664</v>
      </c>
      <c r="AM93" s="72">
        <f t="shared" si="52"/>
        <v>0.42354999999999998</v>
      </c>
      <c r="AN93" s="74">
        <f t="shared" si="66"/>
        <v>1.2262166666666667</v>
      </c>
      <c r="AO93" s="73">
        <f t="shared" si="53"/>
        <v>4.6948417116293106E-2</v>
      </c>
      <c r="AP93" s="72">
        <f t="shared" si="54"/>
        <v>0.2467125</v>
      </c>
      <c r="AQ93" s="74">
        <f t="shared" si="67"/>
        <v>3.15E-3</v>
      </c>
      <c r="AR93" s="73">
        <f t="shared" si="68"/>
        <v>2.211786235134964</v>
      </c>
      <c r="AS93" s="72">
        <f t="shared" si="69"/>
        <v>13.760000000000002</v>
      </c>
      <c r="AT93" s="74">
        <f t="shared" si="70"/>
        <v>86.151916870328222</v>
      </c>
    </row>
    <row r="94" spans="17:46" ht="14.65" x14ac:dyDescent="0.4">
      <c r="Q94">
        <v>87</v>
      </c>
      <c r="R94" s="73">
        <f t="shared" si="43"/>
        <v>12</v>
      </c>
      <c r="S94" s="72">
        <f t="shared" si="44"/>
        <v>1.1600000000000001</v>
      </c>
      <c r="T94" s="72">
        <f t="shared" si="45"/>
        <v>7</v>
      </c>
      <c r="U94" s="74">
        <f t="shared" si="46"/>
        <v>1.9885714285714289</v>
      </c>
      <c r="V94" s="73">
        <f t="shared" si="47"/>
        <v>2</v>
      </c>
      <c r="W94" s="72">
        <f t="shared" si="48"/>
        <v>0.63157894736842102</v>
      </c>
      <c r="X94" s="74">
        <f t="shared" si="49"/>
        <v>0.36842105263157898</v>
      </c>
      <c r="Y94" s="73">
        <f t="shared" si="55"/>
        <v>0.76159390724874199</v>
      </c>
      <c r="Z94" s="72">
        <f t="shared" si="56"/>
        <v>3.9101653358201709</v>
      </c>
      <c r="AA94" s="72">
        <f t="shared" si="57"/>
        <v>2.0006878233482142</v>
      </c>
      <c r="AB94" s="72">
        <v>0</v>
      </c>
      <c r="AC94" s="72">
        <f t="shared" si="58"/>
        <v>4.0027517664938152E-2</v>
      </c>
      <c r="AD94" s="74">
        <f t="shared" si="59"/>
        <v>4.0027517664938152E-2</v>
      </c>
      <c r="AE94" s="73">
        <f t="shared" si="60"/>
        <v>1.4568902255639102</v>
      </c>
      <c r="AF94" s="72">
        <f t="shared" si="61"/>
        <v>2.0006878233482142</v>
      </c>
      <c r="AG94" s="72">
        <f t="shared" si="50"/>
        <v>1.801238294922217E-2</v>
      </c>
      <c r="AH94" s="72">
        <f t="shared" si="51"/>
        <v>0.67895709952564287</v>
      </c>
      <c r="AI94" s="74">
        <f t="shared" si="62"/>
        <v>0.69696948247486501</v>
      </c>
      <c r="AJ94" s="73">
        <f t="shared" si="63"/>
        <v>1.1600000000000001</v>
      </c>
      <c r="AK94" s="72">
        <f t="shared" si="64"/>
        <v>2.1463976715031188</v>
      </c>
      <c r="AL94" s="72">
        <f t="shared" si="65"/>
        <v>0.81200000000000006</v>
      </c>
      <c r="AM94" s="72">
        <f t="shared" si="52"/>
        <v>0.42354999999999998</v>
      </c>
      <c r="AN94" s="74">
        <f t="shared" si="66"/>
        <v>1.2355499999999999</v>
      </c>
      <c r="AO94" s="73">
        <f t="shared" si="53"/>
        <v>4.8033021197925782E-2</v>
      </c>
      <c r="AP94" s="72">
        <f t="shared" si="54"/>
        <v>0.2467125</v>
      </c>
      <c r="AQ94" s="74">
        <f t="shared" si="67"/>
        <v>3.15E-3</v>
      </c>
      <c r="AR94" s="73">
        <f t="shared" si="68"/>
        <v>2.2304150036727912</v>
      </c>
      <c r="AS94" s="72">
        <f t="shared" si="69"/>
        <v>13.920000000000002</v>
      </c>
      <c r="AT94" s="74">
        <f t="shared" si="70"/>
        <v>86.189735662114131</v>
      </c>
    </row>
    <row r="95" spans="17:46" ht="14.65" x14ac:dyDescent="0.4">
      <c r="Q95">
        <v>88</v>
      </c>
      <c r="R95" s="73">
        <f t="shared" si="43"/>
        <v>12</v>
      </c>
      <c r="S95" s="72">
        <f t="shared" si="44"/>
        <v>1.1733333333333333</v>
      </c>
      <c r="T95" s="72">
        <f t="shared" si="45"/>
        <v>7</v>
      </c>
      <c r="U95" s="74">
        <f t="shared" si="46"/>
        <v>2.0114285714285716</v>
      </c>
      <c r="V95" s="73">
        <f t="shared" si="47"/>
        <v>2</v>
      </c>
      <c r="W95" s="72">
        <f t="shared" si="48"/>
        <v>0.63157894736842102</v>
      </c>
      <c r="X95" s="74">
        <f t="shared" si="49"/>
        <v>0.36842105263157898</v>
      </c>
      <c r="Y95" s="73">
        <f t="shared" si="55"/>
        <v>0.76159390724874199</v>
      </c>
      <c r="Z95" s="72">
        <f t="shared" si="56"/>
        <v>3.9463558120106468</v>
      </c>
      <c r="AA95" s="72">
        <f t="shared" si="57"/>
        <v>2.0234080996977313</v>
      </c>
      <c r="AB95" s="72">
        <v>0</v>
      </c>
      <c r="AC95" s="72">
        <f t="shared" si="58"/>
        <v>4.0941803379223839E-2</v>
      </c>
      <c r="AD95" s="74">
        <f t="shared" si="59"/>
        <v>4.0941803379223839E-2</v>
      </c>
      <c r="AE95" s="73">
        <f t="shared" si="60"/>
        <v>1.4905744360902256</v>
      </c>
      <c r="AF95" s="72">
        <f t="shared" si="61"/>
        <v>2.0234080996977313</v>
      </c>
      <c r="AG95" s="72">
        <f t="shared" si="50"/>
        <v>1.8423811520650729E-2</v>
      </c>
      <c r="AH95" s="72">
        <f t="shared" si="51"/>
        <v>0.68676120411789154</v>
      </c>
      <c r="AI95" s="74">
        <f t="shared" si="62"/>
        <v>0.7051850156385423</v>
      </c>
      <c r="AJ95" s="73">
        <f t="shared" si="63"/>
        <v>1.1733333333333333</v>
      </c>
      <c r="AK95" s="72">
        <f t="shared" si="64"/>
        <v>2.1683223916448489</v>
      </c>
      <c r="AL95" s="72">
        <f t="shared" si="65"/>
        <v>0.82133333333333325</v>
      </c>
      <c r="AM95" s="72">
        <f t="shared" si="52"/>
        <v>0.42354999999999998</v>
      </c>
      <c r="AN95" s="74">
        <f t="shared" si="66"/>
        <v>1.2448833333333331</v>
      </c>
      <c r="AO95" s="73">
        <f t="shared" si="53"/>
        <v>4.9130164055068606E-2</v>
      </c>
      <c r="AP95" s="72">
        <f t="shared" si="54"/>
        <v>0.2467125</v>
      </c>
      <c r="AQ95" s="74">
        <f t="shared" si="67"/>
        <v>3.15E-3</v>
      </c>
      <c r="AR95" s="73">
        <f t="shared" si="68"/>
        <v>2.2490610130269442</v>
      </c>
      <c r="AS95" s="72">
        <f t="shared" si="69"/>
        <v>14.08</v>
      </c>
      <c r="AT95" s="74">
        <f t="shared" si="70"/>
        <v>86.226635988237803</v>
      </c>
    </row>
    <row r="96" spans="17:46" ht="14.65" x14ac:dyDescent="0.4">
      <c r="Q96">
        <v>89</v>
      </c>
      <c r="R96" s="73">
        <f t="shared" si="43"/>
        <v>12</v>
      </c>
      <c r="S96" s="72">
        <f t="shared" si="44"/>
        <v>1.1866666666666668</v>
      </c>
      <c r="T96" s="72">
        <f t="shared" si="45"/>
        <v>7</v>
      </c>
      <c r="U96" s="74">
        <f t="shared" si="46"/>
        <v>2.0342857142857147</v>
      </c>
      <c r="V96" s="73">
        <f t="shared" si="47"/>
        <v>2</v>
      </c>
      <c r="W96" s="72">
        <f t="shared" si="48"/>
        <v>0.63157894736842102</v>
      </c>
      <c r="X96" s="74">
        <f t="shared" si="49"/>
        <v>0.36842105263157898</v>
      </c>
      <c r="Y96" s="73">
        <f t="shared" si="55"/>
        <v>0.76159390724874199</v>
      </c>
      <c r="Z96" s="72">
        <f t="shared" si="56"/>
        <v>3.9825462882011231</v>
      </c>
      <c r="AA96" s="72">
        <f t="shared" si="57"/>
        <v>2.0461314247403908</v>
      </c>
      <c r="AB96" s="72">
        <v>0</v>
      </c>
      <c r="AC96" s="72">
        <f t="shared" si="58"/>
        <v>4.1866538073101416E-2</v>
      </c>
      <c r="AD96" s="74">
        <f t="shared" si="59"/>
        <v>4.1866538073101416E-2</v>
      </c>
      <c r="AE96" s="73">
        <f t="shared" si="60"/>
        <v>1.5246436090225568</v>
      </c>
      <c r="AF96" s="72">
        <f t="shared" si="61"/>
        <v>2.0461314247403908</v>
      </c>
      <c r="AG96" s="72">
        <f t="shared" si="50"/>
        <v>1.8839942132895637E-2</v>
      </c>
      <c r="AH96" s="72">
        <f t="shared" si="51"/>
        <v>0.69456530871014033</v>
      </c>
      <c r="AI96" s="74">
        <f t="shared" si="62"/>
        <v>0.71340525084303597</v>
      </c>
      <c r="AJ96" s="73">
        <f t="shared" si="63"/>
        <v>1.1866666666666668</v>
      </c>
      <c r="AK96" s="72">
        <f t="shared" si="64"/>
        <v>2.1902479547640135</v>
      </c>
      <c r="AL96" s="72">
        <f t="shared" si="65"/>
        <v>0.83066666666666666</v>
      </c>
      <c r="AM96" s="72">
        <f t="shared" si="52"/>
        <v>0.42354999999999998</v>
      </c>
      <c r="AN96" s="74">
        <f t="shared" si="66"/>
        <v>1.2542166666666668</v>
      </c>
      <c r="AO96" s="73">
        <f t="shared" si="53"/>
        <v>5.0239845687721697E-2</v>
      </c>
      <c r="AP96" s="72">
        <f t="shared" si="54"/>
        <v>0.2467125</v>
      </c>
      <c r="AQ96" s="74">
        <f t="shared" si="67"/>
        <v>3.15E-3</v>
      </c>
      <c r="AR96" s="73">
        <f t="shared" si="68"/>
        <v>2.2677242631974246</v>
      </c>
      <c r="AS96" s="72">
        <f t="shared" si="69"/>
        <v>14.240000000000002</v>
      </c>
      <c r="AT96" s="74">
        <f t="shared" si="70"/>
        <v>86.262647551891064</v>
      </c>
    </row>
    <row r="97" spans="17:46" ht="14.65" x14ac:dyDescent="0.4">
      <c r="Q97">
        <v>90</v>
      </c>
      <c r="R97" s="73">
        <f t="shared" si="43"/>
        <v>12</v>
      </c>
      <c r="S97" s="72">
        <f t="shared" si="44"/>
        <v>1.2000000000000002</v>
      </c>
      <c r="T97" s="72">
        <f t="shared" si="45"/>
        <v>7</v>
      </c>
      <c r="U97" s="74">
        <f t="shared" si="46"/>
        <v>2.0571428571428574</v>
      </c>
      <c r="V97" s="73">
        <f t="shared" si="47"/>
        <v>2</v>
      </c>
      <c r="W97" s="72">
        <f t="shared" si="48"/>
        <v>0.63157894736842102</v>
      </c>
      <c r="X97" s="74">
        <f t="shared" si="49"/>
        <v>0.36842105263157898</v>
      </c>
      <c r="Y97" s="73">
        <f t="shared" si="55"/>
        <v>0.76159390724874199</v>
      </c>
      <c r="Z97" s="72">
        <f t="shared" si="56"/>
        <v>4.0187367643915994</v>
      </c>
      <c r="AA97" s="72">
        <f t="shared" si="57"/>
        <v>2.0688576980201128</v>
      </c>
      <c r="AB97" s="72">
        <v>0</v>
      </c>
      <c r="AC97" s="72">
        <f t="shared" si="58"/>
        <v>4.2801721746570806E-2</v>
      </c>
      <c r="AD97" s="74">
        <f t="shared" si="59"/>
        <v>4.2801721746570806E-2</v>
      </c>
      <c r="AE97" s="73">
        <f t="shared" si="60"/>
        <v>1.5590977443609026</v>
      </c>
      <c r="AF97" s="72">
        <f t="shared" si="61"/>
        <v>2.0688576980201128</v>
      </c>
      <c r="AG97" s="72">
        <f t="shared" si="50"/>
        <v>1.9260774785956863E-2</v>
      </c>
      <c r="AH97" s="72">
        <f t="shared" si="51"/>
        <v>0.70236941330238911</v>
      </c>
      <c r="AI97" s="74">
        <f t="shared" si="62"/>
        <v>0.721630188088346</v>
      </c>
      <c r="AJ97" s="73">
        <f t="shared" si="63"/>
        <v>1.2000000000000002</v>
      </c>
      <c r="AK97" s="72">
        <f t="shared" si="64"/>
        <v>2.2121743357955612</v>
      </c>
      <c r="AL97" s="72">
        <f t="shared" si="65"/>
        <v>0.84000000000000008</v>
      </c>
      <c r="AM97" s="72">
        <f t="shared" si="52"/>
        <v>0.42354999999999998</v>
      </c>
      <c r="AN97" s="74">
        <f t="shared" si="66"/>
        <v>1.26355</v>
      </c>
      <c r="AO97" s="73">
        <f t="shared" si="53"/>
        <v>5.1362066095884965E-2</v>
      </c>
      <c r="AP97" s="72">
        <f t="shared" si="54"/>
        <v>0.2467125</v>
      </c>
      <c r="AQ97" s="74">
        <f t="shared" si="67"/>
        <v>3.15E-3</v>
      </c>
      <c r="AR97" s="73">
        <f t="shared" si="68"/>
        <v>2.2864047541842312</v>
      </c>
      <c r="AS97" s="72">
        <f t="shared" si="69"/>
        <v>14.400000000000002</v>
      </c>
      <c r="AT97" s="74">
        <f t="shared" si="70"/>
        <v>86.297798789694951</v>
      </c>
    </row>
    <row r="98" spans="17:46" ht="14.65" x14ac:dyDescent="0.4">
      <c r="Q98">
        <v>91</v>
      </c>
      <c r="R98" s="73">
        <f t="shared" si="43"/>
        <v>12</v>
      </c>
      <c r="S98" s="72">
        <f t="shared" si="44"/>
        <v>1.2133333333333334</v>
      </c>
      <c r="T98" s="72">
        <f t="shared" si="45"/>
        <v>7</v>
      </c>
      <c r="U98" s="74">
        <f t="shared" si="46"/>
        <v>2.08</v>
      </c>
      <c r="V98" s="73">
        <f t="shared" si="47"/>
        <v>2</v>
      </c>
      <c r="W98" s="72">
        <f t="shared" si="48"/>
        <v>0.63157894736842102</v>
      </c>
      <c r="X98" s="74">
        <f t="shared" si="49"/>
        <v>0.36842105263157898</v>
      </c>
      <c r="Y98" s="73">
        <f t="shared" si="55"/>
        <v>0.76159390724874199</v>
      </c>
      <c r="Z98" s="72">
        <f t="shared" si="56"/>
        <v>4.0549272405820753</v>
      </c>
      <c r="AA98" s="72">
        <f t="shared" si="57"/>
        <v>2.0915868234341124</v>
      </c>
      <c r="AB98" s="72">
        <v>0</v>
      </c>
      <c r="AC98" s="72">
        <f t="shared" si="58"/>
        <v>4.374735439963201E-2</v>
      </c>
      <c r="AD98" s="74">
        <f t="shared" si="59"/>
        <v>4.374735439963201E-2</v>
      </c>
      <c r="AE98" s="73">
        <f t="shared" si="60"/>
        <v>1.5939368421052631</v>
      </c>
      <c r="AF98" s="72">
        <f t="shared" si="61"/>
        <v>2.0915868234341124</v>
      </c>
      <c r="AG98" s="72">
        <f t="shared" si="50"/>
        <v>1.9686309479834407E-2</v>
      </c>
      <c r="AH98" s="72">
        <f t="shared" si="51"/>
        <v>0.7101735178946379</v>
      </c>
      <c r="AI98" s="74">
        <f t="shared" si="62"/>
        <v>0.7298598273744723</v>
      </c>
      <c r="AJ98" s="73">
        <f t="shared" si="63"/>
        <v>1.2133333333333334</v>
      </c>
      <c r="AK98" s="72">
        <f t="shared" si="64"/>
        <v>2.2341015106575166</v>
      </c>
      <c r="AL98" s="72">
        <f t="shared" si="65"/>
        <v>0.84933333333333327</v>
      </c>
      <c r="AM98" s="72">
        <f t="shared" si="52"/>
        <v>0.42354999999999998</v>
      </c>
      <c r="AN98" s="74">
        <f t="shared" si="66"/>
        <v>1.2728833333333331</v>
      </c>
      <c r="AO98" s="73">
        <f t="shared" si="53"/>
        <v>5.2496825279558415E-2</v>
      </c>
      <c r="AP98" s="72">
        <f t="shared" si="54"/>
        <v>0.2467125</v>
      </c>
      <c r="AQ98" s="74">
        <f t="shared" si="67"/>
        <v>3.15E-3</v>
      </c>
      <c r="AR98" s="73">
        <f t="shared" si="68"/>
        <v>2.3051024859873643</v>
      </c>
      <c r="AS98" s="72">
        <f t="shared" si="69"/>
        <v>14.56</v>
      </c>
      <c r="AT98" s="74">
        <f t="shared" si="70"/>
        <v>86.332116938497151</v>
      </c>
    </row>
    <row r="99" spans="17:46" ht="14.65" x14ac:dyDescent="0.4">
      <c r="Q99">
        <v>92</v>
      </c>
      <c r="R99" s="73">
        <f t="shared" si="43"/>
        <v>12</v>
      </c>
      <c r="S99" s="72">
        <f t="shared" si="44"/>
        <v>1.2266666666666668</v>
      </c>
      <c r="T99" s="72">
        <f t="shared" si="45"/>
        <v>7</v>
      </c>
      <c r="U99" s="74">
        <f t="shared" si="46"/>
        <v>2.1028571428571432</v>
      </c>
      <c r="V99" s="73">
        <f t="shared" si="47"/>
        <v>2</v>
      </c>
      <c r="W99" s="72">
        <f t="shared" si="48"/>
        <v>0.63157894736842102</v>
      </c>
      <c r="X99" s="74">
        <f t="shared" si="49"/>
        <v>0.36842105263157898</v>
      </c>
      <c r="Y99" s="73">
        <f t="shared" si="55"/>
        <v>0.76159390724874199</v>
      </c>
      <c r="Z99" s="72">
        <f t="shared" si="56"/>
        <v>4.0911177167725521</v>
      </c>
      <c r="AA99" s="72">
        <f t="shared" si="57"/>
        <v>2.1143187090002558</v>
      </c>
      <c r="AB99" s="72">
        <v>0</v>
      </c>
      <c r="AC99" s="72">
        <f t="shared" si="58"/>
        <v>4.4703436032285077E-2</v>
      </c>
      <c r="AD99" s="74">
        <f t="shared" si="59"/>
        <v>4.4703436032285077E-2</v>
      </c>
      <c r="AE99" s="73">
        <f t="shared" si="60"/>
        <v>1.6291609022556393</v>
      </c>
      <c r="AF99" s="72">
        <f t="shared" si="61"/>
        <v>2.1143187090002558</v>
      </c>
      <c r="AG99" s="72">
        <f t="shared" si="50"/>
        <v>2.0116546214528287E-2</v>
      </c>
      <c r="AH99" s="72">
        <f t="shared" si="51"/>
        <v>0.71797762248688668</v>
      </c>
      <c r="AI99" s="74">
        <f t="shared" si="62"/>
        <v>0.73809416870141498</v>
      </c>
      <c r="AJ99" s="73">
        <f t="shared" si="63"/>
        <v>1.2266666666666668</v>
      </c>
      <c r="AK99" s="72">
        <f t="shared" si="64"/>
        <v>2.2560294562032968</v>
      </c>
      <c r="AL99" s="72">
        <f t="shared" si="65"/>
        <v>0.85866666666666669</v>
      </c>
      <c r="AM99" s="72">
        <f t="shared" si="52"/>
        <v>0.42354999999999998</v>
      </c>
      <c r="AN99" s="74">
        <f t="shared" si="66"/>
        <v>1.2822166666666668</v>
      </c>
      <c r="AO99" s="73">
        <f t="shared" si="53"/>
        <v>5.3644123238742097E-2</v>
      </c>
      <c r="AP99" s="72">
        <f t="shared" si="54"/>
        <v>0.2467125</v>
      </c>
      <c r="AQ99" s="74">
        <f t="shared" si="67"/>
        <v>3.15E-3</v>
      </c>
      <c r="AR99" s="73">
        <f t="shared" si="68"/>
        <v>2.3238174586068241</v>
      </c>
      <c r="AS99" s="72">
        <f t="shared" si="69"/>
        <v>14.720000000000002</v>
      </c>
      <c r="AT99" s="74">
        <f t="shared" si="70"/>
        <v>86.365628097986118</v>
      </c>
    </row>
    <row r="100" spans="17:46" ht="14.65" x14ac:dyDescent="0.4">
      <c r="Q100">
        <v>93</v>
      </c>
      <c r="R100" s="73">
        <f t="shared" si="43"/>
        <v>12</v>
      </c>
      <c r="S100" s="72">
        <f t="shared" si="44"/>
        <v>1.24</v>
      </c>
      <c r="T100" s="72">
        <f t="shared" si="45"/>
        <v>7</v>
      </c>
      <c r="U100" s="74">
        <f t="shared" si="46"/>
        <v>2.1257142857142854</v>
      </c>
      <c r="V100" s="73">
        <f t="shared" si="47"/>
        <v>2</v>
      </c>
      <c r="W100" s="72">
        <f t="shared" si="48"/>
        <v>0.63157894736842102</v>
      </c>
      <c r="X100" s="74">
        <f t="shared" si="49"/>
        <v>0.36842105263157898</v>
      </c>
      <c r="Y100" s="73">
        <f t="shared" si="55"/>
        <v>0.76159390724874199</v>
      </c>
      <c r="Z100" s="72">
        <f t="shared" si="56"/>
        <v>4.127308192963028</v>
      </c>
      <c r="AA100" s="72">
        <f t="shared" si="57"/>
        <v>2.1370532666391342</v>
      </c>
      <c r="AB100" s="72">
        <v>0</v>
      </c>
      <c r="AC100" s="72">
        <f t="shared" si="58"/>
        <v>4.5669966644529943E-2</v>
      </c>
      <c r="AD100" s="74">
        <f t="shared" si="59"/>
        <v>4.5669966644529943E-2</v>
      </c>
      <c r="AE100" s="73">
        <f t="shared" si="60"/>
        <v>1.6647699248120296</v>
      </c>
      <c r="AF100" s="72">
        <f t="shared" si="61"/>
        <v>2.1370532666391342</v>
      </c>
      <c r="AG100" s="72">
        <f t="shared" si="50"/>
        <v>2.0551484990038477E-2</v>
      </c>
      <c r="AH100" s="72">
        <f t="shared" si="51"/>
        <v>0.72578172707913535</v>
      </c>
      <c r="AI100" s="74">
        <f t="shared" si="62"/>
        <v>0.7463332120691738</v>
      </c>
      <c r="AJ100" s="73">
        <f t="shared" si="63"/>
        <v>1.24</v>
      </c>
      <c r="AK100" s="72">
        <f t="shared" si="64"/>
        <v>2.2779581501767687</v>
      </c>
      <c r="AL100" s="72">
        <f t="shared" si="65"/>
        <v>0.86799999999999999</v>
      </c>
      <c r="AM100" s="72">
        <f t="shared" si="52"/>
        <v>0.42354999999999998</v>
      </c>
      <c r="AN100" s="74">
        <f t="shared" si="66"/>
        <v>1.29155</v>
      </c>
      <c r="AO100" s="73">
        <f t="shared" si="53"/>
        <v>5.4803959973435935E-2</v>
      </c>
      <c r="AP100" s="72">
        <f t="shared" si="54"/>
        <v>0.2467125</v>
      </c>
      <c r="AQ100" s="74">
        <f t="shared" si="67"/>
        <v>3.15E-3</v>
      </c>
      <c r="AR100" s="73">
        <f t="shared" si="68"/>
        <v>2.34254967204261</v>
      </c>
      <c r="AS100" s="72">
        <f t="shared" si="69"/>
        <v>14.879999999999999</v>
      </c>
      <c r="AT100" s="74">
        <f t="shared" si="70"/>
        <v>86.398357289424595</v>
      </c>
    </row>
    <row r="101" spans="17:46" ht="14.65" x14ac:dyDescent="0.4">
      <c r="Q101">
        <v>94</v>
      </c>
      <c r="R101" s="73">
        <f t="shared" si="43"/>
        <v>12</v>
      </c>
      <c r="S101" s="72">
        <f t="shared" si="44"/>
        <v>1.2533333333333334</v>
      </c>
      <c r="T101" s="72">
        <f t="shared" si="45"/>
        <v>7</v>
      </c>
      <c r="U101" s="74">
        <f t="shared" si="46"/>
        <v>2.1485714285714286</v>
      </c>
      <c r="V101" s="73">
        <f t="shared" si="47"/>
        <v>2</v>
      </c>
      <c r="W101" s="72">
        <f t="shared" si="48"/>
        <v>0.63157894736842102</v>
      </c>
      <c r="X101" s="74">
        <f t="shared" si="49"/>
        <v>0.36842105263157898</v>
      </c>
      <c r="Y101" s="73">
        <f t="shared" si="55"/>
        <v>0.76159390724874199</v>
      </c>
      <c r="Z101" s="72">
        <f t="shared" si="56"/>
        <v>4.1634986691535039</v>
      </c>
      <c r="AA101" s="72">
        <f t="shared" si="57"/>
        <v>2.1597904119697979</v>
      </c>
      <c r="AB101" s="72">
        <v>0</v>
      </c>
      <c r="AC101" s="72">
        <f t="shared" si="58"/>
        <v>4.6646946236366692E-2</v>
      </c>
      <c r="AD101" s="74">
        <f t="shared" si="59"/>
        <v>4.6646946236366692E-2</v>
      </c>
      <c r="AE101" s="73">
        <f t="shared" si="60"/>
        <v>1.7007639097744363</v>
      </c>
      <c r="AF101" s="72">
        <f t="shared" si="61"/>
        <v>2.1597904119697979</v>
      </c>
      <c r="AG101" s="72">
        <f t="shared" si="50"/>
        <v>2.0991125806365016E-2</v>
      </c>
      <c r="AH101" s="72">
        <f t="shared" si="51"/>
        <v>0.73358583167138414</v>
      </c>
      <c r="AI101" s="74">
        <f t="shared" si="62"/>
        <v>0.75457695747774911</v>
      </c>
      <c r="AJ101" s="73">
        <f t="shared" si="63"/>
        <v>1.2533333333333334</v>
      </c>
      <c r="AK101" s="72">
        <f t="shared" si="64"/>
        <v>2.2998875711698754</v>
      </c>
      <c r="AL101" s="72">
        <f t="shared" si="65"/>
        <v>0.8773333333333333</v>
      </c>
      <c r="AM101" s="72">
        <f t="shared" si="52"/>
        <v>0.42354999999999998</v>
      </c>
      <c r="AN101" s="74">
        <f t="shared" si="66"/>
        <v>1.3008833333333332</v>
      </c>
      <c r="AO101" s="73">
        <f t="shared" si="53"/>
        <v>5.5976335483640033E-2</v>
      </c>
      <c r="AP101" s="72">
        <f t="shared" si="54"/>
        <v>0.2467125</v>
      </c>
      <c r="AQ101" s="74">
        <f t="shared" si="67"/>
        <v>3.15E-3</v>
      </c>
      <c r="AR101" s="73">
        <f t="shared" si="68"/>
        <v>2.3612991262947225</v>
      </c>
      <c r="AS101" s="72">
        <f t="shared" si="69"/>
        <v>15.040000000000001</v>
      </c>
      <c r="AT101" s="74">
        <f t="shared" si="70"/>
        <v>86.430328510779901</v>
      </c>
    </row>
    <row r="102" spans="17:46" ht="14.65" x14ac:dyDescent="0.4">
      <c r="Q102">
        <v>95</v>
      </c>
      <c r="R102" s="73">
        <f t="shared" si="43"/>
        <v>12</v>
      </c>
      <c r="S102" s="72">
        <f t="shared" si="44"/>
        <v>1.2666666666666668</v>
      </c>
      <c r="T102" s="72">
        <f t="shared" si="45"/>
        <v>7</v>
      </c>
      <c r="U102" s="74">
        <f t="shared" si="46"/>
        <v>2.1714285714285717</v>
      </c>
      <c r="V102" s="73">
        <f t="shared" si="47"/>
        <v>2</v>
      </c>
      <c r="W102" s="72">
        <f t="shared" si="48"/>
        <v>0.63157894736842102</v>
      </c>
      <c r="X102" s="74">
        <f t="shared" si="49"/>
        <v>0.36842105263157898</v>
      </c>
      <c r="Y102" s="73">
        <f t="shared" si="55"/>
        <v>0.76159390724874199</v>
      </c>
      <c r="Z102" s="72">
        <f t="shared" si="56"/>
        <v>4.1996891453439806</v>
      </c>
      <c r="AA102" s="72">
        <f t="shared" si="57"/>
        <v>2.1825300641181391</v>
      </c>
      <c r="AB102" s="72">
        <v>0</v>
      </c>
      <c r="AC102" s="72">
        <f t="shared" si="58"/>
        <v>4.7634374807795289E-2</v>
      </c>
      <c r="AD102" s="74">
        <f t="shared" si="59"/>
        <v>4.7634374807795289E-2</v>
      </c>
      <c r="AE102" s="73">
        <f t="shared" si="60"/>
        <v>1.7371428571428575</v>
      </c>
      <c r="AF102" s="72">
        <f t="shared" si="61"/>
        <v>2.1825300641181391</v>
      </c>
      <c r="AG102" s="72">
        <f t="shared" si="50"/>
        <v>2.1435468663507883E-2</v>
      </c>
      <c r="AH102" s="72">
        <f t="shared" si="51"/>
        <v>0.74138993626363292</v>
      </c>
      <c r="AI102" s="74">
        <f t="shared" si="62"/>
        <v>0.76282540492714079</v>
      </c>
      <c r="AJ102" s="73">
        <f t="shared" si="63"/>
        <v>1.2666666666666668</v>
      </c>
      <c r="AK102" s="72">
        <f t="shared" si="64"/>
        <v>2.3218176985826546</v>
      </c>
      <c r="AL102" s="72">
        <f t="shared" si="65"/>
        <v>0.88666666666666671</v>
      </c>
      <c r="AM102" s="72">
        <f t="shared" si="52"/>
        <v>0.42354999999999998</v>
      </c>
      <c r="AN102" s="74">
        <f t="shared" si="66"/>
        <v>1.3102166666666668</v>
      </c>
      <c r="AO102" s="73">
        <f t="shared" si="53"/>
        <v>5.7161249769354348E-2</v>
      </c>
      <c r="AP102" s="72">
        <f t="shared" si="54"/>
        <v>0.2467125</v>
      </c>
      <c r="AQ102" s="74">
        <f t="shared" si="67"/>
        <v>3.15E-3</v>
      </c>
      <c r="AR102" s="73">
        <f t="shared" si="68"/>
        <v>2.380065821363162</v>
      </c>
      <c r="AS102" s="72">
        <f t="shared" si="69"/>
        <v>15.200000000000003</v>
      </c>
      <c r="AT102" s="74">
        <f t="shared" si="70"/>
        <v>86.461564788506521</v>
      </c>
    </row>
    <row r="103" spans="17:46" ht="14.65" x14ac:dyDescent="0.4">
      <c r="Q103">
        <v>96</v>
      </c>
      <c r="R103" s="73">
        <f t="shared" si="43"/>
        <v>12</v>
      </c>
      <c r="S103" s="72">
        <f t="shared" ref="S103:S134" si="71">Q103*$O$12</f>
        <v>1.28</v>
      </c>
      <c r="T103" s="72">
        <f t="shared" si="45"/>
        <v>7</v>
      </c>
      <c r="U103" s="74">
        <f t="shared" ref="U103:U134" si="72">(R103*S103)/(T103*EFF_est)</f>
        <v>2.1942857142857144</v>
      </c>
      <c r="V103" s="73">
        <f t="shared" ref="V103:V134" si="73">IF(S103&lt;((T103^2)*R103)/(2*Fsw*Lm*((T103+R103)^2)),1,2)</f>
        <v>2</v>
      </c>
      <c r="W103" s="72">
        <f t="shared" ref="W103:W134" si="74">CHOOSE(V103,SQRT(2*Lm*R103*S103*Fsw)/T103,R103/(T103+R103))</f>
        <v>0.63157894736842102</v>
      </c>
      <c r="X103" s="74">
        <f t="shared" ref="X103:X134" si="75">CHOOSE(V103,(Lm*Z103*Fsw)/(R103),1-W103)</f>
        <v>0.36842105263157898</v>
      </c>
      <c r="Y103" s="73">
        <f t="shared" si="55"/>
        <v>0.76159390724874199</v>
      </c>
      <c r="Z103" s="72">
        <f t="shared" si="56"/>
        <v>4.2358796215344565</v>
      </c>
      <c r="AA103" s="72">
        <f t="shared" si="57"/>
        <v>2.2052721455370463</v>
      </c>
      <c r="AB103" s="72">
        <v>0</v>
      </c>
      <c r="AC103" s="72">
        <f t="shared" si="58"/>
        <v>4.8632252358815679E-2</v>
      </c>
      <c r="AD103" s="74">
        <f t="shared" si="59"/>
        <v>4.8632252358815679E-2</v>
      </c>
      <c r="AE103" s="73">
        <f t="shared" si="60"/>
        <v>1.7739067669172934</v>
      </c>
      <c r="AF103" s="72">
        <f t="shared" si="61"/>
        <v>2.2052721455370463</v>
      </c>
      <c r="AG103" s="72">
        <f t="shared" ref="AG103:AG134" si="76">(AF103^2)*RDS_on</f>
        <v>2.1884513561467055E-2</v>
      </c>
      <c r="AH103" s="72">
        <f t="shared" ref="AH103:AH134" si="77">(((R103+T103)*(U103+S103))/2)*Fsw*(tr_sw+tf_sw)</f>
        <v>0.7491940408558817</v>
      </c>
      <c r="AI103" s="74">
        <f t="shared" si="62"/>
        <v>0.77107855441734874</v>
      </c>
      <c r="AJ103" s="73">
        <f t="shared" si="63"/>
        <v>1.28</v>
      </c>
      <c r="AK103" s="72">
        <f t="shared" si="64"/>
        <v>2.3437485125854947</v>
      </c>
      <c r="AL103" s="72">
        <f t="shared" si="65"/>
        <v>0.89599999999999991</v>
      </c>
      <c r="AM103" s="72">
        <f t="shared" ref="AM103:AM134" si="78">(R103+T103+Vd_rect)*Qrr*Fsw</f>
        <v>0.42354999999999998</v>
      </c>
      <c r="AN103" s="74">
        <f t="shared" si="66"/>
        <v>1.31955</v>
      </c>
      <c r="AO103" s="73">
        <f t="shared" ref="AO103:AO134" si="79">(AF103^2)*R_cs</f>
        <v>5.8358702830578812E-2</v>
      </c>
      <c r="AP103" s="72">
        <f t="shared" si="54"/>
        <v>0.2467125</v>
      </c>
      <c r="AQ103" s="74">
        <f t="shared" si="67"/>
        <v>3.15E-3</v>
      </c>
      <c r="AR103" s="73">
        <f t="shared" si="68"/>
        <v>2.3988497572479277</v>
      </c>
      <c r="AS103" s="72">
        <f t="shared" si="69"/>
        <v>15.36</v>
      </c>
      <c r="AT103" s="74">
        <f t="shared" si="70"/>
        <v>86.49208822621587</v>
      </c>
    </row>
    <row r="104" spans="17:46" ht="14.65" x14ac:dyDescent="0.4">
      <c r="Q104">
        <v>97</v>
      </c>
      <c r="R104" s="73">
        <f t="shared" si="43"/>
        <v>12</v>
      </c>
      <c r="S104" s="72">
        <f t="shared" si="71"/>
        <v>1.2933333333333334</v>
      </c>
      <c r="T104" s="72">
        <f t="shared" si="45"/>
        <v>7</v>
      </c>
      <c r="U104" s="74">
        <f t="shared" si="72"/>
        <v>2.2171428571428575</v>
      </c>
      <c r="V104" s="73">
        <f t="shared" si="73"/>
        <v>2</v>
      </c>
      <c r="W104" s="72">
        <f t="shared" si="74"/>
        <v>0.63157894736842102</v>
      </c>
      <c r="X104" s="74">
        <f t="shared" si="75"/>
        <v>0.36842105263157898</v>
      </c>
      <c r="Y104" s="73">
        <f t="shared" si="55"/>
        <v>0.76159390724874199</v>
      </c>
      <c r="Z104" s="72">
        <f t="shared" si="56"/>
        <v>4.2720700977249333</v>
      </c>
      <c r="AA104" s="72">
        <f t="shared" si="57"/>
        <v>2.228016581837486</v>
      </c>
      <c r="AB104" s="72">
        <v>0</v>
      </c>
      <c r="AC104" s="72">
        <f t="shared" si="58"/>
        <v>4.9640578889427946E-2</v>
      </c>
      <c r="AD104" s="74">
        <f t="shared" si="59"/>
        <v>4.9640578889427946E-2</v>
      </c>
      <c r="AE104" s="73">
        <f t="shared" si="60"/>
        <v>1.8110556390977448</v>
      </c>
      <c r="AF104" s="72">
        <f t="shared" si="61"/>
        <v>2.228016581837486</v>
      </c>
      <c r="AG104" s="72">
        <f t="shared" si="76"/>
        <v>2.2338260500242579E-2</v>
      </c>
      <c r="AH104" s="72">
        <f t="shared" si="77"/>
        <v>0.7569981454481306</v>
      </c>
      <c r="AI104" s="74">
        <f t="shared" si="62"/>
        <v>0.77933640594837317</v>
      </c>
      <c r="AJ104" s="73">
        <f t="shared" si="63"/>
        <v>1.2933333333333334</v>
      </c>
      <c r="AK104" s="72">
        <f t="shared" si="64"/>
        <v>2.3656799940834898</v>
      </c>
      <c r="AL104" s="72">
        <f t="shared" si="65"/>
        <v>0.90533333333333332</v>
      </c>
      <c r="AM104" s="72">
        <f t="shared" si="78"/>
        <v>0.42354999999999998</v>
      </c>
      <c r="AN104" s="74">
        <f t="shared" si="66"/>
        <v>1.3288833333333332</v>
      </c>
      <c r="AO104" s="73">
        <f t="shared" si="79"/>
        <v>5.9568694667313536E-2</v>
      </c>
      <c r="AP104" s="72">
        <f t="shared" si="54"/>
        <v>0.2467125</v>
      </c>
      <c r="AQ104" s="74">
        <f t="shared" si="67"/>
        <v>3.15E-3</v>
      </c>
      <c r="AR104" s="73">
        <f t="shared" si="68"/>
        <v>2.41765093394902</v>
      </c>
      <c r="AS104" s="72">
        <f t="shared" si="69"/>
        <v>15.520000000000001</v>
      </c>
      <c r="AT104" s="74">
        <f t="shared" si="70"/>
        <v>86.521920050449054</v>
      </c>
    </row>
    <row r="105" spans="17:46" ht="14.65" x14ac:dyDescent="0.4">
      <c r="Q105">
        <v>98</v>
      </c>
      <c r="R105" s="73">
        <f t="shared" si="43"/>
        <v>12</v>
      </c>
      <c r="S105" s="72">
        <f t="shared" si="71"/>
        <v>1.3066666666666666</v>
      </c>
      <c r="T105" s="72">
        <f t="shared" si="45"/>
        <v>7</v>
      </c>
      <c r="U105" s="74">
        <f t="shared" si="72"/>
        <v>2.2399999999999998</v>
      </c>
      <c r="V105" s="73">
        <f t="shared" si="73"/>
        <v>2</v>
      </c>
      <c r="W105" s="72">
        <f t="shared" si="74"/>
        <v>0.63157894736842102</v>
      </c>
      <c r="X105" s="74">
        <f t="shared" si="75"/>
        <v>0.36842105263157898</v>
      </c>
      <c r="Y105" s="73">
        <f t="shared" si="55"/>
        <v>0.76159390724874199</v>
      </c>
      <c r="Z105" s="72">
        <f t="shared" si="56"/>
        <v>4.3082605739154083</v>
      </c>
      <c r="AA105" s="72">
        <f t="shared" si="57"/>
        <v>2.2507633016297381</v>
      </c>
      <c r="AB105" s="72">
        <v>0</v>
      </c>
      <c r="AC105" s="72">
        <f t="shared" si="58"/>
        <v>5.0659354399631998E-2</v>
      </c>
      <c r="AD105" s="74">
        <f t="shared" si="59"/>
        <v>5.0659354399631998E-2</v>
      </c>
      <c r="AE105" s="73">
        <f t="shared" si="60"/>
        <v>1.8485894736842101</v>
      </c>
      <c r="AF105" s="72">
        <f t="shared" si="61"/>
        <v>2.2507633016297381</v>
      </c>
      <c r="AG105" s="72">
        <f t="shared" si="76"/>
        <v>2.27967094798344E-2</v>
      </c>
      <c r="AH105" s="72">
        <f t="shared" si="77"/>
        <v>0.76480225004037905</v>
      </c>
      <c r="AI105" s="74">
        <f t="shared" si="62"/>
        <v>0.78759895952021342</v>
      </c>
      <c r="AJ105" s="73">
        <f t="shared" si="63"/>
        <v>1.3066666666666666</v>
      </c>
      <c r="AK105" s="72">
        <f t="shared" si="64"/>
        <v>2.3876121246827506</v>
      </c>
      <c r="AL105" s="72">
        <f t="shared" si="65"/>
        <v>0.91466666666666663</v>
      </c>
      <c r="AM105" s="72">
        <f t="shared" si="78"/>
        <v>0.42354999999999998</v>
      </c>
      <c r="AN105" s="74">
        <f t="shared" si="66"/>
        <v>1.3382166666666666</v>
      </c>
      <c r="AO105" s="73">
        <f t="shared" si="79"/>
        <v>6.0791225279558395E-2</v>
      </c>
      <c r="AP105" s="72">
        <f t="shared" si="54"/>
        <v>0.2467125</v>
      </c>
      <c r="AQ105" s="74">
        <f t="shared" si="67"/>
        <v>3.15E-3</v>
      </c>
      <c r="AR105" s="73">
        <f t="shared" si="68"/>
        <v>2.4364693514664388</v>
      </c>
      <c r="AS105" s="72">
        <f t="shared" si="69"/>
        <v>15.68</v>
      </c>
      <c r="AT105" s="74">
        <f t="shared" si="70"/>
        <v>86.551080653752109</v>
      </c>
    </row>
    <row r="106" spans="17:46" ht="14.65" x14ac:dyDescent="0.4">
      <c r="Q106">
        <v>99</v>
      </c>
      <c r="R106" s="73">
        <f t="shared" si="43"/>
        <v>12</v>
      </c>
      <c r="S106" s="72">
        <f t="shared" si="71"/>
        <v>1.32</v>
      </c>
      <c r="T106" s="72">
        <f t="shared" si="45"/>
        <v>7</v>
      </c>
      <c r="U106" s="74">
        <f t="shared" si="72"/>
        <v>2.2628571428571429</v>
      </c>
      <c r="V106" s="73">
        <f t="shared" si="73"/>
        <v>2</v>
      </c>
      <c r="W106" s="72">
        <f t="shared" si="74"/>
        <v>0.63157894736842102</v>
      </c>
      <c r="X106" s="74">
        <f t="shared" si="75"/>
        <v>0.36842105263157898</v>
      </c>
      <c r="Y106" s="73">
        <f t="shared" si="55"/>
        <v>0.76159390724874199</v>
      </c>
      <c r="Z106" s="72">
        <f t="shared" si="56"/>
        <v>4.3444510501058851</v>
      </c>
      <c r="AA106" s="72">
        <f t="shared" si="57"/>
        <v>2.2735122363741072</v>
      </c>
      <c r="AB106" s="72">
        <v>0</v>
      </c>
      <c r="AC106" s="72">
        <f t="shared" si="58"/>
        <v>5.168857888942794E-2</v>
      </c>
      <c r="AD106" s="74">
        <f t="shared" si="59"/>
        <v>5.168857888942794E-2</v>
      </c>
      <c r="AE106" s="73">
        <f t="shared" si="60"/>
        <v>1.8865082706766916</v>
      </c>
      <c r="AF106" s="72">
        <f t="shared" si="61"/>
        <v>2.2735122363741072</v>
      </c>
      <c r="AG106" s="72">
        <f t="shared" si="76"/>
        <v>2.3259860500242577E-2</v>
      </c>
      <c r="AH106" s="72">
        <f t="shared" si="77"/>
        <v>0.77260635463262783</v>
      </c>
      <c r="AI106" s="74">
        <f t="shared" si="62"/>
        <v>0.79586621513287037</v>
      </c>
      <c r="AJ106" s="73">
        <f t="shared" si="63"/>
        <v>1.32</v>
      </c>
      <c r="AK106" s="72">
        <f t="shared" si="64"/>
        <v>2.4095448866585532</v>
      </c>
      <c r="AL106" s="72">
        <f t="shared" si="65"/>
        <v>0.92399999999999993</v>
      </c>
      <c r="AM106" s="72">
        <f t="shared" si="78"/>
        <v>0.42354999999999998</v>
      </c>
      <c r="AN106" s="74">
        <f t="shared" si="66"/>
        <v>1.34755</v>
      </c>
      <c r="AO106" s="73">
        <f t="shared" si="79"/>
        <v>6.2026294667313533E-2</v>
      </c>
      <c r="AP106" s="72">
        <f t="shared" si="54"/>
        <v>0.2467125</v>
      </c>
      <c r="AQ106" s="74">
        <f t="shared" si="67"/>
        <v>3.15E-3</v>
      </c>
      <c r="AR106" s="73">
        <f t="shared" si="68"/>
        <v>2.4553050098001843</v>
      </c>
      <c r="AS106" s="72">
        <f t="shared" si="69"/>
        <v>15.84</v>
      </c>
      <c r="AT106" s="74">
        <f t="shared" si="70"/>
        <v>86.579589635237241</v>
      </c>
    </row>
    <row r="107" spans="17:46" ht="14.65" x14ac:dyDescent="0.4">
      <c r="Q107">
        <v>100</v>
      </c>
      <c r="R107" s="73">
        <f t="shared" si="43"/>
        <v>12</v>
      </c>
      <c r="S107" s="72">
        <f t="shared" si="71"/>
        <v>1.3333333333333335</v>
      </c>
      <c r="T107" s="72">
        <f t="shared" si="45"/>
        <v>7</v>
      </c>
      <c r="U107" s="74">
        <f t="shared" si="72"/>
        <v>2.2857142857142856</v>
      </c>
      <c r="V107" s="73">
        <f t="shared" si="73"/>
        <v>2</v>
      </c>
      <c r="W107" s="72">
        <f t="shared" si="74"/>
        <v>0.63157894736842102</v>
      </c>
      <c r="X107" s="74">
        <f t="shared" si="75"/>
        <v>0.36842105263157898</v>
      </c>
      <c r="Y107" s="73">
        <f t="shared" si="55"/>
        <v>0.76159390724874199</v>
      </c>
      <c r="Z107" s="72">
        <f t="shared" si="56"/>
        <v>4.3806415262963609</v>
      </c>
      <c r="AA107" s="72">
        <f t="shared" si="57"/>
        <v>2.2962633202404223</v>
      </c>
      <c r="AB107" s="72">
        <v>0</v>
      </c>
      <c r="AC107" s="72">
        <f t="shared" si="58"/>
        <v>5.2728252358815689E-2</v>
      </c>
      <c r="AD107" s="74">
        <f t="shared" si="59"/>
        <v>5.2728252358815689E-2</v>
      </c>
      <c r="AE107" s="73">
        <f t="shared" si="60"/>
        <v>1.9248120300751881</v>
      </c>
      <c r="AF107" s="72">
        <f t="shared" si="61"/>
        <v>2.2962633202404223</v>
      </c>
      <c r="AG107" s="72">
        <f t="shared" si="76"/>
        <v>2.3727713561467061E-2</v>
      </c>
      <c r="AH107" s="72">
        <f t="shared" si="77"/>
        <v>0.78041045922487662</v>
      </c>
      <c r="AI107" s="74">
        <f t="shared" si="62"/>
        <v>0.8041381727863437</v>
      </c>
      <c r="AJ107" s="73">
        <f t="shared" si="63"/>
        <v>1.3333333333333335</v>
      </c>
      <c r="AK107" s="72">
        <f t="shared" si="64"/>
        <v>2.4314782629252023</v>
      </c>
      <c r="AL107" s="72">
        <f t="shared" si="65"/>
        <v>0.93333333333333335</v>
      </c>
      <c r="AM107" s="72">
        <f t="shared" si="78"/>
        <v>0.42354999999999998</v>
      </c>
      <c r="AN107" s="74">
        <f t="shared" si="66"/>
        <v>1.3568833333333332</v>
      </c>
      <c r="AO107" s="73">
        <f t="shared" si="79"/>
        <v>6.3273902830578821E-2</v>
      </c>
      <c r="AP107" s="72">
        <f t="shared" si="54"/>
        <v>0.2467125</v>
      </c>
      <c r="AQ107" s="74">
        <f t="shared" si="67"/>
        <v>3.15E-3</v>
      </c>
      <c r="AR107" s="73">
        <f t="shared" si="68"/>
        <v>2.4741579089502559</v>
      </c>
      <c r="AS107" s="72">
        <f t="shared" si="69"/>
        <v>16</v>
      </c>
      <c r="AT107" s="74">
        <f t="shared" si="70"/>
        <v>86.607465838799655</v>
      </c>
    </row>
    <row r="108" spans="17:46" ht="14.65" x14ac:dyDescent="0.4">
      <c r="Q108">
        <v>101</v>
      </c>
      <c r="R108" s="73">
        <f t="shared" si="43"/>
        <v>12</v>
      </c>
      <c r="S108" s="72">
        <f t="shared" si="71"/>
        <v>1.3466666666666667</v>
      </c>
      <c r="T108" s="72">
        <f t="shared" si="45"/>
        <v>7</v>
      </c>
      <c r="U108" s="74">
        <f t="shared" si="72"/>
        <v>2.3085714285714287</v>
      </c>
      <c r="V108" s="73">
        <f t="shared" si="73"/>
        <v>2</v>
      </c>
      <c r="W108" s="72">
        <f t="shared" si="74"/>
        <v>0.63157894736842102</v>
      </c>
      <c r="X108" s="74">
        <f t="shared" si="75"/>
        <v>0.36842105263157898</v>
      </c>
      <c r="Y108" s="73">
        <f t="shared" si="55"/>
        <v>0.76159390724874199</v>
      </c>
      <c r="Z108" s="72">
        <f t="shared" si="56"/>
        <v>4.4168320024868377</v>
      </c>
      <c r="AA108" s="72">
        <f t="shared" si="57"/>
        <v>2.319016489975767</v>
      </c>
      <c r="AB108" s="72">
        <v>0</v>
      </c>
      <c r="AC108" s="72">
        <f t="shared" si="58"/>
        <v>5.3778374807795272E-2</v>
      </c>
      <c r="AD108" s="74">
        <f t="shared" si="59"/>
        <v>5.3778374807795272E-2</v>
      </c>
      <c r="AE108" s="73">
        <f t="shared" si="60"/>
        <v>1.9635007518796994</v>
      </c>
      <c r="AF108" s="72">
        <f t="shared" si="61"/>
        <v>2.319016489975767</v>
      </c>
      <c r="AG108" s="72">
        <f t="shared" si="76"/>
        <v>2.4200268663507874E-2</v>
      </c>
      <c r="AH108" s="72">
        <f t="shared" si="77"/>
        <v>0.7882145638171254</v>
      </c>
      <c r="AI108" s="74">
        <f t="shared" si="62"/>
        <v>0.81241483248063329</v>
      </c>
      <c r="AJ108" s="73">
        <f t="shared" si="63"/>
        <v>1.3466666666666667</v>
      </c>
      <c r="AK108" s="72">
        <f t="shared" si="64"/>
        <v>2.4534122370075155</v>
      </c>
      <c r="AL108" s="72">
        <f t="shared" si="65"/>
        <v>0.94266666666666665</v>
      </c>
      <c r="AM108" s="72">
        <f t="shared" si="78"/>
        <v>0.42354999999999998</v>
      </c>
      <c r="AN108" s="74">
        <f t="shared" si="66"/>
        <v>1.3662166666666666</v>
      </c>
      <c r="AO108" s="73">
        <f t="shared" si="79"/>
        <v>6.4534049769354326E-2</v>
      </c>
      <c r="AP108" s="72">
        <f t="shared" si="54"/>
        <v>0.2467125</v>
      </c>
      <c r="AQ108" s="74">
        <f t="shared" si="67"/>
        <v>3.15E-3</v>
      </c>
      <c r="AR108" s="73">
        <f t="shared" si="68"/>
        <v>2.4930280489166545</v>
      </c>
      <c r="AS108" s="72">
        <f t="shared" si="69"/>
        <v>16.16</v>
      </c>
      <c r="AT108" s="74">
        <f t="shared" si="70"/>
        <v>86.634727389146633</v>
      </c>
    </row>
    <row r="109" spans="17:46" ht="14.65" x14ac:dyDescent="0.4">
      <c r="Q109">
        <v>102</v>
      </c>
      <c r="R109" s="73">
        <f t="shared" si="43"/>
        <v>12</v>
      </c>
      <c r="S109" s="72">
        <f t="shared" si="71"/>
        <v>1.36</v>
      </c>
      <c r="T109" s="72">
        <f t="shared" si="45"/>
        <v>7</v>
      </c>
      <c r="U109" s="74">
        <f t="shared" si="72"/>
        <v>2.3314285714285714</v>
      </c>
      <c r="V109" s="73">
        <f t="shared" si="73"/>
        <v>2</v>
      </c>
      <c r="W109" s="72">
        <f t="shared" si="74"/>
        <v>0.63157894736842102</v>
      </c>
      <c r="X109" s="74">
        <f t="shared" si="75"/>
        <v>0.36842105263157898</v>
      </c>
      <c r="Y109" s="73">
        <f t="shared" si="55"/>
        <v>0.76159390724874199</v>
      </c>
      <c r="Z109" s="72">
        <f t="shared" si="56"/>
        <v>4.4530224786773136</v>
      </c>
      <c r="AA109" s="72">
        <f t="shared" si="57"/>
        <v>2.3417716847798529</v>
      </c>
      <c r="AB109" s="72">
        <v>0</v>
      </c>
      <c r="AC109" s="72">
        <f t="shared" si="58"/>
        <v>5.4838946236366704E-2</v>
      </c>
      <c r="AD109" s="74">
        <f t="shared" si="59"/>
        <v>5.4838946236366704E-2</v>
      </c>
      <c r="AE109" s="73">
        <f t="shared" si="60"/>
        <v>2.0025744360902253</v>
      </c>
      <c r="AF109" s="72">
        <f t="shared" si="61"/>
        <v>2.3417716847798529</v>
      </c>
      <c r="AG109" s="72">
        <f t="shared" si="76"/>
        <v>2.4677525806365022E-2</v>
      </c>
      <c r="AH109" s="72">
        <f t="shared" si="77"/>
        <v>0.79601866840937419</v>
      </c>
      <c r="AI109" s="74">
        <f t="shared" si="62"/>
        <v>0.82069619421573925</v>
      </c>
      <c r="AJ109" s="73">
        <f t="shared" si="63"/>
        <v>1.36</v>
      </c>
      <c r="AK109" s="72">
        <f t="shared" si="64"/>
        <v>2.4753467930138111</v>
      </c>
      <c r="AL109" s="72">
        <f t="shared" si="65"/>
        <v>0.95199999999999996</v>
      </c>
      <c r="AM109" s="72">
        <f t="shared" si="78"/>
        <v>0.42354999999999998</v>
      </c>
      <c r="AN109" s="74">
        <f t="shared" si="66"/>
        <v>1.3755500000000001</v>
      </c>
      <c r="AO109" s="73">
        <f t="shared" si="79"/>
        <v>6.580673548364005E-2</v>
      </c>
      <c r="AP109" s="72">
        <f t="shared" si="54"/>
        <v>0.2467125</v>
      </c>
      <c r="AQ109" s="74">
        <f t="shared" si="67"/>
        <v>3.15E-3</v>
      </c>
      <c r="AR109" s="73">
        <f t="shared" si="68"/>
        <v>2.5119154296993798</v>
      </c>
      <c r="AS109" s="72">
        <f t="shared" si="69"/>
        <v>16.32</v>
      </c>
      <c r="AT109" s="74">
        <f t="shared" si="70"/>
        <v>86.661391725783261</v>
      </c>
    </row>
    <row r="110" spans="17:46" ht="14.65" x14ac:dyDescent="0.4">
      <c r="Q110">
        <v>103</v>
      </c>
      <c r="R110" s="73">
        <f t="shared" si="43"/>
        <v>12</v>
      </c>
      <c r="S110" s="72">
        <f t="shared" si="71"/>
        <v>1.3733333333333335</v>
      </c>
      <c r="T110" s="72">
        <f t="shared" si="45"/>
        <v>7</v>
      </c>
      <c r="U110" s="74">
        <f t="shared" si="72"/>
        <v>2.354285714285715</v>
      </c>
      <c r="V110" s="73">
        <f t="shared" si="73"/>
        <v>2</v>
      </c>
      <c r="W110" s="72">
        <f t="shared" si="74"/>
        <v>0.63157894736842102</v>
      </c>
      <c r="X110" s="74">
        <f t="shared" si="75"/>
        <v>0.36842105263157898</v>
      </c>
      <c r="Y110" s="73">
        <f t="shared" si="55"/>
        <v>0.76159390724874199</v>
      </c>
      <c r="Z110" s="72">
        <f t="shared" si="56"/>
        <v>4.4892129548677904</v>
      </c>
      <c r="AA110" s="72">
        <f t="shared" si="57"/>
        <v>2.3645288461875444</v>
      </c>
      <c r="AB110" s="72">
        <v>0</v>
      </c>
      <c r="AC110" s="72">
        <f t="shared" si="58"/>
        <v>5.5909966644529997E-2</v>
      </c>
      <c r="AD110" s="74">
        <f t="shared" si="59"/>
        <v>5.5909966644529997E-2</v>
      </c>
      <c r="AE110" s="73">
        <f t="shared" si="60"/>
        <v>2.0420330827067676</v>
      </c>
      <c r="AF110" s="72">
        <f t="shared" si="61"/>
        <v>2.3645288461875444</v>
      </c>
      <c r="AG110" s="72">
        <f t="shared" si="76"/>
        <v>2.5159484990038502E-2</v>
      </c>
      <c r="AH110" s="72">
        <f t="shared" si="77"/>
        <v>0.8038227730016233</v>
      </c>
      <c r="AI110" s="74">
        <f t="shared" si="62"/>
        <v>0.82898225799166181</v>
      </c>
      <c r="AJ110" s="73">
        <f t="shared" si="63"/>
        <v>1.3733333333333335</v>
      </c>
      <c r="AK110" s="72">
        <f t="shared" si="64"/>
        <v>2.4972819156103259</v>
      </c>
      <c r="AL110" s="72">
        <f t="shared" si="65"/>
        <v>0.96133333333333337</v>
      </c>
      <c r="AM110" s="72">
        <f t="shared" si="78"/>
        <v>0.42354999999999998</v>
      </c>
      <c r="AN110" s="74">
        <f t="shared" si="66"/>
        <v>1.3848833333333332</v>
      </c>
      <c r="AO110" s="73">
        <f t="shared" si="79"/>
        <v>6.7091959973436005E-2</v>
      </c>
      <c r="AP110" s="72">
        <f t="shared" si="54"/>
        <v>0.2467125</v>
      </c>
      <c r="AQ110" s="74">
        <f t="shared" si="67"/>
        <v>3.15E-3</v>
      </c>
      <c r="AR110" s="73">
        <f t="shared" si="68"/>
        <v>2.5308200512984316</v>
      </c>
      <c r="AS110" s="72">
        <f t="shared" si="69"/>
        <v>16.480000000000004</v>
      </c>
      <c r="AT110" s="74">
        <f t="shared" si="70"/>
        <v>86.687475635089314</v>
      </c>
    </row>
    <row r="111" spans="17:46" ht="14.65" x14ac:dyDescent="0.4">
      <c r="Q111">
        <v>104</v>
      </c>
      <c r="R111" s="73">
        <f t="shared" si="43"/>
        <v>12</v>
      </c>
      <c r="S111" s="72">
        <f t="shared" si="71"/>
        <v>1.3866666666666667</v>
      </c>
      <c r="T111" s="72">
        <f t="shared" si="45"/>
        <v>7</v>
      </c>
      <c r="U111" s="74">
        <f t="shared" si="72"/>
        <v>2.3771428571428572</v>
      </c>
      <c r="V111" s="73">
        <f t="shared" si="73"/>
        <v>2</v>
      </c>
      <c r="W111" s="72">
        <f t="shared" si="74"/>
        <v>0.63157894736842102</v>
      </c>
      <c r="X111" s="74">
        <f t="shared" si="75"/>
        <v>0.36842105263157898</v>
      </c>
      <c r="Y111" s="73">
        <f t="shared" si="55"/>
        <v>0.76159390724874199</v>
      </c>
      <c r="Z111" s="72">
        <f t="shared" si="56"/>
        <v>4.5254034310582663</v>
      </c>
      <c r="AA111" s="72">
        <f t="shared" si="57"/>
        <v>2.3872879179580555</v>
      </c>
      <c r="AB111" s="72">
        <v>0</v>
      </c>
      <c r="AC111" s="72">
        <f t="shared" si="58"/>
        <v>5.6991436032285077E-2</v>
      </c>
      <c r="AD111" s="74">
        <f t="shared" si="59"/>
        <v>5.6991436032285077E-2</v>
      </c>
      <c r="AE111" s="73">
        <f t="shared" si="60"/>
        <v>2.0818766917293234</v>
      </c>
      <c r="AF111" s="72">
        <f t="shared" si="61"/>
        <v>2.3872879179580555</v>
      </c>
      <c r="AG111" s="72">
        <f t="shared" si="76"/>
        <v>2.5646146214528286E-2</v>
      </c>
      <c r="AH111" s="72">
        <f t="shared" si="77"/>
        <v>0.81162687759387175</v>
      </c>
      <c r="AI111" s="74">
        <f t="shared" si="62"/>
        <v>0.83727302380840007</v>
      </c>
      <c r="AJ111" s="73">
        <f t="shared" si="63"/>
        <v>1.3866666666666667</v>
      </c>
      <c r="AK111" s="72">
        <f t="shared" si="64"/>
        <v>2.5192175899969564</v>
      </c>
      <c r="AL111" s="72">
        <f t="shared" si="65"/>
        <v>0.97066666666666668</v>
      </c>
      <c r="AM111" s="72">
        <f t="shared" si="78"/>
        <v>0.42354999999999998</v>
      </c>
      <c r="AN111" s="74">
        <f t="shared" si="66"/>
        <v>1.3942166666666667</v>
      </c>
      <c r="AO111" s="73">
        <f t="shared" si="79"/>
        <v>6.8389723238742095E-2</v>
      </c>
      <c r="AP111" s="72">
        <f t="shared" si="54"/>
        <v>0.2467125</v>
      </c>
      <c r="AQ111" s="74">
        <f t="shared" si="67"/>
        <v>3.15E-3</v>
      </c>
      <c r="AR111" s="73">
        <f t="shared" si="68"/>
        <v>2.5497419137138091</v>
      </c>
      <c r="AS111" s="72">
        <f t="shared" si="69"/>
        <v>16.64</v>
      </c>
      <c r="AT111" s="74">
        <f t="shared" si="70"/>
        <v>86.712995280610556</v>
      </c>
    </row>
    <row r="112" spans="17:46" ht="14.65" x14ac:dyDescent="0.4">
      <c r="Q112">
        <v>105</v>
      </c>
      <c r="R112" s="73">
        <f t="shared" si="43"/>
        <v>12</v>
      </c>
      <c r="S112" s="72">
        <f t="shared" si="71"/>
        <v>1.4000000000000001</v>
      </c>
      <c r="T112" s="72">
        <f t="shared" si="45"/>
        <v>7</v>
      </c>
      <c r="U112" s="74">
        <f t="shared" si="72"/>
        <v>2.4</v>
      </c>
      <c r="V112" s="73">
        <f t="shared" si="73"/>
        <v>2</v>
      </c>
      <c r="W112" s="72">
        <f t="shared" si="74"/>
        <v>0.63157894736842102</v>
      </c>
      <c r="X112" s="74">
        <f t="shared" si="75"/>
        <v>0.36842105263157898</v>
      </c>
      <c r="Y112" s="73">
        <f t="shared" si="55"/>
        <v>0.76159390724874199</v>
      </c>
      <c r="Z112" s="72">
        <f t="shared" si="56"/>
        <v>4.5615939072487421</v>
      </c>
      <c r="AA112" s="72">
        <f t="shared" si="57"/>
        <v>2.4100488459703882</v>
      </c>
      <c r="AB112" s="72">
        <v>0</v>
      </c>
      <c r="AC112" s="72">
        <f t="shared" si="58"/>
        <v>5.8083354399631998E-2</v>
      </c>
      <c r="AD112" s="74">
        <f t="shared" si="59"/>
        <v>5.8083354399631998E-2</v>
      </c>
      <c r="AE112" s="73">
        <f t="shared" si="60"/>
        <v>2.1221052631578949</v>
      </c>
      <c r="AF112" s="72">
        <f t="shared" si="61"/>
        <v>2.4100488459703882</v>
      </c>
      <c r="AG112" s="72">
        <f t="shared" si="76"/>
        <v>2.6137509479834401E-2</v>
      </c>
      <c r="AH112" s="72">
        <f t="shared" si="77"/>
        <v>0.81943098218612054</v>
      </c>
      <c r="AI112" s="74">
        <f t="shared" si="62"/>
        <v>0.84556849166595494</v>
      </c>
      <c r="AJ112" s="73">
        <f t="shared" si="63"/>
        <v>1.4000000000000001</v>
      </c>
      <c r="AK112" s="72">
        <f t="shared" si="64"/>
        <v>2.5411538018842643</v>
      </c>
      <c r="AL112" s="72">
        <f t="shared" si="65"/>
        <v>0.98</v>
      </c>
      <c r="AM112" s="72">
        <f t="shared" si="78"/>
        <v>0.42354999999999998</v>
      </c>
      <c r="AN112" s="74">
        <f t="shared" si="66"/>
        <v>1.4035500000000001</v>
      </c>
      <c r="AO112" s="73">
        <f t="shared" si="79"/>
        <v>6.9700025279558403E-2</v>
      </c>
      <c r="AP112" s="72">
        <f t="shared" si="54"/>
        <v>0.2467125</v>
      </c>
      <c r="AQ112" s="74">
        <f t="shared" si="67"/>
        <v>3.15E-3</v>
      </c>
      <c r="AR112" s="73">
        <f t="shared" si="68"/>
        <v>2.5686810169455137</v>
      </c>
      <c r="AS112" s="72">
        <f t="shared" si="69"/>
        <v>16.8</v>
      </c>
      <c r="AT112" s="74">
        <f t="shared" si="70"/>
        <v>86.73796623167992</v>
      </c>
    </row>
    <row r="113" spans="17:46" ht="14.65" x14ac:dyDescent="0.4">
      <c r="Q113">
        <v>106</v>
      </c>
      <c r="R113" s="73">
        <f t="shared" si="43"/>
        <v>12</v>
      </c>
      <c r="S113" s="72">
        <f t="shared" si="71"/>
        <v>1.4133333333333333</v>
      </c>
      <c r="T113" s="72">
        <f t="shared" si="45"/>
        <v>7</v>
      </c>
      <c r="U113" s="74">
        <f t="shared" si="72"/>
        <v>2.422857142857143</v>
      </c>
      <c r="V113" s="73">
        <f t="shared" si="73"/>
        <v>2</v>
      </c>
      <c r="W113" s="72">
        <f t="shared" si="74"/>
        <v>0.63157894736842102</v>
      </c>
      <c r="X113" s="74">
        <f t="shared" si="75"/>
        <v>0.36842105263157898</v>
      </c>
      <c r="Y113" s="73">
        <f t="shared" si="55"/>
        <v>0.76159390724874199</v>
      </c>
      <c r="Z113" s="72">
        <f t="shared" si="56"/>
        <v>4.5977843834392189</v>
      </c>
      <c r="AA113" s="72">
        <f t="shared" si="57"/>
        <v>2.4328115781245945</v>
      </c>
      <c r="AB113" s="72">
        <v>0</v>
      </c>
      <c r="AC113" s="72">
        <f t="shared" si="58"/>
        <v>5.9185721746570802E-2</v>
      </c>
      <c r="AD113" s="74">
        <f t="shared" si="59"/>
        <v>5.9185721746570802E-2</v>
      </c>
      <c r="AE113" s="73">
        <f t="shared" si="60"/>
        <v>2.1627187969924813</v>
      </c>
      <c r="AF113" s="72">
        <f t="shared" si="61"/>
        <v>2.4328115781245945</v>
      </c>
      <c r="AG113" s="72">
        <f t="shared" si="76"/>
        <v>2.6633574785956862E-2</v>
      </c>
      <c r="AH113" s="72">
        <f t="shared" si="77"/>
        <v>0.82723508677836932</v>
      </c>
      <c r="AI113" s="74">
        <f t="shared" si="62"/>
        <v>0.85386866156432617</v>
      </c>
      <c r="AJ113" s="73">
        <f t="shared" si="63"/>
        <v>1.4133333333333333</v>
      </c>
      <c r="AK113" s="72">
        <f t="shared" si="64"/>
        <v>2.5630905374716497</v>
      </c>
      <c r="AL113" s="72">
        <f t="shared" si="65"/>
        <v>0.98933333333333329</v>
      </c>
      <c r="AM113" s="72">
        <f t="shared" si="78"/>
        <v>0.42354999999999998</v>
      </c>
      <c r="AN113" s="74">
        <f t="shared" si="66"/>
        <v>1.4128833333333333</v>
      </c>
      <c r="AO113" s="73">
        <f t="shared" si="79"/>
        <v>7.1022866095884957E-2</v>
      </c>
      <c r="AP113" s="72">
        <f t="shared" si="54"/>
        <v>0.2467125</v>
      </c>
      <c r="AQ113" s="74">
        <f t="shared" si="67"/>
        <v>3.15E-3</v>
      </c>
      <c r="AR113" s="73">
        <f t="shared" si="68"/>
        <v>2.5876373609935448</v>
      </c>
      <c r="AS113" s="72">
        <f t="shared" si="69"/>
        <v>16.96</v>
      </c>
      <c r="AT113" s="74">
        <f t="shared" si="70"/>
        <v>86.762403490474711</v>
      </c>
    </row>
    <row r="114" spans="17:46" ht="14.65" x14ac:dyDescent="0.4">
      <c r="Q114">
        <v>107</v>
      </c>
      <c r="R114" s="73">
        <f t="shared" si="43"/>
        <v>12</v>
      </c>
      <c r="S114" s="72">
        <f t="shared" si="71"/>
        <v>1.4266666666666667</v>
      </c>
      <c r="T114" s="72">
        <f t="shared" si="45"/>
        <v>7</v>
      </c>
      <c r="U114" s="74">
        <f t="shared" si="72"/>
        <v>2.4457142857142857</v>
      </c>
      <c r="V114" s="73">
        <f t="shared" si="73"/>
        <v>2</v>
      </c>
      <c r="W114" s="72">
        <f t="shared" si="74"/>
        <v>0.63157894736842102</v>
      </c>
      <c r="X114" s="74">
        <f t="shared" si="75"/>
        <v>0.36842105263157898</v>
      </c>
      <c r="Y114" s="73">
        <f t="shared" si="55"/>
        <v>0.76159390724874199</v>
      </c>
      <c r="Z114" s="72">
        <f t="shared" si="56"/>
        <v>4.6339748596296948</v>
      </c>
      <c r="AA114" s="72">
        <f t="shared" si="57"/>
        <v>2.4555760642484974</v>
      </c>
      <c r="AB114" s="72">
        <v>0</v>
      </c>
      <c r="AC114" s="72">
        <f t="shared" si="58"/>
        <v>6.0298538073101406E-2</v>
      </c>
      <c r="AD114" s="74">
        <f t="shared" si="59"/>
        <v>6.0298538073101406E-2</v>
      </c>
      <c r="AE114" s="73">
        <f t="shared" si="60"/>
        <v>2.2037172932330824</v>
      </c>
      <c r="AF114" s="72">
        <f t="shared" si="61"/>
        <v>2.4555760642484974</v>
      </c>
      <c r="AG114" s="72">
        <f t="shared" si="76"/>
        <v>2.7134342132895638E-2</v>
      </c>
      <c r="AH114" s="72">
        <f t="shared" si="77"/>
        <v>0.83503919137061811</v>
      </c>
      <c r="AI114" s="74">
        <f t="shared" si="62"/>
        <v>0.86217353350351378</v>
      </c>
      <c r="AJ114" s="73">
        <f t="shared" si="63"/>
        <v>1.4266666666666667</v>
      </c>
      <c r="AK114" s="72">
        <f t="shared" si="64"/>
        <v>2.5850277834266393</v>
      </c>
      <c r="AL114" s="72">
        <f t="shared" si="65"/>
        <v>0.9986666666666667</v>
      </c>
      <c r="AM114" s="72">
        <f t="shared" si="78"/>
        <v>0.42354999999999998</v>
      </c>
      <c r="AN114" s="74">
        <f t="shared" si="66"/>
        <v>1.4222166666666667</v>
      </c>
      <c r="AO114" s="73">
        <f t="shared" si="79"/>
        <v>7.2358245687721687E-2</v>
      </c>
      <c r="AP114" s="72">
        <f t="shared" si="54"/>
        <v>0.2467125</v>
      </c>
      <c r="AQ114" s="74">
        <f t="shared" si="67"/>
        <v>3.15E-3</v>
      </c>
      <c r="AR114" s="73">
        <f t="shared" si="68"/>
        <v>2.6066109458579025</v>
      </c>
      <c r="AS114" s="72">
        <f t="shared" si="69"/>
        <v>17.12</v>
      </c>
      <c r="AT114" s="74">
        <f t="shared" si="70"/>
        <v>86.786321517608556</v>
      </c>
    </row>
    <row r="115" spans="17:46" ht="14.65" x14ac:dyDescent="0.4">
      <c r="Q115">
        <v>108</v>
      </c>
      <c r="R115" s="73">
        <f t="shared" si="43"/>
        <v>12</v>
      </c>
      <c r="S115" s="72">
        <f t="shared" si="71"/>
        <v>1.4400000000000002</v>
      </c>
      <c r="T115" s="72">
        <f t="shared" si="45"/>
        <v>7</v>
      </c>
      <c r="U115" s="74">
        <f t="shared" si="72"/>
        <v>2.4685714285714289</v>
      </c>
      <c r="V115" s="73">
        <f t="shared" si="73"/>
        <v>2</v>
      </c>
      <c r="W115" s="72">
        <f t="shared" si="74"/>
        <v>0.63157894736842102</v>
      </c>
      <c r="X115" s="74">
        <f t="shared" si="75"/>
        <v>0.36842105263157898</v>
      </c>
      <c r="Y115" s="73">
        <f t="shared" si="55"/>
        <v>0.76159390724874199</v>
      </c>
      <c r="Z115" s="72">
        <f t="shared" si="56"/>
        <v>4.6701653358201716</v>
      </c>
      <c r="AA115" s="72">
        <f t="shared" si="57"/>
        <v>2.4783422560095256</v>
      </c>
      <c r="AB115" s="72">
        <v>0</v>
      </c>
      <c r="AC115" s="72">
        <f t="shared" si="58"/>
        <v>6.1421803379223851E-2</v>
      </c>
      <c r="AD115" s="74">
        <f t="shared" si="59"/>
        <v>6.1421803379223851E-2</v>
      </c>
      <c r="AE115" s="73">
        <f t="shared" si="60"/>
        <v>2.2451007518796997</v>
      </c>
      <c r="AF115" s="72">
        <f t="shared" si="61"/>
        <v>2.4783422560095256</v>
      </c>
      <c r="AG115" s="72">
        <f t="shared" si="76"/>
        <v>2.7639811520650735E-2</v>
      </c>
      <c r="AH115" s="72">
        <f t="shared" si="77"/>
        <v>0.842843295962867</v>
      </c>
      <c r="AI115" s="74">
        <f t="shared" si="62"/>
        <v>0.87048310748351776</v>
      </c>
      <c r="AJ115" s="73">
        <f t="shared" si="63"/>
        <v>1.4400000000000002</v>
      </c>
      <c r="AK115" s="72">
        <f t="shared" si="64"/>
        <v>2.6069655268652214</v>
      </c>
      <c r="AL115" s="72">
        <f t="shared" si="65"/>
        <v>1.008</v>
      </c>
      <c r="AM115" s="72">
        <f t="shared" si="78"/>
        <v>0.42354999999999998</v>
      </c>
      <c r="AN115" s="74">
        <f t="shared" si="66"/>
        <v>1.4315500000000001</v>
      </c>
      <c r="AO115" s="73">
        <f t="shared" si="79"/>
        <v>7.3706164055068621E-2</v>
      </c>
      <c r="AP115" s="72">
        <f t="shared" si="54"/>
        <v>0.2467125</v>
      </c>
      <c r="AQ115" s="74">
        <f t="shared" si="67"/>
        <v>3.15E-3</v>
      </c>
      <c r="AR115" s="73">
        <f t="shared" si="68"/>
        <v>2.6256017715385869</v>
      </c>
      <c r="AS115" s="72">
        <f t="shared" si="69"/>
        <v>17.28</v>
      </c>
      <c r="AT115" s="74">
        <f t="shared" si="70"/>
        <v>86.809734256350282</v>
      </c>
    </row>
    <row r="116" spans="17:46" ht="14.65" x14ac:dyDescent="0.4">
      <c r="Q116">
        <v>109</v>
      </c>
      <c r="R116" s="73">
        <f t="shared" si="43"/>
        <v>12</v>
      </c>
      <c r="S116" s="72">
        <f t="shared" si="71"/>
        <v>1.4533333333333334</v>
      </c>
      <c r="T116" s="72">
        <f t="shared" si="45"/>
        <v>7</v>
      </c>
      <c r="U116" s="74">
        <f t="shared" si="72"/>
        <v>2.4914285714285715</v>
      </c>
      <c r="V116" s="73">
        <f t="shared" si="73"/>
        <v>2</v>
      </c>
      <c r="W116" s="72">
        <f t="shared" si="74"/>
        <v>0.63157894736842102</v>
      </c>
      <c r="X116" s="74">
        <f t="shared" si="75"/>
        <v>0.36842105263157898</v>
      </c>
      <c r="Y116" s="73">
        <f t="shared" si="55"/>
        <v>0.76159390724874199</v>
      </c>
      <c r="Z116" s="72">
        <f t="shared" si="56"/>
        <v>4.7063558120106475</v>
      </c>
      <c r="AA116" s="72">
        <f t="shared" si="57"/>
        <v>2.5011101068313275</v>
      </c>
      <c r="AB116" s="72">
        <v>0</v>
      </c>
      <c r="AC116" s="72">
        <f t="shared" si="58"/>
        <v>6.2555517664938151E-2</v>
      </c>
      <c r="AD116" s="74">
        <f t="shared" si="59"/>
        <v>6.2555517664938151E-2</v>
      </c>
      <c r="AE116" s="73">
        <f t="shared" si="60"/>
        <v>2.2868691729323309</v>
      </c>
      <c r="AF116" s="72">
        <f t="shared" si="61"/>
        <v>2.5011101068313275</v>
      </c>
      <c r="AG116" s="72">
        <f t="shared" si="76"/>
        <v>2.814998294922217E-2</v>
      </c>
      <c r="AH116" s="72">
        <f t="shared" si="77"/>
        <v>0.85064740055511567</v>
      </c>
      <c r="AI116" s="74">
        <f t="shared" si="62"/>
        <v>0.87879738350433789</v>
      </c>
      <c r="AJ116" s="73">
        <f t="shared" si="63"/>
        <v>1.4533333333333334</v>
      </c>
      <c r="AK116" s="72">
        <f t="shared" si="64"/>
        <v>2.6289037553331531</v>
      </c>
      <c r="AL116" s="72">
        <f t="shared" si="65"/>
        <v>1.0173333333333332</v>
      </c>
      <c r="AM116" s="72">
        <f t="shared" si="78"/>
        <v>0.42354999999999998</v>
      </c>
      <c r="AN116" s="74">
        <f t="shared" si="66"/>
        <v>1.4408833333333333</v>
      </c>
      <c r="AO116" s="73">
        <f t="shared" si="79"/>
        <v>7.5066621197925773E-2</v>
      </c>
      <c r="AP116" s="72">
        <f t="shared" si="54"/>
        <v>0.2467125</v>
      </c>
      <c r="AQ116" s="74">
        <f t="shared" si="67"/>
        <v>3.15E-3</v>
      </c>
      <c r="AR116" s="73">
        <f t="shared" si="68"/>
        <v>2.6446098380355973</v>
      </c>
      <c r="AS116" s="72">
        <f t="shared" si="69"/>
        <v>17.440000000000001</v>
      </c>
      <c r="AT116" s="74">
        <f t="shared" si="70"/>
        <v>86.832655155554392</v>
      </c>
    </row>
    <row r="117" spans="17:46" ht="14.65" x14ac:dyDescent="0.4">
      <c r="Q117">
        <v>110</v>
      </c>
      <c r="R117" s="73">
        <f t="shared" si="43"/>
        <v>12</v>
      </c>
      <c r="S117" s="72">
        <f t="shared" si="71"/>
        <v>1.4666666666666668</v>
      </c>
      <c r="T117" s="72">
        <f t="shared" si="45"/>
        <v>7</v>
      </c>
      <c r="U117" s="74">
        <f t="shared" si="72"/>
        <v>2.5142857142857147</v>
      </c>
      <c r="V117" s="73">
        <f t="shared" si="73"/>
        <v>2</v>
      </c>
      <c r="W117" s="72">
        <f t="shared" si="74"/>
        <v>0.63157894736842102</v>
      </c>
      <c r="X117" s="74">
        <f t="shared" si="75"/>
        <v>0.36842105263157898</v>
      </c>
      <c r="Y117" s="73">
        <f t="shared" si="55"/>
        <v>0.76159390724874199</v>
      </c>
      <c r="Z117" s="72">
        <f t="shared" si="56"/>
        <v>4.7425462882011233</v>
      </c>
      <c r="AA117" s="72">
        <f t="shared" si="57"/>
        <v>2.5238795718148732</v>
      </c>
      <c r="AB117" s="72">
        <v>0</v>
      </c>
      <c r="AC117" s="72">
        <f t="shared" si="58"/>
        <v>6.3699680930244279E-2</v>
      </c>
      <c r="AD117" s="74">
        <f t="shared" si="59"/>
        <v>6.3699680930244279E-2</v>
      </c>
      <c r="AE117" s="73">
        <f t="shared" si="60"/>
        <v>2.3290225563909779</v>
      </c>
      <c r="AF117" s="72">
        <f t="shared" si="61"/>
        <v>2.5238795718148732</v>
      </c>
      <c r="AG117" s="72">
        <f t="shared" si="76"/>
        <v>2.8664856418609927E-2</v>
      </c>
      <c r="AH117" s="72">
        <f t="shared" si="77"/>
        <v>0.85845150514736446</v>
      </c>
      <c r="AI117" s="74">
        <f t="shared" si="62"/>
        <v>0.8871163615659744</v>
      </c>
      <c r="AJ117" s="73">
        <f t="shared" si="63"/>
        <v>1.4666666666666668</v>
      </c>
      <c r="AK117" s="72">
        <f t="shared" si="64"/>
        <v>2.650842456788205</v>
      </c>
      <c r="AL117" s="72">
        <f t="shared" si="65"/>
        <v>1.0266666666666666</v>
      </c>
      <c r="AM117" s="72">
        <f t="shared" si="78"/>
        <v>0.42354999999999998</v>
      </c>
      <c r="AN117" s="74">
        <f t="shared" si="66"/>
        <v>1.4502166666666665</v>
      </c>
      <c r="AO117" s="73">
        <f t="shared" si="79"/>
        <v>7.6439617116293129E-2</v>
      </c>
      <c r="AP117" s="72">
        <f t="shared" si="54"/>
        <v>0.2467125</v>
      </c>
      <c r="AQ117" s="74">
        <f t="shared" si="67"/>
        <v>3.15E-3</v>
      </c>
      <c r="AR117" s="73">
        <f t="shared" si="68"/>
        <v>2.6636351453489344</v>
      </c>
      <c r="AS117" s="72">
        <f t="shared" si="69"/>
        <v>17.600000000000001</v>
      </c>
      <c r="AT117" s="74">
        <f t="shared" si="70"/>
        <v>86.855097191382697</v>
      </c>
    </row>
    <row r="118" spans="17:46" ht="14.65" x14ac:dyDescent="0.4">
      <c r="Q118">
        <v>111</v>
      </c>
      <c r="R118" s="73">
        <f t="shared" si="43"/>
        <v>12</v>
      </c>
      <c r="S118" s="72">
        <f t="shared" si="71"/>
        <v>1.4800000000000002</v>
      </c>
      <c r="T118" s="72">
        <f t="shared" si="45"/>
        <v>7</v>
      </c>
      <c r="U118" s="74">
        <f t="shared" si="72"/>
        <v>2.5371428571428574</v>
      </c>
      <c r="V118" s="73">
        <f t="shared" si="73"/>
        <v>2</v>
      </c>
      <c r="W118" s="72">
        <f t="shared" si="74"/>
        <v>0.63157894736842102</v>
      </c>
      <c r="X118" s="74">
        <f t="shared" si="75"/>
        <v>0.36842105263157898</v>
      </c>
      <c r="Y118" s="73">
        <f t="shared" si="55"/>
        <v>0.76159390724874199</v>
      </c>
      <c r="Z118" s="72">
        <f t="shared" si="56"/>
        <v>4.7787367643916001</v>
      </c>
      <c r="AA118" s="72">
        <f t="shared" si="57"/>
        <v>2.5466506076637647</v>
      </c>
      <c r="AB118" s="72">
        <v>0</v>
      </c>
      <c r="AC118" s="72">
        <f t="shared" si="58"/>
        <v>6.4854293175142214E-2</v>
      </c>
      <c r="AD118" s="74">
        <f t="shared" si="59"/>
        <v>6.4854293175142214E-2</v>
      </c>
      <c r="AE118" s="73">
        <f t="shared" si="60"/>
        <v>2.3715609022556392</v>
      </c>
      <c r="AF118" s="72">
        <f t="shared" si="61"/>
        <v>2.5466506076637647</v>
      </c>
      <c r="AG118" s="72">
        <f t="shared" si="76"/>
        <v>2.9184431928814002E-2</v>
      </c>
      <c r="AH118" s="72">
        <f t="shared" si="77"/>
        <v>0.86625560973961324</v>
      </c>
      <c r="AI118" s="74">
        <f t="shared" si="62"/>
        <v>0.89544004166842728</v>
      </c>
      <c r="AJ118" s="73">
        <f t="shared" si="63"/>
        <v>1.4800000000000002</v>
      </c>
      <c r="AK118" s="72">
        <f t="shared" si="64"/>
        <v>2.6727816195832728</v>
      </c>
      <c r="AL118" s="72">
        <f t="shared" si="65"/>
        <v>1.036</v>
      </c>
      <c r="AM118" s="72">
        <f t="shared" si="78"/>
        <v>0.42354999999999998</v>
      </c>
      <c r="AN118" s="74">
        <f t="shared" si="66"/>
        <v>1.4595500000000001</v>
      </c>
      <c r="AO118" s="73">
        <f t="shared" si="79"/>
        <v>7.7825151810170662E-2</v>
      </c>
      <c r="AP118" s="72">
        <f t="shared" si="54"/>
        <v>0.2467125</v>
      </c>
      <c r="AQ118" s="74">
        <f t="shared" si="67"/>
        <v>3.15E-3</v>
      </c>
      <c r="AR118" s="73">
        <f t="shared" si="68"/>
        <v>2.6826776934785985</v>
      </c>
      <c r="AS118" s="72">
        <f t="shared" si="69"/>
        <v>17.760000000000002</v>
      </c>
      <c r="AT118" s="74">
        <f t="shared" si="70"/>
        <v>86.877072887890819</v>
      </c>
    </row>
    <row r="119" spans="17:46" ht="14.65" x14ac:dyDescent="0.4">
      <c r="Q119">
        <v>112</v>
      </c>
      <c r="R119" s="73">
        <f t="shared" si="43"/>
        <v>12</v>
      </c>
      <c r="S119" s="72">
        <f t="shared" si="71"/>
        <v>1.4933333333333334</v>
      </c>
      <c r="T119" s="72">
        <f t="shared" si="45"/>
        <v>7</v>
      </c>
      <c r="U119" s="74">
        <f t="shared" si="72"/>
        <v>2.56</v>
      </c>
      <c r="V119" s="73">
        <f t="shared" si="73"/>
        <v>2</v>
      </c>
      <c r="W119" s="72">
        <f t="shared" si="74"/>
        <v>0.63157894736842102</v>
      </c>
      <c r="X119" s="74">
        <f t="shared" si="75"/>
        <v>0.36842105263157898</v>
      </c>
      <c r="Y119" s="73">
        <f t="shared" si="55"/>
        <v>0.76159390724874199</v>
      </c>
      <c r="Z119" s="72">
        <f t="shared" si="56"/>
        <v>4.814927240582076</v>
      </c>
      <c r="AA119" s="72">
        <f t="shared" si="57"/>
        <v>2.5694231726134955</v>
      </c>
      <c r="AB119" s="72">
        <v>0</v>
      </c>
      <c r="AC119" s="72">
        <f t="shared" si="58"/>
        <v>6.601935439963201E-2</v>
      </c>
      <c r="AD119" s="74">
        <f t="shared" si="59"/>
        <v>6.601935439963201E-2</v>
      </c>
      <c r="AE119" s="73">
        <f t="shared" si="60"/>
        <v>2.4144842105263158</v>
      </c>
      <c r="AF119" s="72">
        <f t="shared" si="61"/>
        <v>2.5694231726134955</v>
      </c>
      <c r="AG119" s="72">
        <f t="shared" si="76"/>
        <v>2.9708709479834408E-2</v>
      </c>
      <c r="AH119" s="72">
        <f t="shared" si="77"/>
        <v>0.87405971433186191</v>
      </c>
      <c r="AI119" s="74">
        <f t="shared" si="62"/>
        <v>0.90376842381169631</v>
      </c>
      <c r="AJ119" s="73">
        <f t="shared" si="63"/>
        <v>1.4933333333333334</v>
      </c>
      <c r="AK119" s="72">
        <f t="shared" si="64"/>
        <v>2.6947212324503091</v>
      </c>
      <c r="AL119" s="72">
        <f t="shared" si="65"/>
        <v>1.0453333333333332</v>
      </c>
      <c r="AM119" s="72">
        <f t="shared" si="78"/>
        <v>0.42354999999999998</v>
      </c>
      <c r="AN119" s="74">
        <f t="shared" si="66"/>
        <v>1.4688833333333333</v>
      </c>
      <c r="AO119" s="73">
        <f t="shared" si="79"/>
        <v>7.9223225279558412E-2</v>
      </c>
      <c r="AP119" s="72">
        <f t="shared" si="54"/>
        <v>0.2467125</v>
      </c>
      <c r="AQ119" s="74">
        <f t="shared" si="67"/>
        <v>3.15E-3</v>
      </c>
      <c r="AR119" s="73">
        <f t="shared" si="68"/>
        <v>2.7017374824245883</v>
      </c>
      <c r="AS119" s="72">
        <f t="shared" si="69"/>
        <v>17.920000000000002</v>
      </c>
      <c r="AT119" s="74">
        <f t="shared" si="70"/>
        <v>86.898594336547959</v>
      </c>
    </row>
    <row r="120" spans="17:46" ht="14.65" x14ac:dyDescent="0.4">
      <c r="Q120">
        <v>113</v>
      </c>
      <c r="R120" s="73">
        <f t="shared" si="43"/>
        <v>12</v>
      </c>
      <c r="S120" s="72">
        <f t="shared" si="71"/>
        <v>1.5066666666666668</v>
      </c>
      <c r="T120" s="72">
        <f t="shared" si="45"/>
        <v>7</v>
      </c>
      <c r="U120" s="74">
        <f t="shared" si="72"/>
        <v>2.5828571428571432</v>
      </c>
      <c r="V120" s="73">
        <f t="shared" si="73"/>
        <v>2</v>
      </c>
      <c r="W120" s="72">
        <f t="shared" si="74"/>
        <v>0.63157894736842102</v>
      </c>
      <c r="X120" s="74">
        <f t="shared" si="75"/>
        <v>0.36842105263157898</v>
      </c>
      <c r="Y120" s="73">
        <f t="shared" si="55"/>
        <v>0.76159390724874199</v>
      </c>
      <c r="Z120" s="72">
        <f t="shared" si="56"/>
        <v>4.8511177167725519</v>
      </c>
      <c r="AA120" s="72">
        <f t="shared" si="57"/>
        <v>2.5921972263644149</v>
      </c>
      <c r="AB120" s="72">
        <v>0</v>
      </c>
      <c r="AC120" s="72">
        <f t="shared" si="58"/>
        <v>6.7194864603713655E-2</v>
      </c>
      <c r="AD120" s="74">
        <f t="shared" si="59"/>
        <v>6.7194864603713655E-2</v>
      </c>
      <c r="AE120" s="73">
        <f t="shared" si="60"/>
        <v>2.4577924812030081</v>
      </c>
      <c r="AF120" s="72">
        <f t="shared" si="61"/>
        <v>2.5921972263644149</v>
      </c>
      <c r="AG120" s="72">
        <f t="shared" si="76"/>
        <v>3.023768907167115E-2</v>
      </c>
      <c r="AH120" s="72">
        <f t="shared" si="77"/>
        <v>0.88186381892411081</v>
      </c>
      <c r="AI120" s="74">
        <f t="shared" si="62"/>
        <v>0.91210150799578193</v>
      </c>
      <c r="AJ120" s="73">
        <f t="shared" si="63"/>
        <v>1.5066666666666668</v>
      </c>
      <c r="AK120" s="72">
        <f t="shared" si="64"/>
        <v>2.7166612844850433</v>
      </c>
      <c r="AL120" s="72">
        <f t="shared" si="65"/>
        <v>1.0546666666666666</v>
      </c>
      <c r="AM120" s="72">
        <f t="shared" si="78"/>
        <v>0.42354999999999998</v>
      </c>
      <c r="AN120" s="74">
        <f t="shared" si="66"/>
        <v>1.4782166666666665</v>
      </c>
      <c r="AO120" s="73">
        <f t="shared" si="79"/>
        <v>8.0633837524456395E-2</v>
      </c>
      <c r="AP120" s="72">
        <f t="shared" si="54"/>
        <v>0.2467125</v>
      </c>
      <c r="AQ120" s="74">
        <f t="shared" si="67"/>
        <v>3.15E-3</v>
      </c>
      <c r="AR120" s="73">
        <f t="shared" si="68"/>
        <v>2.7208145121869052</v>
      </c>
      <c r="AS120" s="72">
        <f t="shared" si="69"/>
        <v>18.080000000000002</v>
      </c>
      <c r="AT120" s="74">
        <f t="shared" si="70"/>
        <v>86.919673214754084</v>
      </c>
    </row>
    <row r="121" spans="17:46" ht="14.65" x14ac:dyDescent="0.4">
      <c r="Q121">
        <v>114</v>
      </c>
      <c r="R121" s="73">
        <f t="shared" si="43"/>
        <v>12</v>
      </c>
      <c r="S121" s="72">
        <f t="shared" si="71"/>
        <v>1.52</v>
      </c>
      <c r="T121" s="72">
        <f t="shared" si="45"/>
        <v>7</v>
      </c>
      <c r="U121" s="74">
        <f t="shared" si="72"/>
        <v>2.6057142857142859</v>
      </c>
      <c r="V121" s="73">
        <f t="shared" si="73"/>
        <v>2</v>
      </c>
      <c r="W121" s="72">
        <f t="shared" si="74"/>
        <v>0.63157894736842102</v>
      </c>
      <c r="X121" s="74">
        <f t="shared" si="75"/>
        <v>0.36842105263157898</v>
      </c>
      <c r="Y121" s="73">
        <f t="shared" si="55"/>
        <v>0.76159390724874199</v>
      </c>
      <c r="Z121" s="72">
        <f t="shared" si="56"/>
        <v>4.8873081929630287</v>
      </c>
      <c r="AA121" s="72">
        <f t="shared" si="57"/>
        <v>2.614972730018176</v>
      </c>
      <c r="AB121" s="72">
        <v>0</v>
      </c>
      <c r="AC121" s="72">
        <f t="shared" si="58"/>
        <v>6.8380823787387121E-2</v>
      </c>
      <c r="AD121" s="74">
        <f t="shared" si="59"/>
        <v>6.8380823787387121E-2</v>
      </c>
      <c r="AE121" s="73">
        <f t="shared" si="60"/>
        <v>2.5014857142857143</v>
      </c>
      <c r="AF121" s="72">
        <f t="shared" si="61"/>
        <v>2.614972730018176</v>
      </c>
      <c r="AG121" s="72">
        <f t="shared" si="76"/>
        <v>3.0771370704324209E-2</v>
      </c>
      <c r="AH121" s="72">
        <f t="shared" si="77"/>
        <v>0.88966792351635959</v>
      </c>
      <c r="AI121" s="74">
        <f t="shared" si="62"/>
        <v>0.92043929422068382</v>
      </c>
      <c r="AJ121" s="73">
        <f t="shared" si="63"/>
        <v>1.52</v>
      </c>
      <c r="AK121" s="72">
        <f t="shared" si="64"/>
        <v>2.7386017651324224</v>
      </c>
      <c r="AL121" s="72">
        <f t="shared" si="65"/>
        <v>1.0639999999999998</v>
      </c>
      <c r="AM121" s="72">
        <f t="shared" si="78"/>
        <v>0.42354999999999998</v>
      </c>
      <c r="AN121" s="74">
        <f t="shared" si="66"/>
        <v>1.4875499999999997</v>
      </c>
      <c r="AO121" s="73">
        <f t="shared" si="79"/>
        <v>8.2056988544864554E-2</v>
      </c>
      <c r="AP121" s="72">
        <f t="shared" si="54"/>
        <v>0.2467125</v>
      </c>
      <c r="AQ121" s="74">
        <f t="shared" si="67"/>
        <v>3.15E-3</v>
      </c>
      <c r="AR121" s="73">
        <f t="shared" si="68"/>
        <v>2.7399087827655486</v>
      </c>
      <c r="AS121" s="72">
        <f t="shared" si="69"/>
        <v>18.240000000000002</v>
      </c>
      <c r="AT121" s="74">
        <f t="shared" si="70"/>
        <v>86.940320803414011</v>
      </c>
    </row>
    <row r="122" spans="17:46" ht="14.65" x14ac:dyDescent="0.4">
      <c r="Q122">
        <v>115</v>
      </c>
      <c r="R122" s="73">
        <f t="shared" si="43"/>
        <v>12</v>
      </c>
      <c r="S122" s="72">
        <f t="shared" si="71"/>
        <v>1.5333333333333334</v>
      </c>
      <c r="T122" s="72">
        <f t="shared" si="45"/>
        <v>7</v>
      </c>
      <c r="U122" s="74">
        <f t="shared" si="72"/>
        <v>2.628571428571429</v>
      </c>
      <c r="V122" s="73">
        <f t="shared" si="73"/>
        <v>2</v>
      </c>
      <c r="W122" s="72">
        <f t="shared" si="74"/>
        <v>0.63157894736842102</v>
      </c>
      <c r="X122" s="74">
        <f t="shared" si="75"/>
        <v>0.36842105263157898</v>
      </c>
      <c r="Y122" s="73">
        <f t="shared" si="55"/>
        <v>0.76159390724874199</v>
      </c>
      <c r="Z122" s="72">
        <f t="shared" si="56"/>
        <v>4.9234986691535045</v>
      </c>
      <c r="AA122" s="72">
        <f t="shared" si="57"/>
        <v>2.6377496460174616</v>
      </c>
      <c r="AB122" s="72">
        <v>0</v>
      </c>
      <c r="AC122" s="72">
        <f t="shared" si="58"/>
        <v>6.9577231950652449E-2</v>
      </c>
      <c r="AD122" s="74">
        <f t="shared" si="59"/>
        <v>6.9577231950652449E-2</v>
      </c>
      <c r="AE122" s="73">
        <f t="shared" si="60"/>
        <v>2.5455639097744367</v>
      </c>
      <c r="AF122" s="72">
        <f t="shared" si="61"/>
        <v>2.6377496460174616</v>
      </c>
      <c r="AG122" s="72">
        <f t="shared" si="76"/>
        <v>3.1309754377793604E-2</v>
      </c>
      <c r="AH122" s="72">
        <f t="shared" si="77"/>
        <v>0.89747202810860827</v>
      </c>
      <c r="AI122" s="74">
        <f t="shared" si="62"/>
        <v>0.92878178248640186</v>
      </c>
      <c r="AJ122" s="73">
        <f t="shared" si="63"/>
        <v>1.5333333333333334</v>
      </c>
      <c r="AK122" s="72">
        <f t="shared" si="64"/>
        <v>2.7605426641727506</v>
      </c>
      <c r="AL122" s="72">
        <f t="shared" si="65"/>
        <v>1.0733333333333333</v>
      </c>
      <c r="AM122" s="72">
        <f t="shared" si="78"/>
        <v>0.42354999999999998</v>
      </c>
      <c r="AN122" s="74">
        <f t="shared" si="66"/>
        <v>1.4968833333333333</v>
      </c>
      <c r="AO122" s="73">
        <f t="shared" si="79"/>
        <v>8.349267834078293E-2</v>
      </c>
      <c r="AP122" s="72">
        <f t="shared" si="54"/>
        <v>0.2467125</v>
      </c>
      <c r="AQ122" s="74">
        <f t="shared" si="67"/>
        <v>3.15E-3</v>
      </c>
      <c r="AR122" s="73">
        <f t="shared" si="68"/>
        <v>2.7590202941605186</v>
      </c>
      <c r="AS122" s="72">
        <f t="shared" si="69"/>
        <v>18.400000000000002</v>
      </c>
      <c r="AT122" s="74">
        <f t="shared" si="70"/>
        <v>86.960548003623998</v>
      </c>
    </row>
    <row r="123" spans="17:46" ht="14.65" x14ac:dyDescent="0.4">
      <c r="Q123">
        <v>116</v>
      </c>
      <c r="R123" s="73">
        <f t="shared" si="43"/>
        <v>12</v>
      </c>
      <c r="S123" s="72">
        <f t="shared" si="71"/>
        <v>1.5466666666666669</v>
      </c>
      <c r="T123" s="72">
        <f t="shared" si="45"/>
        <v>7</v>
      </c>
      <c r="U123" s="74">
        <f t="shared" si="72"/>
        <v>2.6514285714285717</v>
      </c>
      <c r="V123" s="73">
        <f t="shared" si="73"/>
        <v>2</v>
      </c>
      <c r="W123" s="72">
        <f t="shared" si="74"/>
        <v>0.63157894736842102</v>
      </c>
      <c r="X123" s="74">
        <f t="shared" si="75"/>
        <v>0.36842105263157898</v>
      </c>
      <c r="Y123" s="73">
        <f t="shared" si="55"/>
        <v>0.76159390724874199</v>
      </c>
      <c r="Z123" s="72">
        <f t="shared" si="56"/>
        <v>4.9596891453439804</v>
      </c>
      <c r="AA123" s="72">
        <f t="shared" si="57"/>
        <v>2.6605279380887841</v>
      </c>
      <c r="AB123" s="72">
        <v>0</v>
      </c>
      <c r="AC123" s="72">
        <f t="shared" si="58"/>
        <v>7.078408909350957E-2</v>
      </c>
      <c r="AD123" s="74">
        <f t="shared" si="59"/>
        <v>7.078408909350957E-2</v>
      </c>
      <c r="AE123" s="73">
        <f t="shared" si="60"/>
        <v>2.5900270676691735</v>
      </c>
      <c r="AF123" s="72">
        <f t="shared" si="61"/>
        <v>2.6605279380887841</v>
      </c>
      <c r="AG123" s="72">
        <f t="shared" si="76"/>
        <v>3.185284009207931E-2</v>
      </c>
      <c r="AH123" s="72">
        <f t="shared" si="77"/>
        <v>0.90527613270085705</v>
      </c>
      <c r="AI123" s="74">
        <f t="shared" si="62"/>
        <v>0.93712897279293639</v>
      </c>
      <c r="AJ123" s="73">
        <f t="shared" si="63"/>
        <v>1.5466666666666669</v>
      </c>
      <c r="AK123" s="72">
        <f t="shared" si="64"/>
        <v>2.782483971708487</v>
      </c>
      <c r="AL123" s="72">
        <f t="shared" si="65"/>
        <v>1.0826666666666667</v>
      </c>
      <c r="AM123" s="72">
        <f t="shared" si="78"/>
        <v>0.42354999999999998</v>
      </c>
      <c r="AN123" s="74">
        <f t="shared" si="66"/>
        <v>1.5062166666666665</v>
      </c>
      <c r="AO123" s="73">
        <f t="shared" si="79"/>
        <v>8.4940906912211483E-2</v>
      </c>
      <c r="AP123" s="72">
        <f t="shared" si="54"/>
        <v>0.2467125</v>
      </c>
      <c r="AQ123" s="74">
        <f t="shared" si="67"/>
        <v>3.15E-3</v>
      </c>
      <c r="AR123" s="73">
        <f t="shared" si="68"/>
        <v>2.7781490463718148</v>
      </c>
      <c r="AS123" s="72">
        <f t="shared" si="69"/>
        <v>18.560000000000002</v>
      </c>
      <c r="AT123" s="74">
        <f t="shared" si="70"/>
        <v>86.980365352522497</v>
      </c>
    </row>
    <row r="124" spans="17:46" ht="14.65" x14ac:dyDescent="0.4">
      <c r="Q124">
        <v>117</v>
      </c>
      <c r="R124" s="73">
        <f t="shared" si="43"/>
        <v>12</v>
      </c>
      <c r="S124" s="72">
        <f t="shared" si="71"/>
        <v>1.56</v>
      </c>
      <c r="T124" s="72">
        <f t="shared" si="45"/>
        <v>7</v>
      </c>
      <c r="U124" s="74">
        <f t="shared" si="72"/>
        <v>2.6742857142857139</v>
      </c>
      <c r="V124" s="73">
        <f t="shared" si="73"/>
        <v>2</v>
      </c>
      <c r="W124" s="72">
        <f t="shared" si="74"/>
        <v>0.63157894736842102</v>
      </c>
      <c r="X124" s="74">
        <f t="shared" si="75"/>
        <v>0.36842105263157898</v>
      </c>
      <c r="Y124" s="73">
        <f t="shared" si="55"/>
        <v>0.76159390724874199</v>
      </c>
      <c r="Z124" s="72">
        <f t="shared" si="56"/>
        <v>4.9958796215344563</v>
      </c>
      <c r="AA124" s="72">
        <f t="shared" si="57"/>
        <v>2.683307571188188</v>
      </c>
      <c r="AB124" s="72">
        <v>0</v>
      </c>
      <c r="AC124" s="72">
        <f t="shared" si="58"/>
        <v>7.2001395215958525E-2</v>
      </c>
      <c r="AD124" s="74">
        <f t="shared" si="59"/>
        <v>7.2001395215958525E-2</v>
      </c>
      <c r="AE124" s="73">
        <f t="shared" si="60"/>
        <v>2.6348751879699241</v>
      </c>
      <c r="AF124" s="72">
        <f t="shared" si="61"/>
        <v>2.683307571188188</v>
      </c>
      <c r="AG124" s="72">
        <f t="shared" si="76"/>
        <v>3.240062784718134E-2</v>
      </c>
      <c r="AH124" s="72">
        <f t="shared" si="77"/>
        <v>0.91308023729310561</v>
      </c>
      <c r="AI124" s="74">
        <f t="shared" si="62"/>
        <v>0.94548086514028695</v>
      </c>
      <c r="AJ124" s="73">
        <f t="shared" si="63"/>
        <v>1.56</v>
      </c>
      <c r="AK124" s="72">
        <f t="shared" si="64"/>
        <v>2.8044256781516541</v>
      </c>
      <c r="AL124" s="72">
        <f t="shared" si="65"/>
        <v>1.0919999999999999</v>
      </c>
      <c r="AM124" s="72">
        <f t="shared" si="78"/>
        <v>0.42354999999999998</v>
      </c>
      <c r="AN124" s="74">
        <f t="shared" si="66"/>
        <v>1.5155499999999997</v>
      </c>
      <c r="AO124" s="73">
        <f t="shared" si="79"/>
        <v>8.6401674259150241E-2</v>
      </c>
      <c r="AP124" s="72">
        <f t="shared" si="54"/>
        <v>0.2467125</v>
      </c>
      <c r="AQ124" s="74">
        <f t="shared" si="67"/>
        <v>3.15E-3</v>
      </c>
      <c r="AR124" s="73">
        <f t="shared" si="68"/>
        <v>2.7972950393994371</v>
      </c>
      <c r="AS124" s="72">
        <f t="shared" si="69"/>
        <v>18.72</v>
      </c>
      <c r="AT124" s="74">
        <f t="shared" si="70"/>
        <v>86.999783038353911</v>
      </c>
    </row>
    <row r="125" spans="17:46" ht="14.65" x14ac:dyDescent="0.4">
      <c r="Q125">
        <v>118</v>
      </c>
      <c r="R125" s="73">
        <f t="shared" si="43"/>
        <v>12</v>
      </c>
      <c r="S125" s="72">
        <f t="shared" si="71"/>
        <v>1.5733333333333335</v>
      </c>
      <c r="T125" s="72">
        <f t="shared" si="45"/>
        <v>7</v>
      </c>
      <c r="U125" s="74">
        <f t="shared" si="72"/>
        <v>2.6971428571428575</v>
      </c>
      <c r="V125" s="73">
        <f t="shared" si="73"/>
        <v>2</v>
      </c>
      <c r="W125" s="72">
        <f t="shared" si="74"/>
        <v>0.63157894736842102</v>
      </c>
      <c r="X125" s="74">
        <f t="shared" si="75"/>
        <v>0.36842105263157898</v>
      </c>
      <c r="Y125" s="73">
        <f t="shared" si="55"/>
        <v>0.76159390724874199</v>
      </c>
      <c r="Z125" s="72">
        <f t="shared" si="56"/>
        <v>5.0320700977249331</v>
      </c>
      <c r="AA125" s="72">
        <f t="shared" si="57"/>
        <v>2.7060885114496789</v>
      </c>
      <c r="AB125" s="72">
        <v>0</v>
      </c>
      <c r="AC125" s="72">
        <f t="shared" si="58"/>
        <v>7.3229150317999384E-2</v>
      </c>
      <c r="AD125" s="74">
        <f t="shared" si="59"/>
        <v>7.3229150317999384E-2</v>
      </c>
      <c r="AE125" s="73">
        <f t="shared" si="60"/>
        <v>2.6801082706766923</v>
      </c>
      <c r="AF125" s="72">
        <f t="shared" si="61"/>
        <v>2.7060885114496789</v>
      </c>
      <c r="AG125" s="72">
        <f t="shared" si="76"/>
        <v>3.295311764309973E-2</v>
      </c>
      <c r="AH125" s="72">
        <f t="shared" si="77"/>
        <v>0.92088434188535473</v>
      </c>
      <c r="AI125" s="74">
        <f t="shared" si="62"/>
        <v>0.95383745952845445</v>
      </c>
      <c r="AJ125" s="73">
        <f t="shared" si="63"/>
        <v>1.5733333333333335</v>
      </c>
      <c r="AK125" s="72">
        <f t="shared" si="64"/>
        <v>2.8263677742118372</v>
      </c>
      <c r="AL125" s="72">
        <f t="shared" si="65"/>
        <v>1.1013333333333333</v>
      </c>
      <c r="AM125" s="72">
        <f t="shared" si="78"/>
        <v>0.42354999999999998</v>
      </c>
      <c r="AN125" s="74">
        <f t="shared" si="66"/>
        <v>1.5248833333333334</v>
      </c>
      <c r="AO125" s="73">
        <f t="shared" si="79"/>
        <v>8.7874980381599271E-2</v>
      </c>
      <c r="AP125" s="72">
        <f t="shared" si="54"/>
        <v>0.2467125</v>
      </c>
      <c r="AQ125" s="74">
        <f t="shared" si="67"/>
        <v>3.15E-3</v>
      </c>
      <c r="AR125" s="73">
        <f t="shared" si="68"/>
        <v>2.8164582732433874</v>
      </c>
      <c r="AS125" s="72">
        <f t="shared" si="69"/>
        <v>18.880000000000003</v>
      </c>
      <c r="AT125" s="74">
        <f t="shared" si="70"/>
        <v>87.018810914790109</v>
      </c>
    </row>
    <row r="126" spans="17:46" ht="14.65" x14ac:dyDescent="0.4">
      <c r="Q126">
        <v>119</v>
      </c>
      <c r="R126" s="73">
        <f t="shared" si="43"/>
        <v>12</v>
      </c>
      <c r="S126" s="72">
        <f t="shared" si="71"/>
        <v>1.5866666666666667</v>
      </c>
      <c r="T126" s="72">
        <f t="shared" si="45"/>
        <v>7</v>
      </c>
      <c r="U126" s="74">
        <f t="shared" si="72"/>
        <v>2.7199999999999998</v>
      </c>
      <c r="V126" s="73">
        <f t="shared" si="73"/>
        <v>2</v>
      </c>
      <c r="W126" s="72">
        <f t="shared" si="74"/>
        <v>0.63157894736842102</v>
      </c>
      <c r="X126" s="74">
        <f t="shared" si="75"/>
        <v>0.36842105263157898</v>
      </c>
      <c r="Y126" s="73">
        <f t="shared" si="55"/>
        <v>0.76159390724874199</v>
      </c>
      <c r="Z126" s="72">
        <f t="shared" si="56"/>
        <v>5.068260573915409</v>
      </c>
      <c r="AA126" s="72">
        <f t="shared" si="57"/>
        <v>2.7288707261362162</v>
      </c>
      <c r="AB126" s="72">
        <v>0</v>
      </c>
      <c r="AC126" s="72">
        <f t="shared" si="58"/>
        <v>7.4467354399631994E-2</v>
      </c>
      <c r="AD126" s="74">
        <f t="shared" si="59"/>
        <v>7.4467354399631994E-2</v>
      </c>
      <c r="AE126" s="73">
        <f t="shared" si="60"/>
        <v>2.7257263157894736</v>
      </c>
      <c r="AF126" s="72">
        <f t="shared" si="61"/>
        <v>2.7288707261362162</v>
      </c>
      <c r="AG126" s="72">
        <f t="shared" si="76"/>
        <v>3.3510309479834403E-2</v>
      </c>
      <c r="AH126" s="72">
        <f t="shared" si="77"/>
        <v>0.92868844647760329</v>
      </c>
      <c r="AI126" s="74">
        <f t="shared" si="62"/>
        <v>0.96219875595743765</v>
      </c>
      <c r="AJ126" s="73">
        <f t="shared" si="63"/>
        <v>1.5866666666666667</v>
      </c>
      <c r="AK126" s="72">
        <f t="shared" si="64"/>
        <v>2.8483102508847349</v>
      </c>
      <c r="AL126" s="72">
        <f t="shared" si="65"/>
        <v>1.1106666666666667</v>
      </c>
      <c r="AM126" s="72">
        <f t="shared" si="78"/>
        <v>0.42354999999999998</v>
      </c>
      <c r="AN126" s="74">
        <f t="shared" si="66"/>
        <v>1.5342166666666666</v>
      </c>
      <c r="AO126" s="73">
        <f t="shared" si="79"/>
        <v>8.9360825279558395E-2</v>
      </c>
      <c r="AP126" s="72">
        <f t="shared" si="54"/>
        <v>0.2467125</v>
      </c>
      <c r="AQ126" s="74">
        <f t="shared" si="67"/>
        <v>3.15E-3</v>
      </c>
      <c r="AR126" s="73">
        <f t="shared" si="68"/>
        <v>2.8356387479036629</v>
      </c>
      <c r="AS126" s="72">
        <f t="shared" si="69"/>
        <v>19.04</v>
      </c>
      <c r="AT126" s="74">
        <f t="shared" si="70"/>
        <v>87.037458514552398</v>
      </c>
    </row>
    <row r="127" spans="17:46" ht="14.65" x14ac:dyDescent="0.4">
      <c r="Q127">
        <v>120</v>
      </c>
      <c r="R127" s="73">
        <f t="shared" si="43"/>
        <v>12</v>
      </c>
      <c r="S127" s="72">
        <f t="shared" si="71"/>
        <v>1.6</v>
      </c>
      <c r="T127" s="72">
        <f t="shared" si="45"/>
        <v>7</v>
      </c>
      <c r="U127" s="74">
        <f t="shared" si="72"/>
        <v>2.7428571428571433</v>
      </c>
      <c r="V127" s="73">
        <f t="shared" si="73"/>
        <v>2</v>
      </c>
      <c r="W127" s="72">
        <f t="shared" si="74"/>
        <v>0.63157894736842102</v>
      </c>
      <c r="X127" s="74">
        <f t="shared" si="75"/>
        <v>0.36842105263157898</v>
      </c>
      <c r="Y127" s="73">
        <f t="shared" si="55"/>
        <v>0.76159390724874199</v>
      </c>
      <c r="Z127" s="72">
        <f t="shared" si="56"/>
        <v>5.1044510501058857</v>
      </c>
      <c r="AA127" s="72">
        <f t="shared" si="57"/>
        <v>2.7516541835931441</v>
      </c>
      <c r="AB127" s="72">
        <v>0</v>
      </c>
      <c r="AC127" s="72">
        <f t="shared" si="58"/>
        <v>7.5716007460856521E-2</v>
      </c>
      <c r="AD127" s="74">
        <f t="shared" si="59"/>
        <v>7.5716007460856521E-2</v>
      </c>
      <c r="AE127" s="73">
        <f t="shared" si="60"/>
        <v>2.7717293233082714</v>
      </c>
      <c r="AF127" s="72">
        <f t="shared" si="61"/>
        <v>2.7516541835931441</v>
      </c>
      <c r="AG127" s="72">
        <f t="shared" si="76"/>
        <v>3.4072203357385436E-2</v>
      </c>
      <c r="AH127" s="72">
        <f t="shared" si="77"/>
        <v>0.93649255106985207</v>
      </c>
      <c r="AI127" s="74">
        <f t="shared" si="62"/>
        <v>0.97056475442723755</v>
      </c>
      <c r="AJ127" s="73">
        <f t="shared" si="63"/>
        <v>1.6</v>
      </c>
      <c r="AK127" s="72">
        <f t="shared" si="64"/>
        <v>2.8702530994412374</v>
      </c>
      <c r="AL127" s="72">
        <f t="shared" si="65"/>
        <v>1.1199999999999999</v>
      </c>
      <c r="AM127" s="72">
        <f t="shared" si="78"/>
        <v>0.42354999999999998</v>
      </c>
      <c r="AN127" s="74">
        <f t="shared" si="66"/>
        <v>1.5435499999999998</v>
      </c>
      <c r="AO127" s="73">
        <f t="shared" si="79"/>
        <v>9.085920895302782E-2</v>
      </c>
      <c r="AP127" s="72">
        <f t="shared" si="54"/>
        <v>0.2467125</v>
      </c>
      <c r="AQ127" s="74">
        <f t="shared" si="67"/>
        <v>3.15E-3</v>
      </c>
      <c r="AR127" s="73">
        <f t="shared" si="68"/>
        <v>2.8548364633802654</v>
      </c>
      <c r="AS127" s="72">
        <f t="shared" si="69"/>
        <v>19.200000000000003</v>
      </c>
      <c r="AT127" s="74">
        <f t="shared" si="70"/>
        <v>87.055735062373188</v>
      </c>
    </row>
    <row r="128" spans="17:46" ht="14.65" x14ac:dyDescent="0.4">
      <c r="Q128">
        <v>121</v>
      </c>
      <c r="R128" s="73">
        <f t="shared" si="43"/>
        <v>12</v>
      </c>
      <c r="S128" s="72">
        <f t="shared" si="71"/>
        <v>1.6133333333333335</v>
      </c>
      <c r="T128" s="72">
        <f t="shared" si="45"/>
        <v>7</v>
      </c>
      <c r="U128" s="74">
        <f t="shared" si="72"/>
        <v>2.765714285714286</v>
      </c>
      <c r="V128" s="73">
        <f t="shared" si="73"/>
        <v>2</v>
      </c>
      <c r="W128" s="72">
        <f t="shared" si="74"/>
        <v>0.63157894736842102</v>
      </c>
      <c r="X128" s="74">
        <f t="shared" si="75"/>
        <v>0.36842105263157898</v>
      </c>
      <c r="Y128" s="73">
        <f t="shared" si="55"/>
        <v>0.76159390724874199</v>
      </c>
      <c r="Z128" s="72">
        <f t="shared" si="56"/>
        <v>5.1406415262963616</v>
      </c>
      <c r="AA128" s="72">
        <f t="shared" si="57"/>
        <v>2.7744388532038839</v>
      </c>
      <c r="AB128" s="72">
        <v>0</v>
      </c>
      <c r="AC128" s="72">
        <f t="shared" si="58"/>
        <v>7.6975109501672828E-2</v>
      </c>
      <c r="AD128" s="74">
        <f t="shared" si="59"/>
        <v>7.6975109501672828E-2</v>
      </c>
      <c r="AE128" s="73">
        <f t="shared" si="60"/>
        <v>2.8181172932330831</v>
      </c>
      <c r="AF128" s="72">
        <f t="shared" si="61"/>
        <v>2.7744388532038839</v>
      </c>
      <c r="AG128" s="72">
        <f t="shared" si="76"/>
        <v>3.463879927575278E-2</v>
      </c>
      <c r="AH128" s="72">
        <f t="shared" si="77"/>
        <v>0.94429665566210086</v>
      </c>
      <c r="AI128" s="74">
        <f t="shared" si="62"/>
        <v>0.97893545493785361</v>
      </c>
      <c r="AJ128" s="73">
        <f t="shared" si="63"/>
        <v>1.6133333333333335</v>
      </c>
      <c r="AK128" s="72">
        <f t="shared" si="64"/>
        <v>2.892196311416996</v>
      </c>
      <c r="AL128" s="72">
        <f t="shared" si="65"/>
        <v>1.1293333333333333</v>
      </c>
      <c r="AM128" s="72">
        <f t="shared" si="78"/>
        <v>0.42354999999999998</v>
      </c>
      <c r="AN128" s="74">
        <f t="shared" si="66"/>
        <v>1.5528833333333334</v>
      </c>
      <c r="AO128" s="73">
        <f t="shared" si="79"/>
        <v>9.2370131402007394E-2</v>
      </c>
      <c r="AP128" s="72">
        <f t="shared" si="54"/>
        <v>0.2467125</v>
      </c>
      <c r="AQ128" s="74">
        <f t="shared" si="67"/>
        <v>3.15E-3</v>
      </c>
      <c r="AR128" s="73">
        <f t="shared" si="68"/>
        <v>2.8740514196731946</v>
      </c>
      <c r="AS128" s="72">
        <f t="shared" si="69"/>
        <v>19.360000000000003</v>
      </c>
      <c r="AT128" s="74">
        <f t="shared" si="70"/>
        <v>87.073649487334691</v>
      </c>
    </row>
    <row r="129" spans="17:46" ht="14.65" x14ac:dyDescent="0.4">
      <c r="Q129">
        <v>122</v>
      </c>
      <c r="R129" s="73">
        <f t="shared" si="43"/>
        <v>12</v>
      </c>
      <c r="S129" s="72">
        <f t="shared" si="71"/>
        <v>1.6266666666666667</v>
      </c>
      <c r="T129" s="72">
        <f t="shared" si="45"/>
        <v>7</v>
      </c>
      <c r="U129" s="74">
        <f t="shared" si="72"/>
        <v>2.7885714285714287</v>
      </c>
      <c r="V129" s="73">
        <f t="shared" si="73"/>
        <v>2</v>
      </c>
      <c r="W129" s="72">
        <f t="shared" si="74"/>
        <v>0.63157894736842102</v>
      </c>
      <c r="X129" s="74">
        <f t="shared" si="75"/>
        <v>0.36842105263157898</v>
      </c>
      <c r="Y129" s="73">
        <f t="shared" si="55"/>
        <v>0.76159390724874199</v>
      </c>
      <c r="Z129" s="72">
        <f t="shared" si="56"/>
        <v>5.1768320024868375</v>
      </c>
      <c r="AA129" s="72">
        <f t="shared" si="57"/>
        <v>2.7972247053478023</v>
      </c>
      <c r="AB129" s="72">
        <v>0</v>
      </c>
      <c r="AC129" s="72">
        <f t="shared" si="58"/>
        <v>7.8244660522080997E-2</v>
      </c>
      <c r="AD129" s="74">
        <f t="shared" si="59"/>
        <v>7.8244660522080997E-2</v>
      </c>
      <c r="AE129" s="73">
        <f t="shared" si="60"/>
        <v>2.8648902255639097</v>
      </c>
      <c r="AF129" s="72">
        <f t="shared" si="61"/>
        <v>2.7972247053478023</v>
      </c>
      <c r="AG129" s="72">
        <f t="shared" si="76"/>
        <v>3.5210097234936448E-2</v>
      </c>
      <c r="AH129" s="72">
        <f t="shared" si="77"/>
        <v>0.95210076025434953</v>
      </c>
      <c r="AI129" s="74">
        <f t="shared" si="62"/>
        <v>0.98731085748928593</v>
      </c>
      <c r="AJ129" s="73">
        <f t="shared" si="63"/>
        <v>1.6266666666666667</v>
      </c>
      <c r="AK129" s="72">
        <f t="shared" si="64"/>
        <v>2.9141398786024673</v>
      </c>
      <c r="AL129" s="72">
        <f t="shared" si="65"/>
        <v>1.1386666666666667</v>
      </c>
      <c r="AM129" s="72">
        <f t="shared" si="78"/>
        <v>0.42354999999999998</v>
      </c>
      <c r="AN129" s="74">
        <f t="shared" si="66"/>
        <v>1.5622166666666666</v>
      </c>
      <c r="AO129" s="73">
        <f t="shared" si="79"/>
        <v>9.3893592626497199E-2</v>
      </c>
      <c r="AP129" s="72">
        <f t="shared" si="54"/>
        <v>0.2467125</v>
      </c>
      <c r="AQ129" s="74">
        <f t="shared" si="67"/>
        <v>3.15E-3</v>
      </c>
      <c r="AR129" s="73">
        <f t="shared" si="68"/>
        <v>2.8932836167824498</v>
      </c>
      <c r="AS129" s="72">
        <f t="shared" si="69"/>
        <v>19.52</v>
      </c>
      <c r="AT129" s="74">
        <f t="shared" si="70"/>
        <v>87.091210434619043</v>
      </c>
    </row>
    <row r="130" spans="17:46" ht="14.65" x14ac:dyDescent="0.4">
      <c r="Q130">
        <v>123</v>
      </c>
      <c r="R130" s="73">
        <f t="shared" si="43"/>
        <v>12</v>
      </c>
      <c r="S130" s="72">
        <f t="shared" si="71"/>
        <v>1.6400000000000001</v>
      </c>
      <c r="T130" s="72">
        <f t="shared" si="45"/>
        <v>7</v>
      </c>
      <c r="U130" s="74">
        <f t="shared" si="72"/>
        <v>2.8114285714285714</v>
      </c>
      <c r="V130" s="73">
        <f t="shared" si="73"/>
        <v>2</v>
      </c>
      <c r="W130" s="72">
        <f t="shared" si="74"/>
        <v>0.63157894736842102</v>
      </c>
      <c r="X130" s="74">
        <f t="shared" si="75"/>
        <v>0.36842105263157898</v>
      </c>
      <c r="Y130" s="73">
        <f t="shared" si="55"/>
        <v>0.76159390724874199</v>
      </c>
      <c r="Z130" s="72">
        <f t="shared" si="56"/>
        <v>5.2130224786773143</v>
      </c>
      <c r="AA130" s="72">
        <f t="shared" si="57"/>
        <v>2.8200117113600962</v>
      </c>
      <c r="AB130" s="72">
        <v>0</v>
      </c>
      <c r="AC130" s="72">
        <f t="shared" si="58"/>
        <v>7.9524660522080987E-2</v>
      </c>
      <c r="AD130" s="74">
        <f t="shared" si="59"/>
        <v>7.9524660522080987E-2</v>
      </c>
      <c r="AE130" s="73">
        <f t="shared" si="60"/>
        <v>2.912048120300752</v>
      </c>
      <c r="AF130" s="72">
        <f t="shared" si="61"/>
        <v>2.8200117113600962</v>
      </c>
      <c r="AG130" s="72">
        <f t="shared" si="76"/>
        <v>3.5786097234936448E-2</v>
      </c>
      <c r="AH130" s="72">
        <f t="shared" si="77"/>
        <v>0.95990486484659832</v>
      </c>
      <c r="AI130" s="74">
        <f t="shared" si="62"/>
        <v>0.99569096208153474</v>
      </c>
      <c r="AJ130" s="73">
        <f t="shared" si="63"/>
        <v>1.6400000000000001</v>
      </c>
      <c r="AK130" s="72">
        <f t="shared" si="64"/>
        <v>2.9360837930334021</v>
      </c>
      <c r="AL130" s="72">
        <f t="shared" si="65"/>
        <v>1.1479999999999999</v>
      </c>
      <c r="AM130" s="72">
        <f t="shared" si="78"/>
        <v>0.42354999999999998</v>
      </c>
      <c r="AN130" s="74">
        <f t="shared" si="66"/>
        <v>1.5715499999999998</v>
      </c>
      <c r="AO130" s="73">
        <f t="shared" si="79"/>
        <v>9.5429592626497181E-2</v>
      </c>
      <c r="AP130" s="72">
        <f t="shared" si="54"/>
        <v>0.2467125</v>
      </c>
      <c r="AQ130" s="74">
        <f t="shared" si="67"/>
        <v>3.15E-3</v>
      </c>
      <c r="AR130" s="73">
        <f t="shared" si="68"/>
        <v>2.9125330547080321</v>
      </c>
      <c r="AS130" s="72">
        <f t="shared" si="69"/>
        <v>19.68</v>
      </c>
      <c r="AT130" s="74">
        <f t="shared" si="70"/>
        <v>87.108426276702545</v>
      </c>
    </row>
    <row r="131" spans="17:46" ht="14.65" x14ac:dyDescent="0.4">
      <c r="Q131">
        <v>124</v>
      </c>
      <c r="R131" s="73">
        <f t="shared" si="43"/>
        <v>12</v>
      </c>
      <c r="S131" s="72">
        <f t="shared" si="71"/>
        <v>1.6533333333333335</v>
      </c>
      <c r="T131" s="72">
        <f t="shared" si="45"/>
        <v>7</v>
      </c>
      <c r="U131" s="74">
        <f t="shared" si="72"/>
        <v>2.834285714285715</v>
      </c>
      <c r="V131" s="73">
        <f t="shared" si="73"/>
        <v>2</v>
      </c>
      <c r="W131" s="72">
        <f t="shared" si="74"/>
        <v>0.63157894736842102</v>
      </c>
      <c r="X131" s="74">
        <f t="shared" si="75"/>
        <v>0.36842105263157898</v>
      </c>
      <c r="Y131" s="73">
        <f t="shared" si="55"/>
        <v>0.76159390724874199</v>
      </c>
      <c r="Z131" s="72">
        <f t="shared" si="56"/>
        <v>5.249212954867791</v>
      </c>
      <c r="AA131" s="72">
        <f t="shared" si="57"/>
        <v>2.8427998434936086</v>
      </c>
      <c r="AB131" s="72">
        <v>0</v>
      </c>
      <c r="AC131" s="72">
        <f t="shared" si="58"/>
        <v>8.0815109501672852E-2</v>
      </c>
      <c r="AD131" s="74">
        <f t="shared" si="59"/>
        <v>8.0815109501672852E-2</v>
      </c>
      <c r="AE131" s="73">
        <f t="shared" si="60"/>
        <v>2.95959097744361</v>
      </c>
      <c r="AF131" s="72">
        <f t="shared" si="61"/>
        <v>2.8427998434936086</v>
      </c>
      <c r="AG131" s="72">
        <f t="shared" si="76"/>
        <v>3.6366799275752787E-2</v>
      </c>
      <c r="AH131" s="72">
        <f t="shared" si="77"/>
        <v>0.96770896943884743</v>
      </c>
      <c r="AI131" s="74">
        <f t="shared" si="62"/>
        <v>1.0040757687146002</v>
      </c>
      <c r="AJ131" s="73">
        <f t="shared" si="63"/>
        <v>1.6533333333333335</v>
      </c>
      <c r="AK131" s="72">
        <f t="shared" si="64"/>
        <v>2.958028046981755</v>
      </c>
      <c r="AL131" s="72">
        <f t="shared" si="65"/>
        <v>1.1573333333333333</v>
      </c>
      <c r="AM131" s="72">
        <f t="shared" si="78"/>
        <v>0.42354999999999998</v>
      </c>
      <c r="AN131" s="74">
        <f t="shared" si="66"/>
        <v>1.5808833333333334</v>
      </c>
      <c r="AO131" s="73">
        <f t="shared" si="79"/>
        <v>9.6978131402007423E-2</v>
      </c>
      <c r="AP131" s="72">
        <f t="shared" si="54"/>
        <v>0.2467125</v>
      </c>
      <c r="AQ131" s="74">
        <f t="shared" si="67"/>
        <v>3.15E-3</v>
      </c>
      <c r="AR131" s="73">
        <f t="shared" si="68"/>
        <v>2.9317997334499415</v>
      </c>
      <c r="AS131" s="72">
        <f t="shared" si="69"/>
        <v>19.840000000000003</v>
      </c>
      <c r="AT131" s="74">
        <f t="shared" si="70"/>
        <v>87.125305124024237</v>
      </c>
    </row>
    <row r="132" spans="17:46" ht="14.65" x14ac:dyDescent="0.4">
      <c r="Q132">
        <v>125</v>
      </c>
      <c r="R132" s="73">
        <f t="shared" si="43"/>
        <v>12</v>
      </c>
      <c r="S132" s="72">
        <f t="shared" si="71"/>
        <v>1.6666666666666667</v>
      </c>
      <c r="T132" s="72">
        <f t="shared" si="45"/>
        <v>7</v>
      </c>
      <c r="U132" s="74">
        <f t="shared" si="72"/>
        <v>2.8571428571428572</v>
      </c>
      <c r="V132" s="73">
        <f t="shared" si="73"/>
        <v>2</v>
      </c>
      <c r="W132" s="72">
        <f t="shared" si="74"/>
        <v>0.63157894736842102</v>
      </c>
      <c r="X132" s="74">
        <f t="shared" si="75"/>
        <v>0.36842105263157898</v>
      </c>
      <c r="Y132" s="73">
        <f t="shared" si="55"/>
        <v>0.76159390724874199</v>
      </c>
      <c r="Z132" s="72">
        <f t="shared" si="56"/>
        <v>5.285403431058266</v>
      </c>
      <c r="AA132" s="72">
        <f t="shared" si="57"/>
        <v>2.8655890748824491</v>
      </c>
      <c r="AB132" s="72">
        <v>0</v>
      </c>
      <c r="AC132" s="72">
        <f t="shared" si="58"/>
        <v>8.211600746085651E-2</v>
      </c>
      <c r="AD132" s="74">
        <f t="shared" si="59"/>
        <v>8.211600746085651E-2</v>
      </c>
      <c r="AE132" s="73">
        <f t="shared" si="60"/>
        <v>3.007518796992481</v>
      </c>
      <c r="AF132" s="72">
        <f t="shared" si="61"/>
        <v>2.8655890748824491</v>
      </c>
      <c r="AG132" s="72">
        <f t="shared" si="76"/>
        <v>3.695220335738543E-2</v>
      </c>
      <c r="AH132" s="72">
        <f t="shared" si="77"/>
        <v>0.97551307403109588</v>
      </c>
      <c r="AI132" s="74">
        <f t="shared" si="62"/>
        <v>1.0124652773884812</v>
      </c>
      <c r="AJ132" s="73">
        <f t="shared" si="63"/>
        <v>1.6666666666666667</v>
      </c>
      <c r="AK132" s="72">
        <f t="shared" si="64"/>
        <v>2.9799726329469967</v>
      </c>
      <c r="AL132" s="72">
        <f t="shared" si="65"/>
        <v>1.1666666666666667</v>
      </c>
      <c r="AM132" s="72">
        <f t="shared" si="78"/>
        <v>0.42354999999999998</v>
      </c>
      <c r="AN132" s="74">
        <f t="shared" si="66"/>
        <v>1.5902166666666666</v>
      </c>
      <c r="AO132" s="73">
        <f t="shared" si="79"/>
        <v>9.8539208953027813E-2</v>
      </c>
      <c r="AP132" s="72">
        <f t="shared" si="54"/>
        <v>0.2467125</v>
      </c>
      <c r="AQ132" s="74">
        <f t="shared" si="67"/>
        <v>3.15E-3</v>
      </c>
      <c r="AR132" s="73">
        <f t="shared" si="68"/>
        <v>2.9510836530081761</v>
      </c>
      <c r="AS132" s="72">
        <f t="shared" si="69"/>
        <v>20</v>
      </c>
      <c r="AT132" s="74">
        <f t="shared" si="70"/>
        <v>87.14185483515773</v>
      </c>
    </row>
    <row r="133" spans="17:46" ht="14.65" x14ac:dyDescent="0.4">
      <c r="Q133">
        <v>126</v>
      </c>
      <c r="R133" s="73">
        <f t="shared" si="43"/>
        <v>12</v>
      </c>
      <c r="S133" s="72">
        <f t="shared" si="71"/>
        <v>1.6800000000000002</v>
      </c>
      <c r="T133" s="72">
        <f t="shared" si="45"/>
        <v>7</v>
      </c>
      <c r="U133" s="74">
        <f t="shared" si="72"/>
        <v>2.8800000000000003</v>
      </c>
      <c r="V133" s="73">
        <f t="shared" si="73"/>
        <v>2</v>
      </c>
      <c r="W133" s="72">
        <f t="shared" si="74"/>
        <v>0.63157894736842102</v>
      </c>
      <c r="X133" s="74">
        <f t="shared" si="75"/>
        <v>0.36842105263157898</v>
      </c>
      <c r="Y133" s="73">
        <f t="shared" si="55"/>
        <v>0.76159390724874199</v>
      </c>
      <c r="Z133" s="72">
        <f t="shared" si="56"/>
        <v>5.3215939072487428</v>
      </c>
      <c r="AA133" s="72">
        <f t="shared" si="57"/>
        <v>2.8883793795073389</v>
      </c>
      <c r="AB133" s="72">
        <v>0</v>
      </c>
      <c r="AC133" s="72">
        <f t="shared" si="58"/>
        <v>8.3427354399631989E-2</v>
      </c>
      <c r="AD133" s="74">
        <f t="shared" si="59"/>
        <v>8.3427354399631989E-2</v>
      </c>
      <c r="AE133" s="73">
        <f t="shared" si="60"/>
        <v>3.0558315789473687</v>
      </c>
      <c r="AF133" s="72">
        <f t="shared" si="61"/>
        <v>2.8883793795073389</v>
      </c>
      <c r="AG133" s="72">
        <f t="shared" si="76"/>
        <v>3.7542309479834404E-2</v>
      </c>
      <c r="AH133" s="72">
        <f t="shared" si="77"/>
        <v>0.98331717862334478</v>
      </c>
      <c r="AI133" s="74">
        <f t="shared" si="62"/>
        <v>1.0208594881031792</v>
      </c>
      <c r="AJ133" s="73">
        <f t="shared" si="63"/>
        <v>1.6800000000000002</v>
      </c>
      <c r="AK133" s="72">
        <f t="shared" si="64"/>
        <v>3.00191754364781</v>
      </c>
      <c r="AL133" s="72">
        <f t="shared" si="65"/>
        <v>1.1759999999999999</v>
      </c>
      <c r="AM133" s="72">
        <f t="shared" si="78"/>
        <v>0.42354999999999998</v>
      </c>
      <c r="AN133" s="74">
        <f t="shared" si="66"/>
        <v>1.5995499999999998</v>
      </c>
      <c r="AO133" s="73">
        <f t="shared" si="79"/>
        <v>0.10011282527955839</v>
      </c>
      <c r="AP133" s="72">
        <f t="shared" si="54"/>
        <v>0.2467125</v>
      </c>
      <c r="AQ133" s="74">
        <f t="shared" si="67"/>
        <v>3.15E-3</v>
      </c>
      <c r="AR133" s="73">
        <f t="shared" si="68"/>
        <v>2.9703848133827377</v>
      </c>
      <c r="AS133" s="72">
        <f t="shared" si="69"/>
        <v>20.160000000000004</v>
      </c>
      <c r="AT133" s="74">
        <f t="shared" si="70"/>
        <v>87.158083026512656</v>
      </c>
    </row>
    <row r="134" spans="17:46" ht="14.65" x14ac:dyDescent="0.4">
      <c r="Q134">
        <v>127</v>
      </c>
      <c r="R134" s="73">
        <f t="shared" si="43"/>
        <v>12</v>
      </c>
      <c r="S134" s="72">
        <f t="shared" si="71"/>
        <v>1.6933333333333334</v>
      </c>
      <c r="T134" s="72">
        <f t="shared" si="45"/>
        <v>7</v>
      </c>
      <c r="U134" s="74">
        <f t="shared" si="72"/>
        <v>2.902857142857143</v>
      </c>
      <c r="V134" s="73">
        <f t="shared" si="73"/>
        <v>2</v>
      </c>
      <c r="W134" s="72">
        <f t="shared" si="74"/>
        <v>0.63157894736842102</v>
      </c>
      <c r="X134" s="74">
        <f t="shared" si="75"/>
        <v>0.36842105263157898</v>
      </c>
      <c r="Y134" s="73">
        <f t="shared" si="55"/>
        <v>0.76159390724874199</v>
      </c>
      <c r="Z134" s="72">
        <f t="shared" si="56"/>
        <v>5.3577843834392187</v>
      </c>
      <c r="AA134" s="72">
        <f t="shared" si="57"/>
        <v>2.9111707321625668</v>
      </c>
      <c r="AB134" s="72">
        <v>0</v>
      </c>
      <c r="AC134" s="72">
        <f t="shared" si="58"/>
        <v>8.4749150317999358E-2</v>
      </c>
      <c r="AD134" s="74">
        <f t="shared" si="59"/>
        <v>8.4749150317999358E-2</v>
      </c>
      <c r="AE134" s="73">
        <f t="shared" si="60"/>
        <v>3.1045293233082702</v>
      </c>
      <c r="AF134" s="72">
        <f t="shared" si="61"/>
        <v>2.9111707321625668</v>
      </c>
      <c r="AG134" s="72">
        <f t="shared" si="76"/>
        <v>3.8137117643099717E-2</v>
      </c>
      <c r="AH134" s="72">
        <f t="shared" si="77"/>
        <v>0.99112128321559345</v>
      </c>
      <c r="AI134" s="74">
        <f t="shared" si="62"/>
        <v>1.0292584008586931</v>
      </c>
      <c r="AJ134" s="73">
        <f t="shared" si="63"/>
        <v>1.6933333333333334</v>
      </c>
      <c r="AK134" s="72">
        <f t="shared" si="64"/>
        <v>3.0238627720141373</v>
      </c>
      <c r="AL134" s="72">
        <f t="shared" si="65"/>
        <v>1.1853333333333333</v>
      </c>
      <c r="AM134" s="72">
        <f t="shared" si="78"/>
        <v>0.42354999999999998</v>
      </c>
      <c r="AN134" s="74">
        <f t="shared" si="66"/>
        <v>1.6088833333333334</v>
      </c>
      <c r="AO134" s="73">
        <f t="shared" si="79"/>
        <v>0.10169898038159923</v>
      </c>
      <c r="AP134" s="72">
        <f t="shared" si="54"/>
        <v>0.2467125</v>
      </c>
      <c r="AQ134" s="74">
        <f t="shared" si="67"/>
        <v>3.15E-3</v>
      </c>
      <c r="AR134" s="73">
        <f t="shared" si="68"/>
        <v>2.9897032145736264</v>
      </c>
      <c r="AS134" s="72">
        <f t="shared" si="69"/>
        <v>20.32</v>
      </c>
      <c r="AT134" s="74">
        <f t="shared" si="70"/>
        <v>87.173997081591267</v>
      </c>
    </row>
    <row r="135" spans="17:46" ht="14.65" x14ac:dyDescent="0.4">
      <c r="Q135">
        <v>128</v>
      </c>
      <c r="R135" s="73">
        <f t="shared" ref="R135:R157" si="80">VOUT</f>
        <v>12</v>
      </c>
      <c r="S135" s="72">
        <f t="shared" ref="S135:S157" si="81">Q135*$O$12</f>
        <v>1.7066666666666668</v>
      </c>
      <c r="T135" s="72">
        <f t="shared" ref="T135:T157" si="82">VIN_var</f>
        <v>7</v>
      </c>
      <c r="U135" s="74">
        <f t="shared" ref="U135:U157" si="83">(R135*S135)/(T135*EFF_est)</f>
        <v>2.9257142857142857</v>
      </c>
      <c r="V135" s="73">
        <f t="shared" ref="V135:V157" si="84">IF(S135&lt;((T135^2)*R135)/(2*Fsw*Lm*((T135+R135)^2)),1,2)</f>
        <v>2</v>
      </c>
      <c r="W135" s="72">
        <f t="shared" ref="W135:W157" si="85">CHOOSE(V135,SQRT(2*Lm*R135*S135*Fsw)/T135,R135/(T135+R135))</f>
        <v>0.63157894736842102</v>
      </c>
      <c r="X135" s="74">
        <f t="shared" ref="X135:X157" si="86">CHOOSE(V135,(Lm*Z135*Fsw)/(R135),1-W135)</f>
        <v>0.36842105263157898</v>
      </c>
      <c r="Y135" s="73">
        <f t="shared" si="55"/>
        <v>0.76159390724874199</v>
      </c>
      <c r="Z135" s="72">
        <f t="shared" si="56"/>
        <v>5.3939748596296946</v>
      </c>
      <c r="AA135" s="72">
        <f t="shared" si="57"/>
        <v>2.9339631084244826</v>
      </c>
      <c r="AB135" s="72">
        <v>0</v>
      </c>
      <c r="AC135" s="72">
        <f t="shared" si="58"/>
        <v>8.608139521595852E-2</v>
      </c>
      <c r="AD135" s="74">
        <f t="shared" si="59"/>
        <v>8.608139521595852E-2</v>
      </c>
      <c r="AE135" s="73">
        <f t="shared" si="60"/>
        <v>3.153612030075188</v>
      </c>
      <c r="AF135" s="72">
        <f t="shared" si="61"/>
        <v>2.9339631084244826</v>
      </c>
      <c r="AG135" s="72">
        <f t="shared" ref="AG135:AG157" si="87">(AF135^2)*RDS_on</f>
        <v>3.8736627847181342E-2</v>
      </c>
      <c r="AH135" s="72">
        <f t="shared" ref="AH135:AH157" si="88">(((R135+T135)*(U135+S135))/2)*Fsw*(tr_sw+tf_sw)</f>
        <v>0.99892538780784201</v>
      </c>
      <c r="AI135" s="74">
        <f t="shared" si="62"/>
        <v>1.0376620156550234</v>
      </c>
      <c r="AJ135" s="73">
        <f t="shared" si="63"/>
        <v>1.7066666666666668</v>
      </c>
      <c r="AK135" s="72">
        <f t="shared" si="64"/>
        <v>3.0458083111795835</v>
      </c>
      <c r="AL135" s="72">
        <f t="shared" si="65"/>
        <v>1.1946666666666668</v>
      </c>
      <c r="AM135" s="72">
        <f t="shared" ref="AM135:AM157" si="89">(R135+T135+Vd_rect)*Qrr*Fsw</f>
        <v>0.42354999999999998</v>
      </c>
      <c r="AN135" s="74">
        <f t="shared" si="66"/>
        <v>1.6182166666666666</v>
      </c>
      <c r="AO135" s="73">
        <f t="shared" ref="AO135:AO157" si="90">(AF135^2)*R_cs</f>
        <v>0.10329767425915024</v>
      </c>
      <c r="AP135" s="72">
        <f t="shared" ref="AP135:AP157" si="91">Qg_tot*Vcc*Fsw</f>
        <v>0.2467125</v>
      </c>
      <c r="AQ135" s="74">
        <f t="shared" si="67"/>
        <v>3.15E-3</v>
      </c>
      <c r="AR135" s="73">
        <f t="shared" si="68"/>
        <v>3.0090388565808408</v>
      </c>
      <c r="AS135" s="72">
        <f t="shared" si="69"/>
        <v>20.48</v>
      </c>
      <c r="AT135" s="74">
        <f t="shared" si="70"/>
        <v>87.189604159823645</v>
      </c>
    </row>
    <row r="136" spans="17:46" ht="14.65" x14ac:dyDescent="0.4">
      <c r="Q136">
        <v>129</v>
      </c>
      <c r="R136" s="73">
        <f t="shared" si="80"/>
        <v>12</v>
      </c>
      <c r="S136" s="72">
        <f t="shared" si="81"/>
        <v>1.7200000000000002</v>
      </c>
      <c r="T136" s="72">
        <f t="shared" si="82"/>
        <v>7</v>
      </c>
      <c r="U136" s="74">
        <f t="shared" si="83"/>
        <v>2.9485714285714288</v>
      </c>
      <c r="V136" s="73">
        <f t="shared" si="84"/>
        <v>2</v>
      </c>
      <c r="W136" s="72">
        <f t="shared" si="85"/>
        <v>0.63157894736842102</v>
      </c>
      <c r="X136" s="74">
        <f t="shared" si="86"/>
        <v>0.36842105263157898</v>
      </c>
      <c r="Y136" s="73">
        <f t="shared" ref="Y136:Y157" si="92">(T136*W136)/(Lm*Fsw)</f>
        <v>0.76159390724874199</v>
      </c>
      <c r="Z136" s="72">
        <f t="shared" ref="Z136:Z157" si="93">CHOOSE(V136,Y136,U136+S136+(Y136))</f>
        <v>5.4301653358201714</v>
      </c>
      <c r="AA136" s="72">
        <f t="shared" ref="AA136:AA157" si="94">CHOOSE(V136,Z136*SQRT((W136+X136)/3),SQRT((U136^2)+((Y136^2)/12)))</f>
        <v>2.9567564846214434</v>
      </c>
      <c r="AB136" s="72">
        <v>0</v>
      </c>
      <c r="AC136" s="72">
        <f t="shared" ref="AC136:AC157" si="95">(AA136^2)*Rdcr</f>
        <v>8.7424089093509572E-2</v>
      </c>
      <c r="AD136" s="74">
        <f t="shared" ref="AD136:AD157" si="96">AB136+AC136</f>
        <v>8.7424089093509572E-2</v>
      </c>
      <c r="AE136" s="73">
        <f t="shared" ref="AE136:AE157" si="97">U136*S136*W136</f>
        <v>3.2030796992481205</v>
      </c>
      <c r="AF136" s="72">
        <f t="shared" ref="AF136:AF157" si="98">AA136</f>
        <v>2.9567564846214434</v>
      </c>
      <c r="AG136" s="72">
        <f t="shared" si="87"/>
        <v>3.9340840092079311E-2</v>
      </c>
      <c r="AH136" s="72">
        <f t="shared" si="88"/>
        <v>1.0067294924000911</v>
      </c>
      <c r="AI136" s="74">
        <f t="shared" ref="AI136:AI157" si="99">AG136+AH136</f>
        <v>1.0460703324921705</v>
      </c>
      <c r="AJ136" s="73">
        <f t="shared" ref="AJ136:AJ157" si="100">S136</f>
        <v>1.7200000000000002</v>
      </c>
      <c r="AK136" s="72">
        <f t="shared" ref="AK136:AK157" si="101">CHOOSE(V136,Z136*SQRT(X136/3),SQRT(X136*((Z136^2)+((Y136^2)/3)-(Y136*Z136))))</f>
        <v>3.0677541544741342</v>
      </c>
      <c r="AL136" s="72">
        <f t="shared" ref="AL136:AL157" si="102">S136*Vd_rect</f>
        <v>1.204</v>
      </c>
      <c r="AM136" s="72">
        <f t="shared" si="89"/>
        <v>0.42354999999999998</v>
      </c>
      <c r="AN136" s="74">
        <f t="shared" ref="AN136:AN157" si="103">AL136+AM136</f>
        <v>1.6275499999999998</v>
      </c>
      <c r="AO136" s="73">
        <f t="shared" si="90"/>
        <v>0.10490890691221148</v>
      </c>
      <c r="AP136" s="72">
        <f t="shared" si="91"/>
        <v>0.2467125</v>
      </c>
      <c r="AQ136" s="74">
        <f t="shared" ref="AQ136:AQ157" si="104">IQ*T136</f>
        <v>3.15E-3</v>
      </c>
      <c r="AR136" s="73">
        <f t="shared" ref="AR136:AR157" si="105">AO136+AN136+AI136+AP136+AQ136</f>
        <v>3.0283917394043822</v>
      </c>
      <c r="AS136" s="72">
        <f t="shared" ref="AS136:AS157" si="106">R136*S136</f>
        <v>20.64</v>
      </c>
      <c r="AT136" s="74">
        <f t="shared" ref="AT136:AT157" si="107">(AS136/(AS136+AR136))*100</f>
        <v>87.204911205003597</v>
      </c>
    </row>
    <row r="137" spans="17:46" ht="14.65" x14ac:dyDescent="0.4">
      <c r="Q137">
        <v>130</v>
      </c>
      <c r="R137" s="73">
        <f t="shared" si="80"/>
        <v>12</v>
      </c>
      <c r="S137" s="72">
        <f t="shared" si="81"/>
        <v>1.7333333333333334</v>
      </c>
      <c r="T137" s="72">
        <f t="shared" si="82"/>
        <v>7</v>
      </c>
      <c r="U137" s="74">
        <f t="shared" si="83"/>
        <v>2.9714285714285715</v>
      </c>
      <c r="V137" s="73">
        <f t="shared" si="84"/>
        <v>2</v>
      </c>
      <c r="W137" s="72">
        <f t="shared" si="85"/>
        <v>0.63157894736842102</v>
      </c>
      <c r="X137" s="74">
        <f t="shared" si="86"/>
        <v>0.36842105263157898</v>
      </c>
      <c r="Y137" s="73">
        <f t="shared" si="92"/>
        <v>0.76159390724874199</v>
      </c>
      <c r="Z137" s="72">
        <f t="shared" si="93"/>
        <v>5.4663558120106472</v>
      </c>
      <c r="AA137" s="72">
        <f t="shared" si="94"/>
        <v>2.9795508378051281</v>
      </c>
      <c r="AB137" s="72">
        <v>0</v>
      </c>
      <c r="AC137" s="72">
        <f t="shared" si="95"/>
        <v>8.8777231950652402E-2</v>
      </c>
      <c r="AD137" s="74">
        <f t="shared" si="96"/>
        <v>8.8777231950652402E-2</v>
      </c>
      <c r="AE137" s="73">
        <f t="shared" si="97"/>
        <v>3.2529323308270675</v>
      </c>
      <c r="AF137" s="72">
        <f t="shared" si="98"/>
        <v>2.9795508378051281</v>
      </c>
      <c r="AG137" s="72">
        <f t="shared" si="87"/>
        <v>3.9949754377793585E-2</v>
      </c>
      <c r="AH137" s="72">
        <f t="shared" si="88"/>
        <v>1.0145335969923397</v>
      </c>
      <c r="AI137" s="74">
        <f t="shared" si="99"/>
        <v>1.0544833513701333</v>
      </c>
      <c r="AJ137" s="73">
        <f t="shared" si="100"/>
        <v>1.7333333333333334</v>
      </c>
      <c r="AK137" s="72">
        <f t="shared" si="101"/>
        <v>3.0897002954171895</v>
      </c>
      <c r="AL137" s="72">
        <f t="shared" si="102"/>
        <v>1.2133333333333334</v>
      </c>
      <c r="AM137" s="72">
        <f t="shared" si="89"/>
        <v>0.42354999999999998</v>
      </c>
      <c r="AN137" s="74">
        <f t="shared" si="103"/>
        <v>1.6368833333333335</v>
      </c>
      <c r="AO137" s="73">
        <f t="shared" si="90"/>
        <v>0.10653267834078288</v>
      </c>
      <c r="AP137" s="72">
        <f t="shared" si="91"/>
        <v>0.2467125</v>
      </c>
      <c r="AQ137" s="74">
        <f t="shared" si="104"/>
        <v>3.15E-3</v>
      </c>
      <c r="AR137" s="73">
        <f t="shared" si="105"/>
        <v>3.0477618630442502</v>
      </c>
      <c r="AS137" s="72">
        <f t="shared" si="106"/>
        <v>20.8</v>
      </c>
      <c r="AT137" s="74">
        <f t="shared" si="107"/>
        <v>87.219924953346577</v>
      </c>
    </row>
    <row r="138" spans="17:46" ht="14.65" x14ac:dyDescent="0.4">
      <c r="Q138">
        <v>131</v>
      </c>
      <c r="R138" s="73">
        <f t="shared" si="80"/>
        <v>12</v>
      </c>
      <c r="S138" s="72">
        <f t="shared" si="81"/>
        <v>1.7466666666666668</v>
      </c>
      <c r="T138" s="72">
        <f t="shared" si="82"/>
        <v>7</v>
      </c>
      <c r="U138" s="74">
        <f t="shared" si="83"/>
        <v>2.9942857142857142</v>
      </c>
      <c r="V138" s="73">
        <f t="shared" si="84"/>
        <v>2</v>
      </c>
      <c r="W138" s="72">
        <f t="shared" si="85"/>
        <v>0.63157894736842102</v>
      </c>
      <c r="X138" s="74">
        <f t="shared" si="86"/>
        <v>0.36842105263157898</v>
      </c>
      <c r="Y138" s="73">
        <f t="shared" si="92"/>
        <v>0.76159390724874199</v>
      </c>
      <c r="Z138" s="72">
        <f t="shared" si="93"/>
        <v>5.5025462882011231</v>
      </c>
      <c r="AA138" s="72">
        <f t="shared" si="94"/>
        <v>3.0023461457231591</v>
      </c>
      <c r="AB138" s="72">
        <v>0</v>
      </c>
      <c r="AC138" s="72">
        <f t="shared" si="95"/>
        <v>9.0140823787387081E-2</v>
      </c>
      <c r="AD138" s="74">
        <f t="shared" si="96"/>
        <v>9.0140823787387081E-2</v>
      </c>
      <c r="AE138" s="73">
        <f t="shared" si="97"/>
        <v>3.3031699248120301</v>
      </c>
      <c r="AF138" s="72">
        <f t="shared" si="98"/>
        <v>3.0023461457231591</v>
      </c>
      <c r="AG138" s="72">
        <f t="shared" si="87"/>
        <v>4.0563370704324191E-2</v>
      </c>
      <c r="AH138" s="72">
        <f t="shared" si="88"/>
        <v>1.0223377015845885</v>
      </c>
      <c r="AI138" s="74">
        <f t="shared" si="99"/>
        <v>1.0629010722889127</v>
      </c>
      <c r="AJ138" s="73">
        <f t="shared" si="100"/>
        <v>1.7466666666666668</v>
      </c>
      <c r="AK138" s="72">
        <f t="shared" si="101"/>
        <v>3.1116467277108928</v>
      </c>
      <c r="AL138" s="72">
        <f t="shared" si="102"/>
        <v>1.2226666666666668</v>
      </c>
      <c r="AM138" s="72">
        <f t="shared" si="89"/>
        <v>0.42354999999999998</v>
      </c>
      <c r="AN138" s="74">
        <f t="shared" si="103"/>
        <v>1.6462166666666667</v>
      </c>
      <c r="AO138" s="73">
        <f t="shared" si="90"/>
        <v>0.10816898854486449</v>
      </c>
      <c r="AP138" s="72">
        <f t="shared" si="91"/>
        <v>0.2467125</v>
      </c>
      <c r="AQ138" s="74">
        <f t="shared" si="104"/>
        <v>3.15E-3</v>
      </c>
      <c r="AR138" s="73">
        <f t="shared" si="105"/>
        <v>3.0671492275004444</v>
      </c>
      <c r="AS138" s="72">
        <f t="shared" si="106"/>
        <v>20.96</v>
      </c>
      <c r="AT138" s="74">
        <f t="shared" si="107"/>
        <v>87.234651941188616</v>
      </c>
    </row>
    <row r="139" spans="17:46" ht="14.65" x14ac:dyDescent="0.4">
      <c r="Q139">
        <v>132</v>
      </c>
      <c r="R139" s="73">
        <f t="shared" si="80"/>
        <v>12</v>
      </c>
      <c r="S139" s="72">
        <f t="shared" si="81"/>
        <v>1.76</v>
      </c>
      <c r="T139" s="72">
        <f t="shared" si="82"/>
        <v>7</v>
      </c>
      <c r="U139" s="74">
        <f t="shared" si="83"/>
        <v>3.0171428571428573</v>
      </c>
      <c r="V139" s="73">
        <f t="shared" si="84"/>
        <v>2</v>
      </c>
      <c r="W139" s="72">
        <f t="shared" si="85"/>
        <v>0.63157894736842102</v>
      </c>
      <c r="X139" s="74">
        <f t="shared" si="86"/>
        <v>0.36842105263157898</v>
      </c>
      <c r="Y139" s="73">
        <f t="shared" si="92"/>
        <v>0.76159390724874199</v>
      </c>
      <c r="Z139" s="72">
        <f t="shared" si="93"/>
        <v>5.5387367643915999</v>
      </c>
      <c r="AA139" s="72">
        <f t="shared" si="94"/>
        <v>3.025142386792953</v>
      </c>
      <c r="AB139" s="72">
        <v>0</v>
      </c>
      <c r="AC139" s="72">
        <f t="shared" si="95"/>
        <v>9.151486460371365E-2</v>
      </c>
      <c r="AD139" s="74">
        <f t="shared" si="96"/>
        <v>9.151486460371365E-2</v>
      </c>
      <c r="AE139" s="73">
        <f t="shared" si="97"/>
        <v>3.3537924812030071</v>
      </c>
      <c r="AF139" s="72">
        <f t="shared" si="98"/>
        <v>3.025142386792953</v>
      </c>
      <c r="AG139" s="72">
        <f t="shared" si="87"/>
        <v>4.1181689071671142E-2</v>
      </c>
      <c r="AH139" s="72">
        <f t="shared" si="88"/>
        <v>1.0301418061768373</v>
      </c>
      <c r="AI139" s="74">
        <f t="shared" si="99"/>
        <v>1.0713234952485085</v>
      </c>
      <c r="AJ139" s="73">
        <f t="shared" si="100"/>
        <v>1.76</v>
      </c>
      <c r="AK139" s="72">
        <f t="shared" si="101"/>
        <v>3.1335934452337351</v>
      </c>
      <c r="AL139" s="72">
        <f t="shared" si="102"/>
        <v>1.232</v>
      </c>
      <c r="AM139" s="72">
        <f t="shared" si="89"/>
        <v>0.42354999999999998</v>
      </c>
      <c r="AN139" s="74">
        <f t="shared" si="103"/>
        <v>1.6555499999999999</v>
      </c>
      <c r="AO139" s="73">
        <f t="shared" si="90"/>
        <v>0.10981783752445637</v>
      </c>
      <c r="AP139" s="72">
        <f t="shared" si="91"/>
        <v>0.2467125</v>
      </c>
      <c r="AQ139" s="74">
        <f t="shared" si="104"/>
        <v>3.15E-3</v>
      </c>
      <c r="AR139" s="73">
        <f t="shared" si="105"/>
        <v>3.0865538327729651</v>
      </c>
      <c r="AS139" s="72">
        <f t="shared" si="106"/>
        <v>21.12</v>
      </c>
      <c r="AT139" s="74">
        <f t="shared" si="107"/>
        <v>87.249098512345384</v>
      </c>
    </row>
    <row r="140" spans="17:46" ht="14.65" x14ac:dyDescent="0.4">
      <c r="Q140">
        <v>133</v>
      </c>
      <c r="R140" s="73">
        <f t="shared" si="80"/>
        <v>12</v>
      </c>
      <c r="S140" s="72">
        <f t="shared" si="81"/>
        <v>1.7733333333333334</v>
      </c>
      <c r="T140" s="72">
        <f t="shared" si="82"/>
        <v>7</v>
      </c>
      <c r="U140" s="74">
        <f t="shared" si="83"/>
        <v>3.04</v>
      </c>
      <c r="V140" s="73">
        <f t="shared" si="84"/>
        <v>2</v>
      </c>
      <c r="W140" s="72">
        <f t="shared" si="85"/>
        <v>0.63157894736842102</v>
      </c>
      <c r="X140" s="74">
        <f t="shared" si="86"/>
        <v>0.36842105263157898</v>
      </c>
      <c r="Y140" s="73">
        <f t="shared" si="92"/>
        <v>0.76159390724874199</v>
      </c>
      <c r="Z140" s="72">
        <f t="shared" si="93"/>
        <v>5.5749272405820758</v>
      </c>
      <c r="AA140" s="72">
        <f t="shared" si="94"/>
        <v>3.0479395400767384</v>
      </c>
      <c r="AB140" s="72">
        <v>0</v>
      </c>
      <c r="AC140" s="72">
        <f t="shared" si="95"/>
        <v>9.2899354399631998E-2</v>
      </c>
      <c r="AD140" s="74">
        <f t="shared" si="96"/>
        <v>9.2899354399631998E-2</v>
      </c>
      <c r="AE140" s="73">
        <f t="shared" si="97"/>
        <v>3.4048000000000003</v>
      </c>
      <c r="AF140" s="72">
        <f t="shared" si="98"/>
        <v>3.0479395400767384</v>
      </c>
      <c r="AG140" s="72">
        <f t="shared" si="87"/>
        <v>4.1804709479834404E-2</v>
      </c>
      <c r="AH140" s="72">
        <f t="shared" si="88"/>
        <v>1.037945910769086</v>
      </c>
      <c r="AI140" s="74">
        <f t="shared" si="99"/>
        <v>1.0797506202489204</v>
      </c>
      <c r="AJ140" s="73">
        <f t="shared" si="100"/>
        <v>1.7733333333333334</v>
      </c>
      <c r="AK140" s="72">
        <f t="shared" si="101"/>
        <v>3.1555404420344271</v>
      </c>
      <c r="AL140" s="72">
        <f t="shared" si="102"/>
        <v>1.2413333333333334</v>
      </c>
      <c r="AM140" s="72">
        <f t="shared" si="89"/>
        <v>0.42354999999999998</v>
      </c>
      <c r="AN140" s="74">
        <f t="shared" si="103"/>
        <v>1.6648833333333335</v>
      </c>
      <c r="AO140" s="73">
        <f t="shared" si="90"/>
        <v>0.11147922527955841</v>
      </c>
      <c r="AP140" s="72">
        <f t="shared" si="91"/>
        <v>0.2467125</v>
      </c>
      <c r="AQ140" s="74">
        <f t="shared" si="104"/>
        <v>3.15E-3</v>
      </c>
      <c r="AR140" s="73">
        <f t="shared" si="105"/>
        <v>3.1059756788618125</v>
      </c>
      <c r="AS140" s="72">
        <f t="shared" si="106"/>
        <v>21.28</v>
      </c>
      <c r="AT140" s="74">
        <f t="shared" si="107"/>
        <v>87.263270825148382</v>
      </c>
    </row>
    <row r="141" spans="17:46" ht="14.65" x14ac:dyDescent="0.4">
      <c r="Q141">
        <v>134</v>
      </c>
      <c r="R141" s="73">
        <f t="shared" si="80"/>
        <v>12</v>
      </c>
      <c r="S141" s="72">
        <f t="shared" si="81"/>
        <v>1.7866666666666668</v>
      </c>
      <c r="T141" s="72">
        <f t="shared" si="82"/>
        <v>7</v>
      </c>
      <c r="U141" s="74">
        <f t="shared" si="83"/>
        <v>3.0628571428571432</v>
      </c>
      <c r="V141" s="73">
        <f t="shared" si="84"/>
        <v>2</v>
      </c>
      <c r="W141" s="72">
        <f t="shared" si="85"/>
        <v>0.63157894736842102</v>
      </c>
      <c r="X141" s="74">
        <f t="shared" si="86"/>
        <v>0.36842105263157898</v>
      </c>
      <c r="Y141" s="73">
        <f t="shared" si="92"/>
        <v>0.76159390724874199</v>
      </c>
      <c r="Z141" s="72">
        <f t="shared" si="93"/>
        <v>5.6111177167725526</v>
      </c>
      <c r="AA141" s="72">
        <f t="shared" si="94"/>
        <v>3.0707375852576888</v>
      </c>
      <c r="AB141" s="72">
        <v>0</v>
      </c>
      <c r="AC141" s="72">
        <f t="shared" si="95"/>
        <v>9.4294293175142221E-2</v>
      </c>
      <c r="AD141" s="74">
        <f t="shared" si="96"/>
        <v>9.4294293175142221E-2</v>
      </c>
      <c r="AE141" s="73">
        <f t="shared" si="97"/>
        <v>3.4561924812030078</v>
      </c>
      <c r="AF141" s="72">
        <f t="shared" si="98"/>
        <v>3.0707375852576888</v>
      </c>
      <c r="AG141" s="72">
        <f t="shared" si="87"/>
        <v>4.2432431928814004E-2</v>
      </c>
      <c r="AH141" s="72">
        <f t="shared" si="88"/>
        <v>1.0457500153613351</v>
      </c>
      <c r="AI141" s="74">
        <f t="shared" si="99"/>
        <v>1.0881824472901491</v>
      </c>
      <c r="AJ141" s="73">
        <f t="shared" si="100"/>
        <v>1.7866666666666668</v>
      </c>
      <c r="AK141" s="72">
        <f t="shared" si="101"/>
        <v>3.1774877123260303</v>
      </c>
      <c r="AL141" s="72">
        <f t="shared" si="102"/>
        <v>1.2506666666666668</v>
      </c>
      <c r="AM141" s="72">
        <f t="shared" si="89"/>
        <v>0.42354999999999998</v>
      </c>
      <c r="AN141" s="74">
        <f t="shared" si="103"/>
        <v>1.6742166666666667</v>
      </c>
      <c r="AO141" s="73">
        <f t="shared" si="90"/>
        <v>0.11315315181017066</v>
      </c>
      <c r="AP141" s="72">
        <f t="shared" si="91"/>
        <v>0.2467125</v>
      </c>
      <c r="AQ141" s="74">
        <f t="shared" si="104"/>
        <v>3.15E-3</v>
      </c>
      <c r="AR141" s="73">
        <f t="shared" si="105"/>
        <v>3.1254147657669868</v>
      </c>
      <c r="AS141" s="72">
        <f t="shared" si="106"/>
        <v>21.44</v>
      </c>
      <c r="AT141" s="74">
        <f t="shared" si="107"/>
        <v>87.277174859174806</v>
      </c>
    </row>
    <row r="142" spans="17:46" ht="14.65" x14ac:dyDescent="0.4">
      <c r="Q142">
        <v>135</v>
      </c>
      <c r="R142" s="73">
        <f t="shared" si="80"/>
        <v>12</v>
      </c>
      <c r="S142" s="72">
        <f t="shared" si="81"/>
        <v>1.8</v>
      </c>
      <c r="T142" s="72">
        <f t="shared" si="82"/>
        <v>7</v>
      </c>
      <c r="U142" s="74">
        <f t="shared" si="83"/>
        <v>3.0857142857142859</v>
      </c>
      <c r="V142" s="73">
        <f t="shared" si="84"/>
        <v>2</v>
      </c>
      <c r="W142" s="72">
        <f t="shared" si="85"/>
        <v>0.63157894736842102</v>
      </c>
      <c r="X142" s="74">
        <f t="shared" si="86"/>
        <v>0.36842105263157898</v>
      </c>
      <c r="Y142" s="73">
        <f t="shared" si="92"/>
        <v>0.76159390724874199</v>
      </c>
      <c r="Z142" s="72">
        <f t="shared" si="93"/>
        <v>5.6473081929630284</v>
      </c>
      <c r="AA142" s="72">
        <f t="shared" si="94"/>
        <v>3.0935365026170976</v>
      </c>
      <c r="AB142" s="72">
        <v>0</v>
      </c>
      <c r="AC142" s="72">
        <f t="shared" si="95"/>
        <v>9.5699680930244238E-2</v>
      </c>
      <c r="AD142" s="74">
        <f t="shared" si="96"/>
        <v>9.5699680930244238E-2</v>
      </c>
      <c r="AE142" s="73">
        <f t="shared" si="97"/>
        <v>3.5079699248120297</v>
      </c>
      <c r="AF142" s="72">
        <f t="shared" si="98"/>
        <v>3.0935365026170976</v>
      </c>
      <c r="AG142" s="72">
        <f t="shared" si="87"/>
        <v>4.3064856418609909E-2</v>
      </c>
      <c r="AH142" s="72">
        <f t="shared" si="88"/>
        <v>1.0535541199535836</v>
      </c>
      <c r="AI142" s="74">
        <f t="shared" si="99"/>
        <v>1.0966189763721936</v>
      </c>
      <c r="AJ142" s="73">
        <f t="shared" si="100"/>
        <v>1.8</v>
      </c>
      <c r="AK142" s="72">
        <f t="shared" si="101"/>
        <v>3.1994352504803194</v>
      </c>
      <c r="AL142" s="72">
        <f t="shared" si="102"/>
        <v>1.26</v>
      </c>
      <c r="AM142" s="72">
        <f t="shared" si="89"/>
        <v>0.42354999999999998</v>
      </c>
      <c r="AN142" s="74">
        <f t="shared" si="103"/>
        <v>1.6835499999999999</v>
      </c>
      <c r="AO142" s="73">
        <f t="shared" si="90"/>
        <v>0.11483961711629308</v>
      </c>
      <c r="AP142" s="72">
        <f t="shared" si="91"/>
        <v>0.2467125</v>
      </c>
      <c r="AQ142" s="74">
        <f t="shared" si="104"/>
        <v>3.15E-3</v>
      </c>
      <c r="AR142" s="73">
        <f t="shared" si="105"/>
        <v>3.1448710934884869</v>
      </c>
      <c r="AS142" s="72">
        <f t="shared" si="106"/>
        <v>21.6</v>
      </c>
      <c r="AT142" s="74">
        <f t="shared" si="107"/>
        <v>87.290816421686486</v>
      </c>
    </row>
    <row r="143" spans="17:46" ht="14.65" x14ac:dyDescent="0.4">
      <c r="Q143">
        <v>136</v>
      </c>
      <c r="R143" s="73">
        <f t="shared" si="80"/>
        <v>12</v>
      </c>
      <c r="S143" s="72">
        <f t="shared" si="81"/>
        <v>1.8133333333333335</v>
      </c>
      <c r="T143" s="72">
        <f t="shared" si="82"/>
        <v>7</v>
      </c>
      <c r="U143" s="74">
        <f t="shared" si="83"/>
        <v>3.108571428571429</v>
      </c>
      <c r="V143" s="73">
        <f t="shared" si="84"/>
        <v>2</v>
      </c>
      <c r="W143" s="72">
        <f t="shared" si="85"/>
        <v>0.63157894736842102</v>
      </c>
      <c r="X143" s="74">
        <f t="shared" si="86"/>
        <v>0.36842105263157898</v>
      </c>
      <c r="Y143" s="73">
        <f t="shared" si="92"/>
        <v>0.76159390724874199</v>
      </c>
      <c r="Z143" s="72">
        <f t="shared" si="93"/>
        <v>5.6834986691535052</v>
      </c>
      <c r="AA143" s="72">
        <f t="shared" si="94"/>
        <v>3.1163362730125601</v>
      </c>
      <c r="AB143" s="72">
        <v>0</v>
      </c>
      <c r="AC143" s="72">
        <f t="shared" si="95"/>
        <v>9.7115517664938145E-2</v>
      </c>
      <c r="AD143" s="74">
        <f t="shared" si="96"/>
        <v>9.7115517664938145E-2</v>
      </c>
      <c r="AE143" s="73">
        <f t="shared" si="97"/>
        <v>3.5601323308270678</v>
      </c>
      <c r="AF143" s="72">
        <f t="shared" si="98"/>
        <v>3.1163362730125601</v>
      </c>
      <c r="AG143" s="72">
        <f t="shared" si="87"/>
        <v>4.3701982949222166E-2</v>
      </c>
      <c r="AH143" s="72">
        <f t="shared" si="88"/>
        <v>1.0613582245458326</v>
      </c>
      <c r="AI143" s="74">
        <f t="shared" si="99"/>
        <v>1.1050602074950548</v>
      </c>
      <c r="AJ143" s="73">
        <f t="shared" si="100"/>
        <v>1.8133333333333335</v>
      </c>
      <c r="AK143" s="72">
        <f t="shared" si="101"/>
        <v>3.2213830510223866</v>
      </c>
      <c r="AL143" s="72">
        <f t="shared" si="102"/>
        <v>1.2693333333333334</v>
      </c>
      <c r="AM143" s="72">
        <f t="shared" si="89"/>
        <v>0.42354999999999998</v>
      </c>
      <c r="AN143" s="74">
        <f t="shared" si="103"/>
        <v>1.6928833333333335</v>
      </c>
      <c r="AO143" s="73">
        <f t="shared" si="90"/>
        <v>0.11653862119792577</v>
      </c>
      <c r="AP143" s="72">
        <f t="shared" si="91"/>
        <v>0.2467125</v>
      </c>
      <c r="AQ143" s="74">
        <f t="shared" si="104"/>
        <v>3.15E-3</v>
      </c>
      <c r="AR143" s="73">
        <f t="shared" si="105"/>
        <v>3.1643446620263145</v>
      </c>
      <c r="AS143" s="72">
        <f t="shared" si="106"/>
        <v>21.76</v>
      </c>
      <c r="AT143" s="74">
        <f t="shared" si="107"/>
        <v>87.304201153792519</v>
      </c>
    </row>
    <row r="144" spans="17:46" ht="14.65" x14ac:dyDescent="0.4">
      <c r="Q144">
        <v>137</v>
      </c>
      <c r="R144" s="73">
        <f t="shared" si="80"/>
        <v>12</v>
      </c>
      <c r="S144" s="72">
        <f t="shared" si="81"/>
        <v>1.8266666666666669</v>
      </c>
      <c r="T144" s="72">
        <f t="shared" si="82"/>
        <v>7</v>
      </c>
      <c r="U144" s="74">
        <f t="shared" si="83"/>
        <v>3.1314285714285717</v>
      </c>
      <c r="V144" s="73">
        <f t="shared" si="84"/>
        <v>2</v>
      </c>
      <c r="W144" s="72">
        <f t="shared" si="85"/>
        <v>0.63157894736842102</v>
      </c>
      <c r="X144" s="74">
        <f t="shared" si="86"/>
        <v>0.36842105263157898</v>
      </c>
      <c r="Y144" s="73">
        <f t="shared" si="92"/>
        <v>0.76159390724874199</v>
      </c>
      <c r="Z144" s="72">
        <f t="shared" si="93"/>
        <v>5.7196891453439811</v>
      </c>
      <c r="AA144" s="72">
        <f t="shared" si="94"/>
        <v>3.1391368778570943</v>
      </c>
      <c r="AB144" s="72">
        <v>0</v>
      </c>
      <c r="AC144" s="72">
        <f t="shared" si="95"/>
        <v>9.8541803379223872E-2</v>
      </c>
      <c r="AD144" s="74">
        <f t="shared" si="96"/>
        <v>9.8541803379223872E-2</v>
      </c>
      <c r="AE144" s="73">
        <f t="shared" si="97"/>
        <v>3.6126796992481212</v>
      </c>
      <c r="AF144" s="72">
        <f t="shared" si="98"/>
        <v>3.1391368778570943</v>
      </c>
      <c r="AG144" s="72">
        <f t="shared" si="87"/>
        <v>4.4343811520650742E-2</v>
      </c>
      <c r="AH144" s="72">
        <f t="shared" si="88"/>
        <v>1.0691623291380812</v>
      </c>
      <c r="AI144" s="74">
        <f t="shared" si="99"/>
        <v>1.1135061406587319</v>
      </c>
      <c r="AJ144" s="73">
        <f t="shared" si="100"/>
        <v>1.8266666666666669</v>
      </c>
      <c r="AK144" s="72">
        <f t="shared" si="101"/>
        <v>3.2433311086254544</v>
      </c>
      <c r="AL144" s="72">
        <f t="shared" si="102"/>
        <v>1.2786666666666668</v>
      </c>
      <c r="AM144" s="72">
        <f t="shared" si="89"/>
        <v>0.42354999999999998</v>
      </c>
      <c r="AN144" s="74">
        <f t="shared" si="103"/>
        <v>1.7022166666666667</v>
      </c>
      <c r="AO144" s="73">
        <f t="shared" si="90"/>
        <v>0.11825016405506864</v>
      </c>
      <c r="AP144" s="72">
        <f t="shared" si="91"/>
        <v>0.2467125</v>
      </c>
      <c r="AQ144" s="74">
        <f t="shared" si="104"/>
        <v>3.15E-3</v>
      </c>
      <c r="AR144" s="73">
        <f t="shared" si="105"/>
        <v>3.1838354713804677</v>
      </c>
      <c r="AS144" s="72">
        <f t="shared" si="106"/>
        <v>21.92</v>
      </c>
      <c r="AT144" s="74">
        <f t="shared" si="107"/>
        <v>87.317334536349279</v>
      </c>
    </row>
    <row r="145" spans="17:46" ht="14.65" x14ac:dyDescent="0.4">
      <c r="Q145">
        <v>138</v>
      </c>
      <c r="R145" s="73">
        <f t="shared" si="80"/>
        <v>12</v>
      </c>
      <c r="S145" s="72">
        <f t="shared" si="81"/>
        <v>1.84</v>
      </c>
      <c r="T145" s="72">
        <f t="shared" si="82"/>
        <v>7</v>
      </c>
      <c r="U145" s="74">
        <f t="shared" si="83"/>
        <v>3.1542857142857144</v>
      </c>
      <c r="V145" s="73">
        <f t="shared" si="84"/>
        <v>2</v>
      </c>
      <c r="W145" s="72">
        <f t="shared" si="85"/>
        <v>0.63157894736842102</v>
      </c>
      <c r="X145" s="74">
        <f t="shared" si="86"/>
        <v>0.36842105263157898</v>
      </c>
      <c r="Y145" s="73">
        <f t="shared" si="92"/>
        <v>0.76159390724874199</v>
      </c>
      <c r="Z145" s="72">
        <f t="shared" si="93"/>
        <v>5.755879621534457</v>
      </c>
      <c r="AA145" s="72">
        <f t="shared" si="94"/>
        <v>3.1619382990991682</v>
      </c>
      <c r="AB145" s="72">
        <v>0</v>
      </c>
      <c r="AC145" s="72">
        <f t="shared" si="95"/>
        <v>9.9978538073101419E-2</v>
      </c>
      <c r="AD145" s="74">
        <f t="shared" si="96"/>
        <v>9.9978538073101419E-2</v>
      </c>
      <c r="AE145" s="73">
        <f t="shared" si="97"/>
        <v>3.665612030075188</v>
      </c>
      <c r="AF145" s="72">
        <f t="shared" si="98"/>
        <v>3.1619382990991682</v>
      </c>
      <c r="AG145" s="72">
        <f t="shared" si="87"/>
        <v>4.4990342132895642E-2</v>
      </c>
      <c r="AH145" s="72">
        <f t="shared" si="88"/>
        <v>1.07696643373033</v>
      </c>
      <c r="AI145" s="74">
        <f t="shared" si="99"/>
        <v>1.1219567758632256</v>
      </c>
      <c r="AJ145" s="73">
        <f t="shared" si="100"/>
        <v>1.84</v>
      </c>
      <c r="AK145" s="72">
        <f t="shared" si="101"/>
        <v>3.2652794181059011</v>
      </c>
      <c r="AL145" s="72">
        <f t="shared" si="102"/>
        <v>1.288</v>
      </c>
      <c r="AM145" s="72">
        <f t="shared" si="89"/>
        <v>0.42354999999999998</v>
      </c>
      <c r="AN145" s="74">
        <f t="shared" si="103"/>
        <v>1.7115499999999999</v>
      </c>
      <c r="AO145" s="73">
        <f t="shared" si="90"/>
        <v>0.11997424568772171</v>
      </c>
      <c r="AP145" s="72">
        <f t="shared" si="91"/>
        <v>0.2467125</v>
      </c>
      <c r="AQ145" s="74">
        <f t="shared" si="104"/>
        <v>3.15E-3</v>
      </c>
      <c r="AR145" s="73">
        <f t="shared" si="105"/>
        <v>3.2033435215509476</v>
      </c>
      <c r="AS145" s="72">
        <f t="shared" si="106"/>
        <v>22.080000000000002</v>
      </c>
      <c r="AT145" s="74">
        <f t="shared" si="107"/>
        <v>87.330221895610876</v>
      </c>
    </row>
    <row r="146" spans="17:46" ht="14.65" x14ac:dyDescent="0.4">
      <c r="Q146">
        <v>139</v>
      </c>
      <c r="R146" s="73">
        <f t="shared" si="80"/>
        <v>12</v>
      </c>
      <c r="S146" s="72">
        <f t="shared" si="81"/>
        <v>1.8533333333333335</v>
      </c>
      <c r="T146" s="72">
        <f t="shared" si="82"/>
        <v>7</v>
      </c>
      <c r="U146" s="74">
        <f t="shared" si="83"/>
        <v>3.1771428571428575</v>
      </c>
      <c r="V146" s="73">
        <f t="shared" si="84"/>
        <v>2</v>
      </c>
      <c r="W146" s="72">
        <f t="shared" si="85"/>
        <v>0.63157894736842102</v>
      </c>
      <c r="X146" s="74">
        <f t="shared" si="86"/>
        <v>0.36842105263157898</v>
      </c>
      <c r="Y146" s="73">
        <f t="shared" si="92"/>
        <v>0.76159390724874199</v>
      </c>
      <c r="Z146" s="72">
        <f t="shared" si="93"/>
        <v>5.7920700977249338</v>
      </c>
      <c r="AA146" s="72">
        <f t="shared" si="94"/>
        <v>3.1847405192035785</v>
      </c>
      <c r="AB146" s="72">
        <v>0</v>
      </c>
      <c r="AC146" s="72">
        <f t="shared" si="95"/>
        <v>0.1014257217465708</v>
      </c>
      <c r="AD146" s="74">
        <f t="shared" si="96"/>
        <v>0.1014257217465708</v>
      </c>
      <c r="AE146" s="73">
        <f t="shared" si="97"/>
        <v>3.718929323308271</v>
      </c>
      <c r="AF146" s="72">
        <f t="shared" si="98"/>
        <v>3.1847405192035785</v>
      </c>
      <c r="AG146" s="72">
        <f t="shared" si="87"/>
        <v>4.5641574785956859E-2</v>
      </c>
      <c r="AH146" s="72">
        <f t="shared" si="88"/>
        <v>1.0847705383225787</v>
      </c>
      <c r="AI146" s="74">
        <f t="shared" si="99"/>
        <v>1.1304121131085356</v>
      </c>
      <c r="AJ146" s="73">
        <f t="shared" si="100"/>
        <v>1.8533333333333335</v>
      </c>
      <c r="AK146" s="72">
        <f t="shared" si="101"/>
        <v>3.28722797441849</v>
      </c>
      <c r="AL146" s="72">
        <f t="shared" si="102"/>
        <v>1.2973333333333334</v>
      </c>
      <c r="AM146" s="72">
        <f t="shared" si="89"/>
        <v>0.42354999999999998</v>
      </c>
      <c r="AN146" s="74">
        <f t="shared" si="103"/>
        <v>1.7208833333333335</v>
      </c>
      <c r="AO146" s="73">
        <f t="shared" si="90"/>
        <v>0.12171086609588495</v>
      </c>
      <c r="AP146" s="72">
        <f t="shared" si="91"/>
        <v>0.2467125</v>
      </c>
      <c r="AQ146" s="74">
        <f t="shared" si="104"/>
        <v>3.15E-3</v>
      </c>
      <c r="AR146" s="73">
        <f t="shared" si="105"/>
        <v>3.2228688125377545</v>
      </c>
      <c r="AS146" s="72">
        <f t="shared" si="106"/>
        <v>22.240000000000002</v>
      </c>
      <c r="AT146" s="74">
        <f t="shared" si="107"/>
        <v>87.342868408642033</v>
      </c>
    </row>
    <row r="147" spans="17:46" ht="14.65" x14ac:dyDescent="0.4">
      <c r="Q147">
        <v>140</v>
      </c>
      <c r="R147" s="73">
        <f t="shared" si="80"/>
        <v>12</v>
      </c>
      <c r="S147" s="72">
        <f t="shared" si="81"/>
        <v>1.8666666666666667</v>
      </c>
      <c r="T147" s="72">
        <f t="shared" si="82"/>
        <v>7</v>
      </c>
      <c r="U147" s="74">
        <f t="shared" si="83"/>
        <v>3.1999999999999997</v>
      </c>
      <c r="V147" s="73">
        <f t="shared" si="84"/>
        <v>2</v>
      </c>
      <c r="W147" s="72">
        <f t="shared" si="85"/>
        <v>0.63157894736842102</v>
      </c>
      <c r="X147" s="74">
        <f t="shared" si="86"/>
        <v>0.36842105263157898</v>
      </c>
      <c r="Y147" s="73">
        <f t="shared" si="92"/>
        <v>0.76159390724874199</v>
      </c>
      <c r="Z147" s="72">
        <f t="shared" si="93"/>
        <v>5.8282605739154087</v>
      </c>
      <c r="AA147" s="72">
        <f t="shared" si="94"/>
        <v>3.2075435211331427</v>
      </c>
      <c r="AB147" s="72">
        <v>0</v>
      </c>
      <c r="AC147" s="72">
        <f t="shared" si="95"/>
        <v>0.102883354399632</v>
      </c>
      <c r="AD147" s="74">
        <f t="shared" si="96"/>
        <v>0.102883354399632</v>
      </c>
      <c r="AE147" s="73">
        <f t="shared" si="97"/>
        <v>3.7726315789473679</v>
      </c>
      <c r="AF147" s="72">
        <f t="shared" si="98"/>
        <v>3.2075435211331427</v>
      </c>
      <c r="AG147" s="72">
        <f t="shared" si="87"/>
        <v>4.6297509479834409E-2</v>
      </c>
      <c r="AH147" s="72">
        <f t="shared" si="88"/>
        <v>1.0925746429148275</v>
      </c>
      <c r="AI147" s="74">
        <f t="shared" si="99"/>
        <v>1.1388721523946619</v>
      </c>
      <c r="AJ147" s="73">
        <f t="shared" si="100"/>
        <v>1.8666666666666667</v>
      </c>
      <c r="AK147" s="72">
        <f t="shared" si="101"/>
        <v>3.3091767726517789</v>
      </c>
      <c r="AL147" s="72">
        <f t="shared" si="102"/>
        <v>1.3066666666666666</v>
      </c>
      <c r="AM147" s="72">
        <f t="shared" si="89"/>
        <v>0.42354999999999998</v>
      </c>
      <c r="AN147" s="74">
        <f t="shared" si="103"/>
        <v>1.7302166666666667</v>
      </c>
      <c r="AO147" s="73">
        <f t="shared" si="90"/>
        <v>0.12346002527955841</v>
      </c>
      <c r="AP147" s="72">
        <f t="shared" si="91"/>
        <v>0.2467125</v>
      </c>
      <c r="AQ147" s="74">
        <f t="shared" si="104"/>
        <v>3.15E-3</v>
      </c>
      <c r="AR147" s="73">
        <f t="shared" si="105"/>
        <v>3.2424113443408875</v>
      </c>
      <c r="AS147" s="72">
        <f t="shared" si="106"/>
        <v>22.4</v>
      </c>
      <c r="AT147" s="74">
        <f t="shared" si="107"/>
        <v>87.355279108505272</v>
      </c>
    </row>
    <row r="148" spans="17:46" ht="14.65" x14ac:dyDescent="0.4">
      <c r="Q148">
        <v>141</v>
      </c>
      <c r="R148" s="73">
        <f t="shared" si="80"/>
        <v>12</v>
      </c>
      <c r="S148" s="72">
        <f t="shared" si="81"/>
        <v>1.8800000000000001</v>
      </c>
      <c r="T148" s="72">
        <f t="shared" si="82"/>
        <v>7</v>
      </c>
      <c r="U148" s="74">
        <f t="shared" si="83"/>
        <v>3.2228571428571433</v>
      </c>
      <c r="V148" s="73">
        <f t="shared" si="84"/>
        <v>2</v>
      </c>
      <c r="W148" s="72">
        <f t="shared" si="85"/>
        <v>0.63157894736842102</v>
      </c>
      <c r="X148" s="74">
        <f t="shared" si="86"/>
        <v>0.36842105263157898</v>
      </c>
      <c r="Y148" s="73">
        <f t="shared" si="92"/>
        <v>0.76159390724874199</v>
      </c>
      <c r="Z148" s="72">
        <f t="shared" si="93"/>
        <v>5.8644510501058855</v>
      </c>
      <c r="AA148" s="72">
        <f t="shared" si="94"/>
        <v>3.2303472883311648</v>
      </c>
      <c r="AB148" s="72">
        <v>0</v>
      </c>
      <c r="AC148" s="72">
        <f t="shared" si="95"/>
        <v>0.1043514360322851</v>
      </c>
      <c r="AD148" s="74">
        <f t="shared" si="96"/>
        <v>0.1043514360322851</v>
      </c>
      <c r="AE148" s="73">
        <f t="shared" si="97"/>
        <v>3.8267187969924814</v>
      </c>
      <c r="AF148" s="72">
        <f t="shared" si="98"/>
        <v>3.2303472883311648</v>
      </c>
      <c r="AG148" s="72">
        <f t="shared" si="87"/>
        <v>4.6958146214528297E-2</v>
      </c>
      <c r="AH148" s="72">
        <f t="shared" si="88"/>
        <v>1.1003787475070763</v>
      </c>
      <c r="AI148" s="74">
        <f t="shared" si="99"/>
        <v>1.1473368937216046</v>
      </c>
      <c r="AJ148" s="73">
        <f t="shared" si="100"/>
        <v>1.8800000000000001</v>
      </c>
      <c r="AK148" s="72">
        <f t="shared" si="101"/>
        <v>3.3311258080237196</v>
      </c>
      <c r="AL148" s="72">
        <f t="shared" si="102"/>
        <v>1.3160000000000001</v>
      </c>
      <c r="AM148" s="72">
        <f t="shared" si="89"/>
        <v>0.42354999999999998</v>
      </c>
      <c r="AN148" s="74">
        <f t="shared" si="103"/>
        <v>1.7395499999999999</v>
      </c>
      <c r="AO148" s="73">
        <f t="shared" si="90"/>
        <v>0.12522172323874212</v>
      </c>
      <c r="AP148" s="72">
        <f t="shared" si="91"/>
        <v>0.2467125</v>
      </c>
      <c r="AQ148" s="74">
        <f t="shared" si="104"/>
        <v>3.15E-3</v>
      </c>
      <c r="AR148" s="73">
        <f t="shared" si="105"/>
        <v>3.2619711169603467</v>
      </c>
      <c r="AS148" s="72">
        <f t="shared" si="106"/>
        <v>22.560000000000002</v>
      </c>
      <c r="AT148" s="74">
        <f t="shared" si="107"/>
        <v>87.367458889233191</v>
      </c>
    </row>
    <row r="149" spans="17:46" ht="14.65" x14ac:dyDescent="0.4">
      <c r="Q149">
        <v>142</v>
      </c>
      <c r="R149" s="73">
        <f t="shared" si="80"/>
        <v>12</v>
      </c>
      <c r="S149" s="72">
        <f t="shared" si="81"/>
        <v>1.8933333333333335</v>
      </c>
      <c r="T149" s="72">
        <f t="shared" si="82"/>
        <v>7</v>
      </c>
      <c r="U149" s="74">
        <f t="shared" si="83"/>
        <v>3.245714285714286</v>
      </c>
      <c r="V149" s="73">
        <f t="shared" si="84"/>
        <v>2</v>
      </c>
      <c r="W149" s="72">
        <f t="shared" si="85"/>
        <v>0.63157894736842102</v>
      </c>
      <c r="X149" s="74">
        <f t="shared" si="86"/>
        <v>0.36842105263157898</v>
      </c>
      <c r="Y149" s="73">
        <f t="shared" si="92"/>
        <v>0.76159390724874199</v>
      </c>
      <c r="Z149" s="72">
        <f t="shared" si="93"/>
        <v>5.9006415262963623</v>
      </c>
      <c r="AA149" s="72">
        <f t="shared" si="94"/>
        <v>3.2531518047046308</v>
      </c>
      <c r="AB149" s="72">
        <v>0</v>
      </c>
      <c r="AC149" s="72">
        <f t="shared" si="95"/>
        <v>0.10582996664452997</v>
      </c>
      <c r="AD149" s="74">
        <f t="shared" si="96"/>
        <v>0.10582996664452997</v>
      </c>
      <c r="AE149" s="73">
        <f t="shared" si="97"/>
        <v>3.8811909774436097</v>
      </c>
      <c r="AF149" s="72">
        <f t="shared" si="98"/>
        <v>3.2531518047046308</v>
      </c>
      <c r="AG149" s="72">
        <f t="shared" si="87"/>
        <v>4.7623484990038489E-2</v>
      </c>
      <c r="AH149" s="72">
        <f t="shared" si="88"/>
        <v>1.1081828520993251</v>
      </c>
      <c r="AI149" s="74">
        <f t="shared" si="99"/>
        <v>1.1558063370893636</v>
      </c>
      <c r="AJ149" s="73">
        <f t="shared" si="100"/>
        <v>1.8933333333333335</v>
      </c>
      <c r="AK149" s="72">
        <f t="shared" si="101"/>
        <v>3.3530750758774239</v>
      </c>
      <c r="AL149" s="72">
        <f t="shared" si="102"/>
        <v>1.3253333333333335</v>
      </c>
      <c r="AM149" s="72">
        <f t="shared" si="89"/>
        <v>0.42354999999999998</v>
      </c>
      <c r="AN149" s="74">
        <f t="shared" si="103"/>
        <v>1.7488833333333336</v>
      </c>
      <c r="AO149" s="73">
        <f t="shared" si="90"/>
        <v>0.12699595997343596</v>
      </c>
      <c r="AP149" s="72">
        <f t="shared" si="91"/>
        <v>0.2467125</v>
      </c>
      <c r="AQ149" s="74">
        <f t="shared" si="104"/>
        <v>3.15E-3</v>
      </c>
      <c r="AR149" s="73">
        <f t="shared" si="105"/>
        <v>3.2815481303961334</v>
      </c>
      <c r="AS149" s="72">
        <f t="shared" si="106"/>
        <v>22.720000000000002</v>
      </c>
      <c r="AT149" s="74">
        <f t="shared" si="107"/>
        <v>87.379412510596012</v>
      </c>
    </row>
    <row r="150" spans="17:46" ht="14.65" x14ac:dyDescent="0.4">
      <c r="Q150">
        <v>143</v>
      </c>
      <c r="R150" s="73">
        <f t="shared" si="80"/>
        <v>12</v>
      </c>
      <c r="S150" s="72">
        <f t="shared" si="81"/>
        <v>1.9066666666666667</v>
      </c>
      <c r="T150" s="72">
        <f t="shared" si="82"/>
        <v>7</v>
      </c>
      <c r="U150" s="74">
        <f t="shared" si="83"/>
        <v>3.2685714285714291</v>
      </c>
      <c r="V150" s="73">
        <f t="shared" si="84"/>
        <v>2</v>
      </c>
      <c r="W150" s="72">
        <f t="shared" si="85"/>
        <v>0.63157894736842102</v>
      </c>
      <c r="X150" s="74">
        <f t="shared" si="86"/>
        <v>0.36842105263157898</v>
      </c>
      <c r="Y150" s="73">
        <f t="shared" si="92"/>
        <v>0.76159390724874199</v>
      </c>
      <c r="Z150" s="72">
        <f t="shared" si="93"/>
        <v>5.9368320024868382</v>
      </c>
      <c r="AA150" s="72">
        <f t="shared" si="94"/>
        <v>3.2759570546081145</v>
      </c>
      <c r="AB150" s="72">
        <v>0</v>
      </c>
      <c r="AC150" s="72">
        <f t="shared" si="95"/>
        <v>0.10731894623636673</v>
      </c>
      <c r="AD150" s="74">
        <f t="shared" si="96"/>
        <v>0.10731894623636673</v>
      </c>
      <c r="AE150" s="73">
        <f t="shared" si="97"/>
        <v>3.9360481203007525</v>
      </c>
      <c r="AF150" s="72">
        <f t="shared" si="98"/>
        <v>3.2759570546081145</v>
      </c>
      <c r="AG150" s="72">
        <f t="shared" si="87"/>
        <v>4.8293525806365034E-2</v>
      </c>
      <c r="AH150" s="72">
        <f t="shared" si="88"/>
        <v>1.1159869566915739</v>
      </c>
      <c r="AI150" s="74">
        <f t="shared" si="99"/>
        <v>1.1642804824979389</v>
      </c>
      <c r="AJ150" s="73">
        <f t="shared" si="100"/>
        <v>1.9066666666666667</v>
      </c>
      <c r="AK150" s="72">
        <f t="shared" si="101"/>
        <v>3.3750245716770988</v>
      </c>
      <c r="AL150" s="72">
        <f t="shared" si="102"/>
        <v>1.3346666666666667</v>
      </c>
      <c r="AM150" s="72">
        <f t="shared" si="89"/>
        <v>0.42354999999999998</v>
      </c>
      <c r="AN150" s="74">
        <f t="shared" si="103"/>
        <v>1.7582166666666668</v>
      </c>
      <c r="AO150" s="73">
        <f t="shared" si="90"/>
        <v>0.12878273548364008</v>
      </c>
      <c r="AP150" s="72">
        <f t="shared" si="91"/>
        <v>0.2467125</v>
      </c>
      <c r="AQ150" s="74">
        <f t="shared" si="104"/>
        <v>3.15E-3</v>
      </c>
      <c r="AR150" s="73">
        <f t="shared" si="105"/>
        <v>3.3011423846482462</v>
      </c>
      <c r="AS150" s="72">
        <f t="shared" si="106"/>
        <v>22.880000000000003</v>
      </c>
      <c r="AT150" s="74">
        <f t="shared" si="107"/>
        <v>87.391144602674302</v>
      </c>
    </row>
    <row r="151" spans="17:46" ht="14.65" x14ac:dyDescent="0.4">
      <c r="Q151">
        <v>144</v>
      </c>
      <c r="R151" s="73">
        <f t="shared" si="80"/>
        <v>12</v>
      </c>
      <c r="S151" s="72">
        <f t="shared" si="81"/>
        <v>1.9200000000000002</v>
      </c>
      <c r="T151" s="72">
        <f t="shared" si="82"/>
        <v>7</v>
      </c>
      <c r="U151" s="74">
        <f t="shared" si="83"/>
        <v>3.2914285714285718</v>
      </c>
      <c r="V151" s="73">
        <f t="shared" si="84"/>
        <v>2</v>
      </c>
      <c r="W151" s="72">
        <f t="shared" si="85"/>
        <v>0.63157894736842102</v>
      </c>
      <c r="X151" s="74">
        <f t="shared" si="86"/>
        <v>0.36842105263157898</v>
      </c>
      <c r="Y151" s="73">
        <f t="shared" si="92"/>
        <v>0.76159390724874199</v>
      </c>
      <c r="Z151" s="72">
        <f t="shared" si="93"/>
        <v>5.9730224786773141</v>
      </c>
      <c r="AA151" s="72">
        <f t="shared" si="94"/>
        <v>3.298763022828334</v>
      </c>
      <c r="AB151" s="72">
        <v>0</v>
      </c>
      <c r="AC151" s="72">
        <f t="shared" si="95"/>
        <v>0.10881837480779527</v>
      </c>
      <c r="AD151" s="74">
        <f t="shared" si="96"/>
        <v>0.10881837480779527</v>
      </c>
      <c r="AE151" s="73">
        <f t="shared" si="97"/>
        <v>3.9912902255639104</v>
      </c>
      <c r="AF151" s="72">
        <f t="shared" si="98"/>
        <v>3.298763022828334</v>
      </c>
      <c r="AG151" s="72">
        <f t="shared" si="87"/>
        <v>4.8968268663507876E-2</v>
      </c>
      <c r="AH151" s="72">
        <f t="shared" si="88"/>
        <v>1.1237910612838224</v>
      </c>
      <c r="AI151" s="74">
        <f t="shared" si="99"/>
        <v>1.1727593299473302</v>
      </c>
      <c r="AJ151" s="73">
        <f t="shared" si="100"/>
        <v>1.9200000000000002</v>
      </c>
      <c r="AK151" s="72">
        <f t="shared" si="101"/>
        <v>3.3969742910041365</v>
      </c>
      <c r="AL151" s="72">
        <f t="shared" si="102"/>
        <v>1.3440000000000001</v>
      </c>
      <c r="AM151" s="72">
        <f t="shared" si="89"/>
        <v>0.42354999999999998</v>
      </c>
      <c r="AN151" s="74">
        <f t="shared" si="103"/>
        <v>1.76755</v>
      </c>
      <c r="AO151" s="73">
        <f t="shared" si="90"/>
        <v>0.13058204976935434</v>
      </c>
      <c r="AP151" s="72">
        <f t="shared" si="91"/>
        <v>0.2467125</v>
      </c>
      <c r="AQ151" s="74">
        <f t="shared" si="104"/>
        <v>3.15E-3</v>
      </c>
      <c r="AR151" s="73">
        <f t="shared" si="105"/>
        <v>3.3207538797166847</v>
      </c>
      <c r="AS151" s="72">
        <f t="shared" si="106"/>
        <v>23.040000000000003</v>
      </c>
      <c r="AT151" s="74">
        <f t="shared" si="107"/>
        <v>87.402659670246223</v>
      </c>
    </row>
    <row r="152" spans="17:46" ht="14.65" x14ac:dyDescent="0.4">
      <c r="Q152">
        <v>145</v>
      </c>
      <c r="R152" s="73">
        <f t="shared" si="80"/>
        <v>12</v>
      </c>
      <c r="S152" s="72">
        <f t="shared" si="81"/>
        <v>1.9333333333333333</v>
      </c>
      <c r="T152" s="72">
        <f t="shared" si="82"/>
        <v>7</v>
      </c>
      <c r="U152" s="74">
        <f t="shared" si="83"/>
        <v>3.3142857142857141</v>
      </c>
      <c r="V152" s="73">
        <f t="shared" si="84"/>
        <v>2</v>
      </c>
      <c r="W152" s="72">
        <f t="shared" si="85"/>
        <v>0.63157894736842102</v>
      </c>
      <c r="X152" s="74">
        <f t="shared" si="86"/>
        <v>0.36842105263157898</v>
      </c>
      <c r="Y152" s="73">
        <f t="shared" si="92"/>
        <v>0.76159390724874199</v>
      </c>
      <c r="Z152" s="72">
        <f t="shared" si="93"/>
        <v>6.0092129548677899</v>
      </c>
      <c r="AA152" s="72">
        <f t="shared" si="94"/>
        <v>3.321569694569356</v>
      </c>
      <c r="AB152" s="72">
        <v>0</v>
      </c>
      <c r="AC152" s="72">
        <f t="shared" si="95"/>
        <v>0.11032825235881566</v>
      </c>
      <c r="AD152" s="74">
        <f t="shared" si="96"/>
        <v>0.11032825235881566</v>
      </c>
      <c r="AE152" s="73">
        <f t="shared" si="97"/>
        <v>4.0469172932330819</v>
      </c>
      <c r="AF152" s="72">
        <f t="shared" si="98"/>
        <v>3.321569694569356</v>
      </c>
      <c r="AG152" s="72">
        <f t="shared" si="87"/>
        <v>4.964771356146705E-2</v>
      </c>
      <c r="AH152" s="72">
        <f t="shared" si="88"/>
        <v>1.1315951658760715</v>
      </c>
      <c r="AI152" s="74">
        <f t="shared" si="99"/>
        <v>1.1812428794375385</v>
      </c>
      <c r="AJ152" s="73">
        <f t="shared" si="100"/>
        <v>1.9333333333333333</v>
      </c>
      <c r="AK152" s="72">
        <f t="shared" si="101"/>
        <v>3.4189242295533555</v>
      </c>
      <c r="AL152" s="72">
        <f t="shared" si="102"/>
        <v>1.3533333333333333</v>
      </c>
      <c r="AM152" s="72">
        <f t="shared" si="89"/>
        <v>0.42354999999999998</v>
      </c>
      <c r="AN152" s="74">
        <f t="shared" si="103"/>
        <v>1.7768833333333331</v>
      </c>
      <c r="AO152" s="73">
        <f t="shared" si="90"/>
        <v>0.13239390283057878</v>
      </c>
      <c r="AP152" s="72">
        <f t="shared" si="91"/>
        <v>0.2467125</v>
      </c>
      <c r="AQ152" s="74">
        <f t="shared" si="104"/>
        <v>3.15E-3</v>
      </c>
      <c r="AR152" s="73">
        <f t="shared" si="105"/>
        <v>3.3403826156014507</v>
      </c>
      <c r="AS152" s="72">
        <f t="shared" si="106"/>
        <v>23.2</v>
      </c>
      <c r="AT152" s="74">
        <f t="shared" si="107"/>
        <v>87.413962096997622</v>
      </c>
    </row>
    <row r="153" spans="17:46" ht="14.65" x14ac:dyDescent="0.4">
      <c r="Q153">
        <v>146</v>
      </c>
      <c r="R153" s="73">
        <f t="shared" si="80"/>
        <v>12</v>
      </c>
      <c r="S153" s="72">
        <f t="shared" si="81"/>
        <v>1.9466666666666668</v>
      </c>
      <c r="T153" s="72">
        <f t="shared" si="82"/>
        <v>7</v>
      </c>
      <c r="U153" s="74">
        <f t="shared" si="83"/>
        <v>3.3371428571428572</v>
      </c>
      <c r="V153" s="73">
        <f t="shared" si="84"/>
        <v>2</v>
      </c>
      <c r="W153" s="72">
        <f t="shared" si="85"/>
        <v>0.63157894736842102</v>
      </c>
      <c r="X153" s="74">
        <f t="shared" si="86"/>
        <v>0.36842105263157898</v>
      </c>
      <c r="Y153" s="73">
        <f t="shared" si="92"/>
        <v>0.76159390724874199</v>
      </c>
      <c r="Z153" s="72">
        <f t="shared" si="93"/>
        <v>6.0454034310582658</v>
      </c>
      <c r="AA153" s="72">
        <f t="shared" si="94"/>
        <v>3.3443770554383954</v>
      </c>
      <c r="AB153" s="72">
        <v>0</v>
      </c>
      <c r="AC153" s="72">
        <f t="shared" si="95"/>
        <v>0.11184857888942792</v>
      </c>
      <c r="AD153" s="74">
        <f t="shared" si="96"/>
        <v>0.11184857888942792</v>
      </c>
      <c r="AE153" s="73">
        <f t="shared" si="97"/>
        <v>4.1029293233082713</v>
      </c>
      <c r="AF153" s="72">
        <f t="shared" si="98"/>
        <v>3.3443770554383954</v>
      </c>
      <c r="AG153" s="72">
        <f t="shared" si="87"/>
        <v>5.0331860500242569E-2</v>
      </c>
      <c r="AH153" s="72">
        <f t="shared" si="88"/>
        <v>1.13939927046832</v>
      </c>
      <c r="AI153" s="74">
        <f t="shared" si="99"/>
        <v>1.1897311309685625</v>
      </c>
      <c r="AJ153" s="73">
        <f t="shared" si="100"/>
        <v>1.9466666666666668</v>
      </c>
      <c r="AK153" s="72">
        <f t="shared" si="101"/>
        <v>3.4408743831293864</v>
      </c>
      <c r="AL153" s="72">
        <f t="shared" si="102"/>
        <v>1.3626666666666667</v>
      </c>
      <c r="AM153" s="72">
        <f t="shared" si="89"/>
        <v>0.42354999999999998</v>
      </c>
      <c r="AN153" s="74">
        <f t="shared" si="103"/>
        <v>1.7862166666666668</v>
      </c>
      <c r="AO153" s="73">
        <f t="shared" si="90"/>
        <v>0.1342182946673135</v>
      </c>
      <c r="AP153" s="72">
        <f t="shared" si="91"/>
        <v>0.2467125</v>
      </c>
      <c r="AQ153" s="74">
        <f t="shared" si="104"/>
        <v>3.15E-3</v>
      </c>
      <c r="AR153" s="73">
        <f t="shared" si="105"/>
        <v>3.3600285923025432</v>
      </c>
      <c r="AS153" s="72">
        <f t="shared" si="106"/>
        <v>23.36</v>
      </c>
      <c r="AT153" s="74">
        <f t="shared" si="107"/>
        <v>87.425056149563801</v>
      </c>
    </row>
    <row r="154" spans="17:46" ht="14.65" x14ac:dyDescent="0.4">
      <c r="Q154">
        <v>147</v>
      </c>
      <c r="R154" s="73">
        <f t="shared" si="80"/>
        <v>12</v>
      </c>
      <c r="S154" s="72">
        <f t="shared" si="81"/>
        <v>1.9600000000000002</v>
      </c>
      <c r="T154" s="72">
        <f t="shared" si="82"/>
        <v>7</v>
      </c>
      <c r="U154" s="74">
        <f t="shared" si="83"/>
        <v>3.3600000000000003</v>
      </c>
      <c r="V154" s="73">
        <f t="shared" si="84"/>
        <v>2</v>
      </c>
      <c r="W154" s="72">
        <f t="shared" si="85"/>
        <v>0.63157894736842102</v>
      </c>
      <c r="X154" s="74">
        <f t="shared" si="86"/>
        <v>0.36842105263157898</v>
      </c>
      <c r="Y154" s="73">
        <f t="shared" si="92"/>
        <v>0.76159390724874199</v>
      </c>
      <c r="Z154" s="72">
        <f t="shared" si="93"/>
        <v>6.0815939072487426</v>
      </c>
      <c r="AA154" s="72">
        <f t="shared" si="94"/>
        <v>3.3671850914321895</v>
      </c>
      <c r="AB154" s="72">
        <v>0</v>
      </c>
      <c r="AC154" s="72">
        <f t="shared" si="95"/>
        <v>0.11337935439963202</v>
      </c>
      <c r="AD154" s="74">
        <f t="shared" si="96"/>
        <v>0.11337935439963202</v>
      </c>
      <c r="AE154" s="73">
        <f t="shared" si="97"/>
        <v>4.1593263157894746</v>
      </c>
      <c r="AF154" s="72">
        <f t="shared" si="98"/>
        <v>3.3671850914321895</v>
      </c>
      <c r="AG154" s="72">
        <f t="shared" si="87"/>
        <v>5.1020709479834413E-2</v>
      </c>
      <c r="AH154" s="72">
        <f t="shared" si="88"/>
        <v>1.147203375060569</v>
      </c>
      <c r="AI154" s="74">
        <f t="shared" si="99"/>
        <v>1.1982240845404035</v>
      </c>
      <c r="AJ154" s="73">
        <f t="shared" si="100"/>
        <v>1.9600000000000002</v>
      </c>
      <c r="AK154" s="72">
        <f t="shared" si="101"/>
        <v>3.4628247476431935</v>
      </c>
      <c r="AL154" s="72">
        <f t="shared" si="102"/>
        <v>1.3720000000000001</v>
      </c>
      <c r="AM154" s="72">
        <f t="shared" si="89"/>
        <v>0.42354999999999998</v>
      </c>
      <c r="AN154" s="74">
        <f t="shared" si="103"/>
        <v>1.79555</v>
      </c>
      <c r="AO154" s="73">
        <f t="shared" si="90"/>
        <v>0.13605522527955843</v>
      </c>
      <c r="AP154" s="72">
        <f t="shared" si="91"/>
        <v>0.2467125</v>
      </c>
      <c r="AQ154" s="74">
        <f t="shared" si="104"/>
        <v>3.15E-3</v>
      </c>
      <c r="AR154" s="73">
        <f t="shared" si="105"/>
        <v>3.379691809819962</v>
      </c>
      <c r="AS154" s="72">
        <f t="shared" si="106"/>
        <v>23.520000000000003</v>
      </c>
      <c r="AT154" s="74">
        <f t="shared" si="107"/>
        <v>87.435945981410185</v>
      </c>
    </row>
    <row r="155" spans="17:46" ht="14.65" x14ac:dyDescent="0.4">
      <c r="Q155">
        <v>148</v>
      </c>
      <c r="R155" s="73">
        <f t="shared" si="80"/>
        <v>12</v>
      </c>
      <c r="S155" s="72">
        <f t="shared" si="81"/>
        <v>1.9733333333333334</v>
      </c>
      <c r="T155" s="72">
        <f t="shared" si="82"/>
        <v>7</v>
      </c>
      <c r="U155" s="74">
        <f t="shared" si="83"/>
        <v>3.382857142857143</v>
      </c>
      <c r="V155" s="73">
        <f t="shared" si="84"/>
        <v>2</v>
      </c>
      <c r="W155" s="72">
        <f t="shared" si="85"/>
        <v>0.63157894736842102</v>
      </c>
      <c r="X155" s="74">
        <f t="shared" si="86"/>
        <v>0.36842105263157898</v>
      </c>
      <c r="Y155" s="73">
        <f t="shared" si="92"/>
        <v>0.76159390724874199</v>
      </c>
      <c r="Z155" s="72">
        <f t="shared" si="93"/>
        <v>6.1177843834392185</v>
      </c>
      <c r="AA155" s="72">
        <f t="shared" si="94"/>
        <v>3.3899937889239253</v>
      </c>
      <c r="AB155" s="72">
        <v>0</v>
      </c>
      <c r="AC155" s="72">
        <f t="shared" si="95"/>
        <v>0.1149205788894279</v>
      </c>
      <c r="AD155" s="74">
        <f t="shared" si="96"/>
        <v>0.1149205788894279</v>
      </c>
      <c r="AE155" s="73">
        <f t="shared" si="97"/>
        <v>4.2161082706766919</v>
      </c>
      <c r="AF155" s="72">
        <f t="shared" si="98"/>
        <v>3.3899937889239253</v>
      </c>
      <c r="AG155" s="72">
        <f t="shared" si="87"/>
        <v>5.1714260500242561E-2</v>
      </c>
      <c r="AH155" s="72">
        <f t="shared" si="88"/>
        <v>1.1550074796528176</v>
      </c>
      <c r="AI155" s="74">
        <f t="shared" si="99"/>
        <v>1.2067217401530601</v>
      </c>
      <c r="AJ155" s="73">
        <f t="shared" si="100"/>
        <v>1.9733333333333334</v>
      </c>
      <c r="AK155" s="72">
        <f t="shared" si="101"/>
        <v>3.4847753191087278</v>
      </c>
      <c r="AL155" s="72">
        <f t="shared" si="102"/>
        <v>1.3813333333333333</v>
      </c>
      <c r="AM155" s="72">
        <f t="shared" si="89"/>
        <v>0.42354999999999998</v>
      </c>
      <c r="AN155" s="74">
        <f t="shared" si="103"/>
        <v>1.8048833333333332</v>
      </c>
      <c r="AO155" s="73">
        <f t="shared" si="90"/>
        <v>0.13790469466731348</v>
      </c>
      <c r="AP155" s="72">
        <f t="shared" si="91"/>
        <v>0.2467125</v>
      </c>
      <c r="AQ155" s="74">
        <f t="shared" si="104"/>
        <v>3.15E-3</v>
      </c>
      <c r="AR155" s="73">
        <f t="shared" si="105"/>
        <v>3.3993722681537073</v>
      </c>
      <c r="AS155" s="72">
        <f t="shared" si="106"/>
        <v>23.68</v>
      </c>
      <c r="AT155" s="74">
        <f t="shared" si="107"/>
        <v>87.446635636559819</v>
      </c>
    </row>
    <row r="156" spans="17:46" ht="14.65" x14ac:dyDescent="0.4">
      <c r="Q156">
        <v>149</v>
      </c>
      <c r="R156" s="73">
        <f t="shared" si="80"/>
        <v>12</v>
      </c>
      <c r="S156" s="72">
        <f t="shared" si="81"/>
        <v>1.9866666666666668</v>
      </c>
      <c r="T156" s="72">
        <f t="shared" si="82"/>
        <v>7</v>
      </c>
      <c r="U156" s="74">
        <f t="shared" si="83"/>
        <v>3.4057142857142861</v>
      </c>
      <c r="V156" s="73">
        <f t="shared" si="84"/>
        <v>2</v>
      </c>
      <c r="W156" s="72">
        <f t="shared" si="85"/>
        <v>0.63157894736842102</v>
      </c>
      <c r="X156" s="74">
        <f t="shared" si="86"/>
        <v>0.36842105263157898</v>
      </c>
      <c r="Y156" s="73">
        <f t="shared" si="92"/>
        <v>0.76159390724874199</v>
      </c>
      <c r="Z156" s="72">
        <f t="shared" si="93"/>
        <v>6.1539748596296953</v>
      </c>
      <c r="AA156" s="72">
        <f t="shared" si="94"/>
        <v>3.4128031346506891</v>
      </c>
      <c r="AB156" s="72">
        <v>0</v>
      </c>
      <c r="AC156" s="72">
        <f t="shared" si="95"/>
        <v>0.1164722523588157</v>
      </c>
      <c r="AD156" s="74">
        <f t="shared" si="96"/>
        <v>0.1164722523588157</v>
      </c>
      <c r="AE156" s="73">
        <f t="shared" si="97"/>
        <v>4.2732751879699258</v>
      </c>
      <c r="AF156" s="72">
        <f t="shared" si="98"/>
        <v>3.4128031346506891</v>
      </c>
      <c r="AG156" s="72">
        <f t="shared" si="87"/>
        <v>5.2412513561467068E-2</v>
      </c>
      <c r="AH156" s="72">
        <f t="shared" si="88"/>
        <v>1.1628115842450664</v>
      </c>
      <c r="AI156" s="74">
        <f t="shared" si="99"/>
        <v>1.2152240978065334</v>
      </c>
      <c r="AJ156" s="73">
        <f t="shared" si="100"/>
        <v>1.9866666666666668</v>
      </c>
      <c r="AK156" s="72">
        <f t="shared" si="101"/>
        <v>3.5067260936397084</v>
      </c>
      <c r="AL156" s="72">
        <f t="shared" si="102"/>
        <v>1.3906666666666667</v>
      </c>
      <c r="AM156" s="72">
        <f t="shared" si="89"/>
        <v>0.42354999999999998</v>
      </c>
      <c r="AN156" s="74">
        <f t="shared" si="103"/>
        <v>1.8142166666666668</v>
      </c>
      <c r="AO156" s="73">
        <f t="shared" si="90"/>
        <v>0.13976670283057882</v>
      </c>
      <c r="AP156" s="72">
        <f t="shared" si="91"/>
        <v>0.2467125</v>
      </c>
      <c r="AQ156" s="74">
        <f t="shared" si="104"/>
        <v>3.15E-3</v>
      </c>
      <c r="AR156" s="73">
        <f t="shared" si="105"/>
        <v>3.4190699673037792</v>
      </c>
      <c r="AS156" s="72">
        <f t="shared" si="106"/>
        <v>23.840000000000003</v>
      </c>
      <c r="AT156" s="74">
        <f t="shared" si="107"/>
        <v>87.457129053174512</v>
      </c>
    </row>
    <row r="157" spans="17:46" ht="15" thickBot="1" x14ac:dyDescent="0.45">
      <c r="Q157">
        <v>150</v>
      </c>
      <c r="R157" s="75">
        <f t="shared" si="80"/>
        <v>12</v>
      </c>
      <c r="S157" s="76">
        <f t="shared" si="81"/>
        <v>2</v>
      </c>
      <c r="T157" s="76">
        <f t="shared" si="82"/>
        <v>7</v>
      </c>
      <c r="U157" s="77">
        <f t="shared" si="83"/>
        <v>3.4285714285714284</v>
      </c>
      <c r="V157" s="73">
        <f t="shared" si="84"/>
        <v>2</v>
      </c>
      <c r="W157" s="72">
        <f t="shared" si="85"/>
        <v>0.63157894736842102</v>
      </c>
      <c r="X157" s="74">
        <f t="shared" si="86"/>
        <v>0.36842105263157898</v>
      </c>
      <c r="Y157" s="73">
        <f t="shared" si="92"/>
        <v>0.76159390724874199</v>
      </c>
      <c r="Z157" s="72">
        <f t="shared" si="93"/>
        <v>6.1901653358201711</v>
      </c>
      <c r="AA157" s="72">
        <f t="shared" si="94"/>
        <v>3.4356131157014063</v>
      </c>
      <c r="AB157" s="72">
        <v>0</v>
      </c>
      <c r="AC157" s="72">
        <f t="shared" si="95"/>
        <v>0.11803437480779523</v>
      </c>
      <c r="AD157" s="74">
        <f t="shared" si="96"/>
        <v>0.11803437480779523</v>
      </c>
      <c r="AE157" s="73">
        <f t="shared" si="97"/>
        <v>4.3308270676691727</v>
      </c>
      <c r="AF157" s="72">
        <f t="shared" si="98"/>
        <v>3.4356131157014063</v>
      </c>
      <c r="AG157" s="72">
        <f t="shared" si="87"/>
        <v>5.3115468663507859E-2</v>
      </c>
      <c r="AH157" s="72">
        <f t="shared" si="88"/>
        <v>1.1706156888373151</v>
      </c>
      <c r="AI157" s="74">
        <f t="shared" si="99"/>
        <v>1.223731157500823</v>
      </c>
      <c r="AJ157" s="73">
        <f t="shared" si="100"/>
        <v>2</v>
      </c>
      <c r="AK157" s="72">
        <f t="shared" si="101"/>
        <v>3.5286770674465178</v>
      </c>
      <c r="AL157" s="72">
        <f t="shared" si="102"/>
        <v>1.4</v>
      </c>
      <c r="AM157" s="72">
        <f t="shared" si="89"/>
        <v>0.42354999999999998</v>
      </c>
      <c r="AN157" s="74">
        <f t="shared" si="103"/>
        <v>1.82355</v>
      </c>
      <c r="AO157" s="73">
        <f t="shared" si="90"/>
        <v>0.14164124976935427</v>
      </c>
      <c r="AP157" s="72">
        <f t="shared" si="91"/>
        <v>0.2467125</v>
      </c>
      <c r="AQ157" s="74">
        <f t="shared" si="104"/>
        <v>3.15E-3</v>
      </c>
      <c r="AR157" s="73">
        <f t="shared" si="105"/>
        <v>3.4387849072701777</v>
      </c>
      <c r="AS157" s="72">
        <f t="shared" si="106"/>
        <v>24</v>
      </c>
      <c r="AT157" s="74">
        <f t="shared" si="107"/>
        <v>87.467430066996016</v>
      </c>
    </row>
    <row r="158" spans="17:46" ht="14.65" x14ac:dyDescent="0.4"/>
  </sheetData>
  <mergeCells count="8">
    <mergeCell ref="AO5:AQ5"/>
    <mergeCell ref="A1:M1"/>
    <mergeCell ref="R5:U5"/>
    <mergeCell ref="V5:X5"/>
    <mergeCell ref="Y5:AD5"/>
    <mergeCell ref="AE5:AI5"/>
    <mergeCell ref="AJ5:AN5"/>
    <mergeCell ref="Y2:AD2"/>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M708"/>
  <sheetViews>
    <sheetView topLeftCell="W1" zoomScale="85" zoomScaleNormal="85" workbookViewId="0">
      <selection activeCell="BL7" sqref="BL7"/>
    </sheetView>
  </sheetViews>
  <sheetFormatPr defaultRowHeight="14.5" x14ac:dyDescent="0.35"/>
  <cols>
    <col min="1" max="1" width="18.7265625" customWidth="1"/>
    <col min="2" max="2" width="25" customWidth="1"/>
    <col min="8" max="10" width="8.81640625"/>
    <col min="15" max="15" width="16.54296875" style="35" bestFit="1" customWidth="1"/>
    <col min="16" max="16" width="16.54296875" customWidth="1"/>
    <col min="29" max="29" width="8.81640625"/>
    <col min="38" max="38" width="11.36328125" bestFit="1" customWidth="1"/>
    <col min="41" max="41" width="13.1796875" bestFit="1" customWidth="1"/>
    <col min="46" max="46" width="10.1796875" customWidth="1"/>
    <col min="47" max="47" width="12" bestFit="1" customWidth="1"/>
    <col min="55" max="55" width="8.81640625"/>
    <col min="58" max="58" width="8.81640625"/>
  </cols>
  <sheetData>
    <row r="1" spans="1:65" ht="27.5" x14ac:dyDescent="0.65">
      <c r="A1" s="191" t="s">
        <v>15</v>
      </c>
      <c r="B1" s="191"/>
      <c r="C1" s="191"/>
      <c r="D1" s="191"/>
      <c r="E1" s="191"/>
      <c r="F1" s="191"/>
      <c r="G1" s="191"/>
      <c r="H1" s="191"/>
      <c r="I1" s="191"/>
      <c r="J1" s="191"/>
      <c r="K1" s="191"/>
      <c r="L1" s="191"/>
      <c r="M1" s="191"/>
      <c r="N1" s="191" t="s">
        <v>191</v>
      </c>
      <c r="O1" s="191"/>
      <c r="P1" s="191"/>
      <c r="Q1" s="191"/>
      <c r="R1" s="191"/>
      <c r="S1" s="191"/>
      <c r="T1" s="191"/>
      <c r="U1" s="191"/>
      <c r="V1" s="191"/>
      <c r="W1" s="191"/>
      <c r="X1" s="191"/>
    </row>
    <row r="2" spans="1:65" ht="14.65" x14ac:dyDescent="0.4">
      <c r="A2" s="5"/>
      <c r="B2" s="5" t="s">
        <v>16</v>
      </c>
      <c r="C2" s="6"/>
      <c r="D2" s="4"/>
      <c r="E2" s="5"/>
      <c r="F2" s="5"/>
      <c r="G2" s="5"/>
      <c r="H2" s="5"/>
      <c r="I2" s="5"/>
      <c r="J2" s="5"/>
      <c r="K2" s="5"/>
      <c r="L2" s="5"/>
      <c r="M2" s="5"/>
      <c r="O2"/>
      <c r="AF2" s="211" t="s">
        <v>584</v>
      </c>
      <c r="AG2" s="211"/>
      <c r="AH2" s="211"/>
      <c r="AI2" s="211"/>
      <c r="AJ2" s="211"/>
      <c r="AK2" s="211"/>
      <c r="AL2" s="211"/>
      <c r="AM2" s="211"/>
      <c r="AN2" s="211"/>
      <c r="AO2" s="211"/>
      <c r="AP2" s="211"/>
      <c r="AQ2" s="211"/>
      <c r="AR2" s="211"/>
    </row>
    <row r="3" spans="1:65" ht="15" thickBot="1" x14ac:dyDescent="0.45">
      <c r="A3" s="5"/>
      <c r="B3" s="5" t="s">
        <v>17</v>
      </c>
      <c r="C3" s="7"/>
      <c r="D3" s="4"/>
      <c r="E3" s="5"/>
      <c r="F3" s="14"/>
      <c r="G3" s="15"/>
      <c r="H3" s="15"/>
      <c r="I3" s="15"/>
      <c r="J3" s="15"/>
      <c r="K3" s="25"/>
      <c r="L3" s="5"/>
      <c r="M3" s="5"/>
      <c r="O3" t="s">
        <v>504</v>
      </c>
    </row>
    <row r="4" spans="1:65" ht="15" thickBot="1" x14ac:dyDescent="0.4">
      <c r="A4" s="5"/>
      <c r="B4" s="5" t="s">
        <v>18</v>
      </c>
      <c r="C4" s="8"/>
      <c r="D4" s="4"/>
      <c r="E4" s="5"/>
      <c r="F4" s="14"/>
      <c r="G4" s="15"/>
      <c r="H4" s="15"/>
      <c r="I4" s="15"/>
      <c r="J4" s="15"/>
      <c r="K4" s="25"/>
      <c r="L4" s="5"/>
      <c r="M4" s="5"/>
      <c r="N4" s="62"/>
      <c r="O4" s="68"/>
      <c r="P4" s="201" t="s">
        <v>222</v>
      </c>
      <c r="Q4" s="201"/>
      <c r="R4" s="201"/>
      <c r="S4" s="201"/>
      <c r="T4" s="201"/>
      <c r="U4" s="201"/>
      <c r="V4" s="201"/>
      <c r="W4" s="201"/>
      <c r="X4" s="201"/>
      <c r="Y4" s="201"/>
      <c r="Z4" s="201"/>
      <c r="AA4" s="201"/>
      <c r="AB4" s="201"/>
      <c r="AC4" s="201"/>
      <c r="AD4" s="201"/>
      <c r="AE4" s="202"/>
      <c r="AF4" s="177"/>
      <c r="AG4" s="177"/>
      <c r="AH4" s="177"/>
      <c r="AI4" s="177"/>
      <c r="AJ4" s="177"/>
      <c r="AK4" s="177"/>
      <c r="AL4" s="177"/>
      <c r="AM4" s="177"/>
      <c r="AN4" s="177"/>
      <c r="AO4" s="177"/>
      <c r="AP4" s="177"/>
      <c r="AQ4" s="177"/>
      <c r="AR4" s="177"/>
      <c r="AS4" s="200" t="s">
        <v>223</v>
      </c>
      <c r="AT4" s="201"/>
      <c r="AU4" s="201"/>
      <c r="AV4" s="201"/>
      <c r="AW4" s="201"/>
      <c r="AX4" s="201"/>
      <c r="AY4" s="201"/>
      <c r="AZ4" s="201"/>
      <c r="BA4" s="201"/>
      <c r="BB4" s="201"/>
      <c r="BC4" s="201"/>
      <c r="BD4" s="201"/>
      <c r="BE4" s="202"/>
      <c r="BF4" s="200" t="s">
        <v>506</v>
      </c>
      <c r="BG4" s="201"/>
      <c r="BH4" s="202"/>
      <c r="BI4" s="200" t="s">
        <v>507</v>
      </c>
      <c r="BJ4" s="201"/>
      <c r="BK4" s="202"/>
      <c r="BL4" s="209" t="s">
        <v>508</v>
      </c>
      <c r="BM4" s="210"/>
    </row>
    <row r="5" spans="1:65" x14ac:dyDescent="0.35">
      <c r="A5" s="5"/>
      <c r="D5" s="4"/>
      <c r="E5" s="5"/>
      <c r="F5" s="5"/>
      <c r="G5" s="5"/>
      <c r="H5" s="5"/>
      <c r="I5" s="5"/>
      <c r="J5" s="5"/>
      <c r="K5" s="5"/>
      <c r="L5" s="5"/>
      <c r="M5" s="5"/>
      <c r="N5" s="42"/>
      <c r="O5" s="44"/>
      <c r="Q5" s="203" t="s">
        <v>214</v>
      </c>
      <c r="R5" s="203"/>
      <c r="S5" s="203"/>
      <c r="T5" s="199" t="s">
        <v>216</v>
      </c>
      <c r="U5" s="199"/>
      <c r="V5" s="199"/>
      <c r="W5" s="199" t="s">
        <v>216</v>
      </c>
      <c r="X5" s="199"/>
      <c r="Y5" s="199"/>
      <c r="Z5" s="199" t="s">
        <v>219</v>
      </c>
      <c r="AA5" s="199"/>
      <c r="AB5" s="199"/>
      <c r="AC5" s="207" t="s">
        <v>221</v>
      </c>
      <c r="AD5" s="199"/>
      <c r="AE5" s="208"/>
      <c r="AF5" s="176"/>
      <c r="AG5" s="203" t="s">
        <v>214</v>
      </c>
      <c r="AH5" s="203"/>
      <c r="AI5" s="203"/>
      <c r="AJ5" s="204" t="s">
        <v>216</v>
      </c>
      <c r="AK5" s="204"/>
      <c r="AL5" s="204"/>
      <c r="AM5" s="199" t="s">
        <v>258</v>
      </c>
      <c r="AN5" s="199"/>
      <c r="AO5" s="199"/>
      <c r="AP5" s="205" t="s">
        <v>221</v>
      </c>
      <c r="AQ5" s="204"/>
      <c r="AR5" s="206"/>
      <c r="AT5" s="199" t="s">
        <v>229</v>
      </c>
      <c r="AU5" s="199"/>
      <c r="AV5" s="199"/>
      <c r="AW5" s="199" t="s">
        <v>230</v>
      </c>
      <c r="AX5" s="199"/>
      <c r="AY5" s="199"/>
      <c r="AZ5" s="199" t="s">
        <v>224</v>
      </c>
      <c r="BA5" s="199"/>
      <c r="BB5" s="199"/>
      <c r="BC5" s="207" t="s">
        <v>221</v>
      </c>
      <c r="BD5" s="199"/>
      <c r="BE5" s="208"/>
      <c r="BF5" s="207" t="s">
        <v>221</v>
      </c>
      <c r="BG5" s="199"/>
      <c r="BH5" s="208"/>
      <c r="BI5" s="207" t="s">
        <v>221</v>
      </c>
      <c r="BJ5" s="199"/>
      <c r="BK5" s="208"/>
      <c r="BL5" s="207" t="s">
        <v>221</v>
      </c>
      <c r="BM5" s="199"/>
    </row>
    <row r="6" spans="1:65" ht="15" thickBot="1" x14ac:dyDescent="0.4">
      <c r="A6" s="9" t="s">
        <v>19</v>
      </c>
      <c r="B6" s="9" t="s">
        <v>20</v>
      </c>
      <c r="C6" s="9" t="s">
        <v>21</v>
      </c>
      <c r="D6" s="4"/>
      <c r="E6" s="192" t="s">
        <v>22</v>
      </c>
      <c r="F6" s="192"/>
      <c r="G6" s="192"/>
      <c r="H6" s="192"/>
      <c r="I6" s="192"/>
      <c r="J6" s="192"/>
      <c r="K6" s="192"/>
      <c r="L6" s="5"/>
      <c r="M6" s="9"/>
      <c r="N6" s="42"/>
      <c r="O6" s="44"/>
      <c r="P6" s="4" t="s">
        <v>197</v>
      </c>
      <c r="Q6" t="s">
        <v>220</v>
      </c>
      <c r="R6" s="4" t="s">
        <v>217</v>
      </c>
      <c r="S6" s="4" t="s">
        <v>218</v>
      </c>
      <c r="T6" s="4" t="s">
        <v>220</v>
      </c>
      <c r="U6" s="4" t="s">
        <v>217</v>
      </c>
      <c r="V6" s="4" t="s">
        <v>218</v>
      </c>
      <c r="W6" s="4" t="s">
        <v>220</v>
      </c>
      <c r="X6" s="4" t="s">
        <v>217</v>
      </c>
      <c r="Y6" s="4" t="s">
        <v>218</v>
      </c>
      <c r="Z6" s="4" t="s">
        <v>220</v>
      </c>
      <c r="AA6" s="4" t="s">
        <v>217</v>
      </c>
      <c r="AB6" s="4" t="s">
        <v>218</v>
      </c>
      <c r="AC6" s="48" t="s">
        <v>233</v>
      </c>
      <c r="AD6" s="4" t="s">
        <v>217</v>
      </c>
      <c r="AE6" s="61" t="s">
        <v>218</v>
      </c>
      <c r="AF6" s="182" t="s">
        <v>197</v>
      </c>
      <c r="AG6" s="181" t="s">
        <v>220</v>
      </c>
      <c r="AH6" s="181" t="s">
        <v>232</v>
      </c>
      <c r="AI6" s="181" t="s">
        <v>218</v>
      </c>
      <c r="AJ6" s="181" t="s">
        <v>220</v>
      </c>
      <c r="AK6" s="181" t="s">
        <v>232</v>
      </c>
      <c r="AL6" s="181" t="s">
        <v>218</v>
      </c>
      <c r="AM6" s="181" t="s">
        <v>220</v>
      </c>
      <c r="AN6" s="181" t="s">
        <v>232</v>
      </c>
      <c r="AO6" s="181" t="s">
        <v>218</v>
      </c>
      <c r="AP6" s="43" t="s">
        <v>233</v>
      </c>
      <c r="AQ6" s="39" t="s">
        <v>217</v>
      </c>
      <c r="AR6" s="41" t="s">
        <v>218</v>
      </c>
      <c r="AS6" s="4" t="s">
        <v>231</v>
      </c>
      <c r="AT6" s="4" t="s">
        <v>220</v>
      </c>
      <c r="AU6" s="4" t="s">
        <v>232</v>
      </c>
      <c r="AV6" s="4" t="s">
        <v>218</v>
      </c>
      <c r="AW6" s="4" t="s">
        <v>220</v>
      </c>
      <c r="AX6" s="4" t="s">
        <v>232</v>
      </c>
      <c r="AY6" s="4" t="s">
        <v>218</v>
      </c>
      <c r="AZ6" s="4" t="s">
        <v>220</v>
      </c>
      <c r="BA6" s="4" t="s">
        <v>232</v>
      </c>
      <c r="BB6" s="4" t="s">
        <v>218</v>
      </c>
      <c r="BC6" s="48" t="s">
        <v>233</v>
      </c>
      <c r="BD6" s="4" t="s">
        <v>217</v>
      </c>
      <c r="BE6" s="61" t="s">
        <v>218</v>
      </c>
      <c r="BF6" s="48" t="s">
        <v>233</v>
      </c>
      <c r="BG6" s="4" t="s">
        <v>217</v>
      </c>
      <c r="BH6" s="61" t="s">
        <v>218</v>
      </c>
      <c r="BI6" s="48" t="s">
        <v>233</v>
      </c>
      <c r="BJ6" s="4" t="s">
        <v>217</v>
      </c>
      <c r="BK6" s="61" t="s">
        <v>218</v>
      </c>
      <c r="BL6" s="4" t="s">
        <v>217</v>
      </c>
      <c r="BM6" s="4" t="s">
        <v>218</v>
      </c>
    </row>
    <row r="7" spans="1:65" ht="15" thickBot="1" x14ac:dyDescent="0.4">
      <c r="A7" s="9"/>
      <c r="B7" s="9"/>
      <c r="C7" s="9"/>
      <c r="D7" s="4"/>
      <c r="E7" s="5"/>
      <c r="F7" s="5"/>
      <c r="G7" s="5"/>
      <c r="H7" s="5"/>
      <c r="I7" s="5"/>
      <c r="J7" s="5"/>
      <c r="K7" s="5"/>
      <c r="L7" s="5"/>
      <c r="M7" s="9"/>
      <c r="N7" t="s">
        <v>408</v>
      </c>
      <c r="O7" s="68">
        <f>fcross</f>
        <v>11000</v>
      </c>
      <c r="P7" s="64" t="str">
        <f>COMPLEX(ADC_VINmin,0)</f>
        <v>15.4508196721311</v>
      </c>
      <c r="Q7" s="65" t="str">
        <f>IMSUM(COMPLEX(1,0),IMDIV(COMPLEX(0,2*PI()*O7),COMPLEX(wp_lf_VINmin,0)))</f>
        <v>1+10.0613367345131i</v>
      </c>
      <c r="R7" s="65">
        <f t="shared" ref="R7:R13" si="0">IMABS(Q7)</f>
        <v>10.110909795130343</v>
      </c>
      <c r="S7" s="65">
        <f t="shared" ref="S7:S13" si="1">IMARGUMENT(Q7)</f>
        <v>1.4717313028288583</v>
      </c>
      <c r="T7" s="65" t="str">
        <f>IMSUM(COMPLEX(1,0),IMDIV(COMPLEX(0,2*PI()*O7),COMPLEX(wz_esr_VINmin,0)))</f>
        <v>1+0.0110584061406361i</v>
      </c>
      <c r="U7" s="65">
        <f t="shared" ref="U7:U13" si="2">IMABS(T7)</f>
        <v>1.0000611423039949</v>
      </c>
      <c r="V7" s="65">
        <f t="shared" ref="V7:V13" si="3">IMARGUMENT(T7)</f>
        <v>1.1057955402307518E-2</v>
      </c>
      <c r="W7" s="63" t="str">
        <f>IMSUB(COMPLEX(1,0),IMDIV(COMPLEX(0,2*PI()*O7),COMPLEX(wz_RHP_VINmin,0)))</f>
        <v>1-0.163422303764725i</v>
      </c>
      <c r="X7" s="65">
        <f t="shared" ref="X7:X13" si="4">IMABS(W7)</f>
        <v>1.0132654387512534</v>
      </c>
      <c r="Y7" s="65">
        <f t="shared" ref="Y7:Y13" si="5">IMARGUMENT(W7)</f>
        <v>-0.16199034885511504</v>
      </c>
      <c r="Z7" s="63" t="str">
        <f>IMSUM(COMPLEX(1,0),IMDIV(COMPLEX(0,2*PI()*O7),COMPLEX(Q_VINmin*(wsl_VINmin/2),0)),IMDIV(IMPOWER(COMPLEX(0,2*PI()*O7),2),IMPOWER(COMPLEX(wsl_VINmin/2,0),2)))</f>
        <v>0.999895294753921+0.0288365881355835i</v>
      </c>
      <c r="AA7" s="65">
        <f t="shared" ref="AA7:AA13" si="6">IMABS(Z7)</f>
        <v>1.0003110262744943</v>
      </c>
      <c r="AB7" s="65">
        <f t="shared" ref="AB7:AB13" si="7">IMARGUMENT(Z7)</f>
        <v>2.8831616259990839E-2</v>
      </c>
      <c r="AC7" s="66" t="str">
        <f t="shared" ref="AC7:AC13" si="8">(IMDIV(IMPRODUCT(P7,T7,W7),IMPRODUCT(Q7,Z7)))</f>
        <v>-0.124787938659189-1.54298016555637i</v>
      </c>
      <c r="AD7" s="67">
        <f t="shared" ref="AD7:AD13" si="9">20*LOG(IMABS(AC7))</f>
        <v>3.7955202929070779</v>
      </c>
      <c r="AE7" s="68">
        <f t="shared" ref="AE7:AE13" si="10">(180/PI())*IMARGUMENT(AC7)</f>
        <v>-94.623711294275736</v>
      </c>
      <c r="AF7" t="str">
        <f>COMPLEX($B$68,0)</f>
        <v>45.9520231294187</v>
      </c>
      <c r="AG7" t="str">
        <f t="shared" ref="AG7:AG13" si="11">IMSUM(COMPLEX(1,0),IMDIV(COMPLEX(0,2*PI()*O7),COMPLEX(wp_lf_DCM,0)))</f>
        <v>1+4.87870859145707i</v>
      </c>
      <c r="AH7">
        <f>IMABS(AG7)</f>
        <v>4.9801403113122245</v>
      </c>
      <c r="AI7">
        <f>IMARGUMENT(AG7)</f>
        <v>1.3686243367181166</v>
      </c>
      <c r="AJ7" t="str">
        <f t="shared" ref="AJ7:AJ13" si="12">IMSUM(COMPLEX(1,0),IMDIV(COMPLEX(0,2*PI()*O7),COMPLEX(wz1_dcm,0)))</f>
        <v>1+0.0110584061406361i</v>
      </c>
      <c r="AK7">
        <f>IMABS(AJ7)</f>
        <v>1.0000611423039949</v>
      </c>
      <c r="AL7">
        <f>IMARGUMENT(AJ7)</f>
        <v>1.1057955402307518E-2</v>
      </c>
      <c r="AM7" t="str">
        <f t="shared" ref="AM7:AM13" si="13">IMSUB(COMPLEX(1,0),IMDIV(COMPLEX(0,2*PI()*O7),COMPLEX(wz2_dcm,0)))</f>
        <v>1-0.0247412802004747i</v>
      </c>
      <c r="AN7">
        <f>IMABS(AM7)</f>
        <v>1.0003060186492723</v>
      </c>
      <c r="AO7">
        <f>IMARGUMENT(AM7)</f>
        <v>-2.4736233752712736E-2</v>
      </c>
      <c r="AP7" s="42" t="str">
        <f>(IMDIV(IMPRODUCT(AF7,AJ7,AM7),IMPRODUCT(AG7)))</f>
        <v>1.72959558560727-9.06694858852303i</v>
      </c>
      <c r="AQ7">
        <f>20*LOG(IMABS(AP7))</f>
        <v>19.30444985676888</v>
      </c>
      <c r="AR7" s="44">
        <f>(180/PI())*IMARGUMENT(AP7)</f>
        <v>-79.200105853323123</v>
      </c>
      <c r="AS7" s="63" t="str">
        <f t="shared" ref="AS7:AS13" si="14">COMPLEX(Adc_ea,0)</f>
        <v>-0.000166666666666667</v>
      </c>
      <c r="AT7" s="63" t="str">
        <f t="shared" ref="AT7:AT13" si="15">COMPLEX(0,2*PI()*O7*wp0_ea)</f>
        <v>0.00087223178434267i</v>
      </c>
      <c r="AU7" s="63">
        <f t="shared" ref="AU7:AU13" si="16">IMABS(AT7)</f>
        <v>8.7223178434267003E-4</v>
      </c>
      <c r="AV7" s="63">
        <f t="shared" ref="AV7:AV13" si="17">IMARGUMENT(AT7)</f>
        <v>1.5707963267948966</v>
      </c>
      <c r="AW7" s="63" t="str">
        <f t="shared" ref="AW7:AW13" si="18">IMSUM(COMPLEX(1,0),IMDIV(COMPLEX(0,2*PI()*O7),COMPLEX(wp1_ea,0)))</f>
        <v>1+0.158909821997175i</v>
      </c>
      <c r="AX7" s="63">
        <f t="shared" ref="AX7:AX13" si="19">IMABS(AW7)</f>
        <v>1.0125474465560484</v>
      </c>
      <c r="AY7" s="63">
        <f t="shared" ref="AY7:AY13" si="20">IMARGUMENT(AW7)</f>
        <v>0.15759211570130463</v>
      </c>
      <c r="AZ7" s="63" t="str">
        <f t="shared" ref="AZ7:AZ13" si="21">IMSUM(COMPLEX(1,0),IMDIV(COMPLEX(0,2*PI()*O7),COMPLEX(wz_ea,0)))</f>
        <v>1+3.23458379613604i</v>
      </c>
      <c r="BA7" s="63">
        <f t="shared" ref="BA7:BA13" si="22">IMABS(AZ7)</f>
        <v>3.3856361786562119</v>
      </c>
      <c r="BB7" s="63">
        <f t="shared" ref="BB7:BB13" si="23">IMARGUMENT(AZ7)</f>
        <v>1.2709583001273508</v>
      </c>
      <c r="BC7" s="62" t="str">
        <f t="shared" ref="BC7:BC13" si="24">IMPRODUCT(AS7,IMDIV(AZ7,IMPRODUCT(AT7,AW7)))</f>
        <v>-0.573226650345266+0.282172052711717i</v>
      </c>
      <c r="BD7" s="63">
        <f t="shared" ref="BD7:BD13" si="25">20*LOG(IMABS(BC7))</f>
        <v>-3.8911650944152592</v>
      </c>
      <c r="BE7" s="68">
        <f t="shared" ref="BE7:BE13" si="26">(180/PI())*IMARGUMENT(BC7)</f>
        <v>153.79118342019655</v>
      </c>
      <c r="BF7" s="62" t="str">
        <f t="shared" ref="BF7:BF13" si="27">IMPRODUCT(AC7,BC7)</f>
        <v>0.506917652689603+0.849265683045935i</v>
      </c>
      <c r="BG7" s="67">
        <f t="shared" ref="BG7:BG13" si="28">20*LOG(IMABS(BF7))</f>
        <v>-9.5644801508181193E-2</v>
      </c>
      <c r="BH7" s="68">
        <f t="shared" ref="BH7:BH13" si="29">(180/PI())*IMARGUMENT(BF7)</f>
        <v>59.167472125920845</v>
      </c>
      <c r="BI7" s="62" t="str">
        <f>IMPRODUCT(AP7,BC7)</f>
        <v>1.56698921106553+5.68546010500372i</v>
      </c>
      <c r="BJ7" s="67">
        <f t="shared" ref="BJ7:BJ13" si="30">20*LOG(IMABS(BI7))</f>
        <v>15.413284762353614</v>
      </c>
      <c r="BK7" s="68">
        <f t="shared" ref="BK7:BK13" si="31">(180/PI())*IMARGUMENT(BI7)</f>
        <v>74.591077566873466</v>
      </c>
      <c r="BL7">
        <f>IF($B$31=0,BJ7,BG7)</f>
        <v>-9.5644801508181193E-2</v>
      </c>
      <c r="BM7">
        <f>IF($B$31=0,BK7,BH7)</f>
        <v>59.167472125920845</v>
      </c>
    </row>
    <row r="8" spans="1:65" ht="15" thickBot="1" x14ac:dyDescent="0.4">
      <c r="A8" s="9"/>
      <c r="B8" s="9"/>
      <c r="C8" s="9"/>
      <c r="D8" s="4"/>
      <c r="E8" s="5"/>
      <c r="F8" s="5"/>
      <c r="G8" s="5"/>
      <c r="H8" s="5"/>
      <c r="I8" s="5"/>
      <c r="J8" s="5"/>
      <c r="K8" s="5"/>
      <c r="L8" s="5"/>
      <c r="M8" s="9"/>
      <c r="N8" s="62" t="s">
        <v>257</v>
      </c>
      <c r="O8" s="68">
        <f>fcross</f>
        <v>11000</v>
      </c>
      <c r="P8" s="64" t="str">
        <f t="shared" ref="P8:P13" si="32">COMPLEX(Adc,0)</f>
        <v>16.3709677419355</v>
      </c>
      <c r="Q8" s="65" t="str">
        <f t="shared" ref="Q8:Q13" si="33">IMSUM(COMPLEX(1,0),IMDIV(COMPLEX(0,2*PI()*O8),COMPLEX(wp_lf,0)))</f>
        <v>1+10.1665991938106i</v>
      </c>
      <c r="R8" s="65">
        <f t="shared" si="0"/>
        <v>10.215661465005111</v>
      </c>
      <c r="S8" s="65">
        <f t="shared" si="1"/>
        <v>1.4727504029642502</v>
      </c>
      <c r="T8" s="65" t="str">
        <f t="shared" ref="T8:T13" si="34">IMSUM(COMPLEX(1,0),IMDIV(COMPLEX(0,2*PI()*O8),COMPLEX(wz_esr,0)))</f>
        <v>1+0.0110584061406361i</v>
      </c>
      <c r="U8" s="65">
        <f t="shared" si="2"/>
        <v>1.0000611423039949</v>
      </c>
      <c r="V8" s="65">
        <f t="shared" si="3"/>
        <v>1.1057955402307518E-2</v>
      </c>
      <c r="W8" s="63" t="str">
        <f t="shared" ref="W8:W13" si="35">IMSUB(COMPLEX(1,0),IMDIV(COMPLEX(0,2*PI()*O8),COMPLEX(wz_rhp,0)))</f>
        <v>1-0.14471842729965i</v>
      </c>
      <c r="X8" s="65">
        <f t="shared" si="4"/>
        <v>1.0104174499681229</v>
      </c>
      <c r="Y8" s="65">
        <f t="shared" si="5"/>
        <v>-0.14372063614732813</v>
      </c>
      <c r="Z8" s="63" t="str">
        <f t="shared" ref="Z8:Z13" si="36">IMSUM(COMPLEX(1,0),IMDIV(COMPLEX(0,2*PI()*O8),COMPLEX(Q*(wsl/2),0)),IMDIV(IMPOWER(COMPLEX(0,2*PI()*O8),2),IMPOWER(COMPLEX(wsl/2,0),2)))</f>
        <v>0.999895294753921+0.0285007112041023i</v>
      </c>
      <c r="AA8" s="65">
        <f t="shared" si="6"/>
        <v>1.00030140008408</v>
      </c>
      <c r="AB8" s="65">
        <f t="shared" si="7"/>
        <v>2.8495980074191612E-2</v>
      </c>
      <c r="AC8" s="66" t="str">
        <f t="shared" si="8"/>
        <v>-0.10210171470852-1.61561863917413i</v>
      </c>
      <c r="AD8" s="67">
        <f t="shared" si="9"/>
        <v>4.184087489005762</v>
      </c>
      <c r="AE8" s="68">
        <f t="shared" si="10"/>
        <v>-93.616093462964002</v>
      </c>
      <c r="AF8" t="str">
        <f t="shared" ref="AF8:AF13" si="37">COMPLEX($B$68,0)</f>
        <v>45.9520231294187</v>
      </c>
      <c r="AG8" t="str">
        <f t="shared" si="11"/>
        <v>1+4.87870859145707i</v>
      </c>
      <c r="AH8">
        <f t="shared" ref="AH8:AH13" si="38">IMABS(AG8)</f>
        <v>4.9801403113122245</v>
      </c>
      <c r="AI8">
        <f t="shared" ref="AI8:AI13" si="39">IMARGUMENT(AG8)</f>
        <v>1.3686243367181166</v>
      </c>
      <c r="AJ8" t="str">
        <f t="shared" si="12"/>
        <v>1+0.0110584061406361i</v>
      </c>
      <c r="AK8">
        <f t="shared" ref="AK8:AK13" si="40">IMABS(AJ8)</f>
        <v>1.0000611423039949</v>
      </c>
      <c r="AL8">
        <f t="shared" ref="AL8:AL13" si="41">IMARGUMENT(AJ8)</f>
        <v>1.1057955402307518E-2</v>
      </c>
      <c r="AM8" t="str">
        <f t="shared" si="13"/>
        <v>1-0.0247412802004747i</v>
      </c>
      <c r="AN8">
        <f t="shared" ref="AN8:AN13" si="42">IMABS(AM8)</f>
        <v>1.0003060186492723</v>
      </c>
      <c r="AO8">
        <f t="shared" ref="AO8:AO13" si="43">IMARGUMENT(AM8)</f>
        <v>-2.4736233752712736E-2</v>
      </c>
      <c r="AP8" s="42" t="str">
        <f t="shared" ref="AP8:AP13" si="44">(IMDIV(IMPRODUCT(AF8,AJ8,AM8),IMPRODUCT(AG8)))</f>
        <v>1.72959558560727-9.06694858852303i</v>
      </c>
      <c r="AQ8">
        <f t="shared" ref="AQ8:AQ13" si="45">20*LOG(IMABS(AP8))</f>
        <v>19.30444985676888</v>
      </c>
      <c r="AR8" s="44">
        <f t="shared" ref="AR8:AR13" si="46">(180/PI())*IMARGUMENT(AP8)</f>
        <v>-79.200105853323123</v>
      </c>
      <c r="AS8" s="63" t="str">
        <f t="shared" si="14"/>
        <v>-0.000166666666666667</v>
      </c>
      <c r="AT8" s="63" t="str">
        <f t="shared" si="15"/>
        <v>0.00087223178434267i</v>
      </c>
      <c r="AU8" s="63">
        <f t="shared" si="16"/>
        <v>8.7223178434267003E-4</v>
      </c>
      <c r="AV8" s="63">
        <f t="shared" si="17"/>
        <v>1.5707963267948966</v>
      </c>
      <c r="AW8" s="63" t="str">
        <f t="shared" si="18"/>
        <v>1+0.158909821997175i</v>
      </c>
      <c r="AX8" s="63">
        <f t="shared" si="19"/>
        <v>1.0125474465560484</v>
      </c>
      <c r="AY8" s="63">
        <f t="shared" si="20"/>
        <v>0.15759211570130463</v>
      </c>
      <c r="AZ8" s="63" t="str">
        <f t="shared" si="21"/>
        <v>1+3.23458379613604i</v>
      </c>
      <c r="BA8" s="63">
        <f t="shared" si="22"/>
        <v>3.3856361786562119</v>
      </c>
      <c r="BB8" s="63">
        <f t="shared" si="23"/>
        <v>1.2709583001273508</v>
      </c>
      <c r="BC8" s="62" t="str">
        <f t="shared" si="24"/>
        <v>-0.573226650345266+0.282172052711717i</v>
      </c>
      <c r="BD8" s="63">
        <f t="shared" si="25"/>
        <v>-3.8911650944152592</v>
      </c>
      <c r="BE8" s="68">
        <f t="shared" si="26"/>
        <v>153.79118342019655</v>
      </c>
      <c r="BF8" s="62" t="str">
        <f t="shared" si="27"/>
        <v>0.514409851731948+0.897305410344474i</v>
      </c>
      <c r="BG8" s="67">
        <f t="shared" si="28"/>
        <v>0.2929223945904994</v>
      </c>
      <c r="BH8" s="68">
        <f t="shared" si="29"/>
        <v>60.17508995723253</v>
      </c>
      <c r="BI8" s="62" t="str">
        <f t="shared" ref="BI8:BI13" si="47">IMPRODUCT(AP8,BC8)</f>
        <v>1.56698921106553+5.68546010500372i</v>
      </c>
      <c r="BJ8" s="67">
        <f t="shared" si="30"/>
        <v>15.413284762353614</v>
      </c>
      <c r="BK8" s="68">
        <f t="shared" si="31"/>
        <v>74.591077566873466</v>
      </c>
      <c r="BL8">
        <f t="shared" ref="BL8:BL13" si="48">IF($B$31=0,BJ8,BG8)</f>
        <v>0.2929223945904994</v>
      </c>
      <c r="BM8">
        <f t="shared" ref="BM8:BM13" si="49">IF($B$31=0,BK8,BH8)</f>
        <v>60.17508995723253</v>
      </c>
    </row>
    <row r="9" spans="1:65" ht="15" thickBot="1" x14ac:dyDescent="0.4">
      <c r="A9" s="51" t="s">
        <v>166</v>
      </c>
      <c r="B9" s="9"/>
      <c r="C9" s="9"/>
      <c r="D9" s="4"/>
      <c r="E9" s="5"/>
      <c r="F9" s="5"/>
      <c r="G9" s="5"/>
      <c r="H9" s="5"/>
      <c r="I9" s="5"/>
      <c r="J9" s="5"/>
      <c r="K9" s="5"/>
      <c r="L9" s="5"/>
      <c r="M9" s="9"/>
      <c r="N9" s="53" t="s">
        <v>258</v>
      </c>
      <c r="O9" s="69">
        <f>IF($B$31=0,B74,wz_rhp/(2*PI()))</f>
        <v>76009.670677415939</v>
      </c>
      <c r="P9" s="54" t="str">
        <f t="shared" si="32"/>
        <v>16.3709677419355</v>
      </c>
      <c r="Q9" s="55" t="str">
        <f t="shared" si="33"/>
        <v>1+70.2508960573477i</v>
      </c>
      <c r="R9" s="55">
        <f t="shared" si="0"/>
        <v>70.258013043782213</v>
      </c>
      <c r="S9" s="55">
        <f t="shared" si="1"/>
        <v>1.5565625942425871</v>
      </c>
      <c r="T9" s="55" t="str">
        <f t="shared" si="34"/>
        <v>1+0.0764132553606238i</v>
      </c>
      <c r="U9" s="55">
        <f t="shared" si="2"/>
        <v>1.0029152434751443</v>
      </c>
      <c r="V9" s="55">
        <f t="shared" si="3"/>
        <v>7.6265048941156516E-2</v>
      </c>
      <c r="W9" s="56" t="str">
        <f t="shared" si="35"/>
        <v>1-i</v>
      </c>
      <c r="X9" s="55">
        <f t="shared" si="4"/>
        <v>1.4142135623730951</v>
      </c>
      <c r="Y9" s="55">
        <f t="shared" si="5"/>
        <v>-0.78539816339744828</v>
      </c>
      <c r="Z9" s="56" t="str">
        <f t="shared" si="36"/>
        <v>0.995000566761286+0.196939061154178i</v>
      </c>
      <c r="AA9" s="55">
        <f t="shared" si="6"/>
        <v>1.0143032690786171</v>
      </c>
      <c r="AB9" s="55">
        <f t="shared" si="7"/>
        <v>0.19540303024266698</v>
      </c>
      <c r="AC9" s="57" t="str">
        <f t="shared" si="8"/>
        <v>-0.253254610288383-0.205004188256642i</v>
      </c>
      <c r="AD9" s="58">
        <f t="shared" si="9"/>
        <v>-9.7402021152783362</v>
      </c>
      <c r="AE9" s="59">
        <f t="shared" si="10"/>
        <v>-141.01057070631953</v>
      </c>
      <c r="AF9" t="str">
        <f t="shared" si="37"/>
        <v>45.9520231294187</v>
      </c>
      <c r="AG9" t="str">
        <f t="shared" si="11"/>
        <v>1+33.7117303061575i</v>
      </c>
      <c r="AH9">
        <f t="shared" si="38"/>
        <v>33.726558677622272</v>
      </c>
      <c r="AI9">
        <f t="shared" si="39"/>
        <v>1.541141757226115</v>
      </c>
      <c r="AJ9" t="str">
        <f t="shared" si="12"/>
        <v>1+0.0764132553606238i</v>
      </c>
      <c r="AK9">
        <f t="shared" si="40"/>
        <v>1.0029152434751443</v>
      </c>
      <c r="AL9">
        <f t="shared" si="41"/>
        <v>7.6265048941156516E-2</v>
      </c>
      <c r="AM9" t="str">
        <f t="shared" si="13"/>
        <v>1-0.170961505470523i</v>
      </c>
      <c r="AN9">
        <f t="shared" si="42"/>
        <v>1.0145086674606323</v>
      </c>
      <c r="AO9">
        <f t="shared" si="43"/>
        <v>-0.1693245069052452</v>
      </c>
      <c r="AP9" s="42" t="str">
        <f t="shared" si="44"/>
        <v>-0.0878383793343627-1.38349962124616i</v>
      </c>
      <c r="AQ9">
        <f t="shared" si="45"/>
        <v>2.8370520218861355</v>
      </c>
      <c r="AR9" s="44">
        <f t="shared" si="46"/>
        <v>-93.632832505549089</v>
      </c>
      <c r="AS9" s="56" t="str">
        <f t="shared" si="14"/>
        <v>-0.000166666666666667</v>
      </c>
      <c r="AT9" s="56" t="str">
        <f t="shared" si="15"/>
        <v>0.0060270955165692i</v>
      </c>
      <c r="AU9" s="56">
        <f t="shared" si="16"/>
        <v>6.0270955165692003E-3</v>
      </c>
      <c r="AV9" s="56">
        <f t="shared" si="17"/>
        <v>1.5707963267948966</v>
      </c>
      <c r="AW9" s="56" t="str">
        <f t="shared" si="18"/>
        <v>1+1.09806211249201i</v>
      </c>
      <c r="AX9" s="56">
        <f t="shared" si="19"/>
        <v>1.4851735261882417</v>
      </c>
      <c r="AY9" s="56">
        <f t="shared" si="20"/>
        <v>0.83210354811236487</v>
      </c>
      <c r="AZ9" s="56" t="str">
        <f t="shared" si="21"/>
        <v>1+22.3508771929824i</v>
      </c>
      <c r="BA9" s="56">
        <f t="shared" si="22"/>
        <v>22.373236495772815</v>
      </c>
      <c r="BB9" s="56">
        <f t="shared" si="23"/>
        <v>1.5260851711625023</v>
      </c>
      <c r="BC9" s="53" t="str">
        <f t="shared" si="24"/>
        <v>-0.266442034153189+0.320222802390546i</v>
      </c>
      <c r="BD9" s="56">
        <f t="shared" si="25"/>
        <v>-7.6061542067307508</v>
      </c>
      <c r="BE9" s="59">
        <f t="shared" si="26"/>
        <v>129.7622180604117</v>
      </c>
      <c r="BF9" s="53" t="str">
        <f t="shared" si="27"/>
        <v>0.133124689189251-0.0264761680958486i</v>
      </c>
      <c r="BG9" s="58">
        <f t="shared" si="28"/>
        <v>-17.346356322009079</v>
      </c>
      <c r="BH9" s="59">
        <f t="shared" si="29"/>
        <v>-11.248352645907824</v>
      </c>
      <c r="BI9" s="62" t="str">
        <f t="shared" si="47"/>
        <v>0.466431962288271+0.3404946013471i</v>
      </c>
      <c r="BJ9" s="58">
        <f t="shared" si="30"/>
        <v>-4.7691021848446189</v>
      </c>
      <c r="BK9" s="59">
        <f t="shared" si="31"/>
        <v>36.12938555486263</v>
      </c>
      <c r="BL9">
        <f t="shared" si="48"/>
        <v>-17.346356322009079</v>
      </c>
      <c r="BM9">
        <f t="shared" si="49"/>
        <v>-11.248352645907824</v>
      </c>
    </row>
    <row r="10" spans="1:65" ht="15" thickBot="1" x14ac:dyDescent="0.4">
      <c r="A10" t="s">
        <v>25</v>
      </c>
      <c r="B10" s="3">
        <f>VIN_min</f>
        <v>6.5</v>
      </c>
      <c r="C10" t="s">
        <v>10</v>
      </c>
      <c r="E10" t="s">
        <v>28</v>
      </c>
      <c r="N10" s="42" t="s">
        <v>216</v>
      </c>
      <c r="O10" s="70">
        <f>IF(B31=0,B72,wz_esr/(2*PI()))</f>
        <v>994718.39432434598</v>
      </c>
      <c r="P10" s="34" t="str">
        <f t="shared" si="32"/>
        <v>16.3709677419355</v>
      </c>
      <c r="Q10" s="4" t="str">
        <f t="shared" si="33"/>
        <v>1+919.354838709677i</v>
      </c>
      <c r="R10" s="4">
        <f t="shared" si="0"/>
        <v>919.35538256916527</v>
      </c>
      <c r="S10" s="4">
        <f t="shared" si="1"/>
        <v>1.5697086079256231</v>
      </c>
      <c r="T10" s="4" t="str">
        <f t="shared" si="34"/>
        <v>1+i</v>
      </c>
      <c r="U10" s="4">
        <f t="shared" si="2"/>
        <v>1.4142135623730951</v>
      </c>
      <c r="V10" s="4">
        <f t="shared" si="3"/>
        <v>0.78539816339744828</v>
      </c>
      <c r="W10" t="str">
        <f t="shared" si="35"/>
        <v>1-13.0867346938775i</v>
      </c>
      <c r="X10" s="4">
        <f t="shared" si="4"/>
        <v>13.124885711804771</v>
      </c>
      <c r="Y10" s="4">
        <f t="shared" si="5"/>
        <v>-1.4945312778537398</v>
      </c>
      <c r="Z10" t="str">
        <f t="shared" si="36"/>
        <v>0.143783940285816+2.57728924418605i</v>
      </c>
      <c r="AA10" s="4">
        <f t="shared" si="6"/>
        <v>2.5812968968487944</v>
      </c>
      <c r="AB10" s="4">
        <f t="shared" si="7"/>
        <v>1.5150652722204809</v>
      </c>
      <c r="AC10" s="48" t="str">
        <f t="shared" si="8"/>
        <v>-0.10175514113811+0.0777269533309946i</v>
      </c>
      <c r="AD10" s="20">
        <f t="shared" si="9"/>
        <v>-17.852730028922821</v>
      </c>
      <c r="AE10" s="44">
        <f t="shared" si="10"/>
        <v>142.62514134412027</v>
      </c>
      <c r="AF10" t="str">
        <f t="shared" si="37"/>
        <v>45.9520231294187</v>
      </c>
      <c r="AG10" t="str">
        <f t="shared" si="11"/>
        <v>1+441.176470588234i</v>
      </c>
      <c r="AH10">
        <f t="shared" si="38"/>
        <v>441.17760392011166</v>
      </c>
      <c r="AI10">
        <f t="shared" si="39"/>
        <v>1.5685296640100945</v>
      </c>
      <c r="AJ10" t="str">
        <f t="shared" si="12"/>
        <v>1+i</v>
      </c>
      <c r="AK10">
        <f t="shared" si="40"/>
        <v>1.4142135623730951</v>
      </c>
      <c r="AL10">
        <f t="shared" si="41"/>
        <v>0.78539816339744828</v>
      </c>
      <c r="AM10" t="str">
        <f t="shared" si="13"/>
        <v>1-2.23732786495864i</v>
      </c>
      <c r="AN10">
        <f t="shared" si="42"/>
        <v>2.4506399113946515</v>
      </c>
      <c r="AO10">
        <f t="shared" si="43"/>
        <v>-1.1504718742042792</v>
      </c>
      <c r="AP10" s="42" t="str">
        <f t="shared" si="44"/>
        <v>-0.128112532546555-0.337483722244113i</v>
      </c>
      <c r="AQ10">
        <f t="shared" si="45"/>
        <v>-8.8502864161605039</v>
      </c>
      <c r="AR10" s="44">
        <f t="shared" si="46"/>
        <v>-110.78731262926236</v>
      </c>
      <c r="AS10" t="str">
        <f t="shared" si="14"/>
        <v>-0.000166666666666667</v>
      </c>
      <c r="AT10" t="str">
        <f t="shared" si="15"/>
        <v>0.078875i</v>
      </c>
      <c r="AU10">
        <f t="shared" si="16"/>
        <v>7.8875000000000001E-2</v>
      </c>
      <c r="AV10">
        <f t="shared" si="17"/>
        <v>1.5707963267948966</v>
      </c>
      <c r="AW10" t="str">
        <f t="shared" si="18"/>
        <v>1+14.3700475435816i</v>
      </c>
      <c r="AX10">
        <f t="shared" si="19"/>
        <v>14.404800116794249</v>
      </c>
      <c r="AY10">
        <f t="shared" si="20"/>
        <v>1.5013191415234981</v>
      </c>
      <c r="AZ10" t="str">
        <f t="shared" si="21"/>
        <v>1+292.5i</v>
      </c>
      <c r="BA10">
        <f t="shared" si="22"/>
        <v>292.50170939671449</v>
      </c>
      <c r="BB10">
        <f t="shared" si="23"/>
        <v>1.5673775366959051</v>
      </c>
      <c r="BC10" s="42" t="str">
        <f t="shared" si="24"/>
        <v>-0.00283232226438694+0.0428136536698288i</v>
      </c>
      <c r="BD10">
        <f t="shared" si="25"/>
        <v>-27.349389009802749</v>
      </c>
      <c r="BE10" s="44">
        <f t="shared" si="26"/>
        <v>93.784867244786284</v>
      </c>
      <c r="BF10" s="42" t="str">
        <f t="shared" si="27"/>
        <v>-0.00303957150896284-0.00457665715227393i</v>
      </c>
      <c r="BG10" s="20">
        <f t="shared" si="28"/>
        <v>-45.20211903872557</v>
      </c>
      <c r="BH10" s="44">
        <f t="shared" si="29"/>
        <v>-123.58999141109342</v>
      </c>
      <c r="BI10" s="62" t="str">
        <f t="shared" si="47"/>
        <v>0.0148117671816428-0.0045291029388327i</v>
      </c>
      <c r="BJ10" s="20">
        <f t="shared" si="30"/>
        <v>-36.199675425963228</v>
      </c>
      <c r="BK10" s="44">
        <f t="shared" si="31"/>
        <v>-17.002445384476054</v>
      </c>
      <c r="BL10">
        <f t="shared" si="48"/>
        <v>-45.20211903872557</v>
      </c>
      <c r="BM10">
        <f t="shared" si="49"/>
        <v>-123.58999141109342</v>
      </c>
    </row>
    <row r="11" spans="1:65" ht="15" thickBot="1" x14ac:dyDescent="0.4">
      <c r="A11" t="s">
        <v>26</v>
      </c>
      <c r="B11" s="3">
        <f>VIN_nom</f>
        <v>10</v>
      </c>
      <c r="C11" t="s">
        <v>10</v>
      </c>
      <c r="E11" t="s">
        <v>29</v>
      </c>
      <c r="N11" s="45" t="s">
        <v>214</v>
      </c>
      <c r="O11" s="71">
        <f>IF(B31=0,B70,wp_lf/(2*PI()))</f>
        <v>1081.9743938264814</v>
      </c>
      <c r="P11" s="60" t="str">
        <f t="shared" si="32"/>
        <v>16.3709677419355</v>
      </c>
      <c r="Q11" s="39" t="str">
        <f t="shared" si="33"/>
        <v>1+i</v>
      </c>
      <c r="R11" s="39">
        <f t="shared" si="0"/>
        <v>1.4142135623730951</v>
      </c>
      <c r="S11" s="39">
        <f t="shared" si="1"/>
        <v>0.78539816339744828</v>
      </c>
      <c r="T11" s="39" t="str">
        <f t="shared" si="34"/>
        <v>1+0.00108771929824561i</v>
      </c>
      <c r="U11" s="39">
        <f t="shared" si="2"/>
        <v>1.0000005915664609</v>
      </c>
      <c r="V11" s="39">
        <f t="shared" si="3"/>
        <v>1.0877188692736172E-3</v>
      </c>
      <c r="W11" s="40" t="str">
        <f t="shared" si="35"/>
        <v>1-0.014234693877551i</v>
      </c>
      <c r="X11" s="39">
        <f t="shared" si="4"/>
        <v>1.000101308123226</v>
      </c>
      <c r="Y11" s="39">
        <f t="shared" si="5"/>
        <v>-1.4233732552309513E-2</v>
      </c>
      <c r="Z11" s="40" t="str">
        <f t="shared" si="36"/>
        <v>0.999998986982292+0.00280336724806202i</v>
      </c>
      <c r="AA11" s="39">
        <f t="shared" si="6"/>
        <v>1.0000029164125162</v>
      </c>
      <c r="AB11" s="39">
        <f t="shared" si="7"/>
        <v>2.8033627441735529E-3</v>
      </c>
      <c r="AC11" s="43" t="str">
        <f t="shared" si="8"/>
        <v>8.0546921412587-8.31581364226898i</v>
      </c>
      <c r="AD11" s="47">
        <f t="shared" si="9"/>
        <v>21.272046811666613</v>
      </c>
      <c r="AE11" s="46">
        <f t="shared" si="10"/>
        <v>-45.913831955144431</v>
      </c>
      <c r="AF11" t="str">
        <f t="shared" si="37"/>
        <v>45.9520231294187</v>
      </c>
      <c r="AG11" t="str">
        <f t="shared" si="11"/>
        <v>1+0.479876160990711i</v>
      </c>
      <c r="AH11">
        <f t="shared" si="38"/>
        <v>1.1091803865409733</v>
      </c>
      <c r="AI11">
        <f t="shared" si="39"/>
        <v>0.44741932090486675</v>
      </c>
      <c r="AJ11" t="str">
        <f t="shared" si="12"/>
        <v>1+0.00108771929824561i</v>
      </c>
      <c r="AK11">
        <f t="shared" si="40"/>
        <v>1.0000005915664609</v>
      </c>
      <c r="AL11">
        <f t="shared" si="41"/>
        <v>1.0877188692736172E-3</v>
      </c>
      <c r="AM11" t="str">
        <f t="shared" si="13"/>
        <v>1-0.00243358469521817i</v>
      </c>
      <c r="AN11">
        <f t="shared" si="42"/>
        <v>1.0000029611628503</v>
      </c>
      <c r="AO11">
        <f t="shared" si="43"/>
        <v>-2.433579891067733E-3</v>
      </c>
      <c r="AP11" s="42" t="str">
        <f t="shared" si="44"/>
        <v>37.3268073419452-17.9740902471433i</v>
      </c>
      <c r="AQ11">
        <f t="shared" si="45"/>
        <v>32.346079966762041</v>
      </c>
      <c r="AR11" s="44">
        <f t="shared" si="46"/>
        <v>-25.71235091681822</v>
      </c>
      <c r="AS11" s="40" t="str">
        <f t="shared" si="14"/>
        <v>-0.000166666666666667</v>
      </c>
      <c r="AT11" s="40" t="str">
        <f t="shared" si="15"/>
        <v>0.0000857938596491228i</v>
      </c>
      <c r="AU11" s="40">
        <f t="shared" si="16"/>
        <v>8.5793859649122798E-5</v>
      </c>
      <c r="AV11" s="40">
        <f t="shared" si="17"/>
        <v>1.5707963267948966</v>
      </c>
      <c r="AW11" s="40" t="str">
        <f t="shared" si="18"/>
        <v>1+0.0156305780298607i</v>
      </c>
      <c r="AX11" s="40">
        <f t="shared" si="19"/>
        <v>1.0001221500244595</v>
      </c>
      <c r="AY11" s="40">
        <f t="shared" si="20"/>
        <v>1.5629305288360245E-2</v>
      </c>
      <c r="AZ11" s="40" t="str">
        <f t="shared" si="21"/>
        <v>1+0.318157894736842i</v>
      </c>
      <c r="BA11" s="40">
        <f t="shared" si="22"/>
        <v>1.0493924175366331</v>
      </c>
      <c r="BB11" s="40">
        <f t="shared" si="23"/>
        <v>0.3080310567697363</v>
      </c>
      <c r="BC11" s="45" t="str">
        <f t="shared" si="24"/>
        <v>-0.587558410444843+1.95182484685717i</v>
      </c>
      <c r="BD11" s="40">
        <f t="shared" si="25"/>
        <v>6.185548390858755</v>
      </c>
      <c r="BE11" s="46">
        <f t="shared" si="26"/>
        <v>106.75338628211597</v>
      </c>
      <c r="BF11" s="45" t="str">
        <f t="shared" si="27"/>
        <v>11.4984095776739+20.607374500301i</v>
      </c>
      <c r="BG11" s="47">
        <f t="shared" si="28"/>
        <v>27.457595202525361</v>
      </c>
      <c r="BH11" s="46">
        <f t="shared" si="29"/>
        <v>60.839554326971488</v>
      </c>
      <c r="BI11" s="62" t="str">
        <f t="shared" si="47"/>
        <v>13.1505963552132+83.416217918663i</v>
      </c>
      <c r="BJ11" s="47">
        <f t="shared" si="30"/>
        <v>38.531628357620789</v>
      </c>
      <c r="BK11" s="46">
        <f t="shared" si="31"/>
        <v>81.041035365297773</v>
      </c>
      <c r="BL11">
        <f t="shared" si="48"/>
        <v>27.457595202525361</v>
      </c>
      <c r="BM11">
        <f t="shared" si="49"/>
        <v>60.839554326971488</v>
      </c>
    </row>
    <row r="12" spans="1:65" ht="15" thickBot="1" x14ac:dyDescent="0.4">
      <c r="A12" t="s">
        <v>27</v>
      </c>
      <c r="B12" s="3">
        <f>VIN_max</f>
        <v>35</v>
      </c>
      <c r="C12" t="s">
        <v>10</v>
      </c>
      <c r="E12" t="s">
        <v>30</v>
      </c>
      <c r="N12" s="53" t="s">
        <v>224</v>
      </c>
      <c r="O12" s="59">
        <f>wz_ea/(2*PI())</f>
        <v>3400.7466472627202</v>
      </c>
      <c r="P12" s="54" t="str">
        <f t="shared" si="32"/>
        <v>16.3709677419355</v>
      </c>
      <c r="Q12" s="55" t="str">
        <f t="shared" si="33"/>
        <v>1+3.14309346567411i</v>
      </c>
      <c r="R12" s="55">
        <f t="shared" si="0"/>
        <v>3.298338450487349</v>
      </c>
      <c r="S12" s="55">
        <f t="shared" si="1"/>
        <v>1.2627652700251601</v>
      </c>
      <c r="T12" s="55" t="str">
        <f t="shared" si="34"/>
        <v>1+0.00341880341880342i</v>
      </c>
      <c r="U12" s="55">
        <f t="shared" si="2"/>
        <v>1.0000058440913315</v>
      </c>
      <c r="V12" s="55">
        <f t="shared" si="3"/>
        <v>3.4187900989916271E-3</v>
      </c>
      <c r="W12" s="56" t="str">
        <f t="shared" si="35"/>
        <v>1-0.0447409733124019i</v>
      </c>
      <c r="X12" s="55">
        <f t="shared" si="4"/>
        <v>1.00100037696943</v>
      </c>
      <c r="Y12" s="55">
        <f t="shared" si="5"/>
        <v>-4.4711155632394264E-2</v>
      </c>
      <c r="Z12" s="56" t="str">
        <f t="shared" si="36"/>
        <v>0.999989992361052+0.00881124527926855i</v>
      </c>
      <c r="AA12" s="55">
        <f t="shared" si="6"/>
        <v>1.0000288110177769</v>
      </c>
      <c r="AB12" s="55">
        <f t="shared" si="7"/>
        <v>8.8111054344073673E-3</v>
      </c>
      <c r="AC12" s="57" t="str">
        <f t="shared" si="8"/>
        <v>1.26728738774576-4.80390323337333i</v>
      </c>
      <c r="AD12" s="58">
        <f t="shared" si="9"/>
        <v>13.924068038868304</v>
      </c>
      <c r="AE12" s="59">
        <f t="shared" si="10"/>
        <v>-75.221837913551227</v>
      </c>
      <c r="AF12" t="str">
        <f t="shared" si="37"/>
        <v>45.9520231294187</v>
      </c>
      <c r="AG12" t="str">
        <f t="shared" si="11"/>
        <v>1+1.50829562594268i</v>
      </c>
      <c r="AH12">
        <f t="shared" si="38"/>
        <v>1.8096838661041936</v>
      </c>
      <c r="AI12">
        <f t="shared" si="39"/>
        <v>0.98533648244582517</v>
      </c>
      <c r="AJ12" t="str">
        <f t="shared" si="12"/>
        <v>1+0.00341880341880342i</v>
      </c>
      <c r="AK12">
        <f t="shared" si="40"/>
        <v>1.0000058440913315</v>
      </c>
      <c r="AL12">
        <f t="shared" si="41"/>
        <v>3.4187900989916271E-3</v>
      </c>
      <c r="AM12" t="str">
        <f t="shared" si="13"/>
        <v>1-0.00764898415370475i</v>
      </c>
      <c r="AN12">
        <f t="shared" si="42"/>
        <v>1.0000292530514214</v>
      </c>
      <c r="AO12">
        <f t="shared" si="43"/>
        <v>-7.6488349860080939E-3</v>
      </c>
      <c r="AP12" s="42" t="str">
        <f t="shared" si="44"/>
        <v>13.9421837876003-21.2233201858983i</v>
      </c>
      <c r="AQ12">
        <f t="shared" si="45"/>
        <v>28.09434329173309</v>
      </c>
      <c r="AR12" s="44">
        <f t="shared" si="46"/>
        <v>-56.697985563589064</v>
      </c>
      <c r="AS12" s="56" t="str">
        <f t="shared" si="14"/>
        <v>-0.000166666666666667</v>
      </c>
      <c r="AT12" s="56" t="str">
        <f t="shared" si="15"/>
        <v>0.00026965811965812i</v>
      </c>
      <c r="AU12" s="56">
        <f t="shared" si="16"/>
        <v>2.6965811965811999E-4</v>
      </c>
      <c r="AV12" s="56">
        <f t="shared" si="17"/>
        <v>1.5707963267948966</v>
      </c>
      <c r="AW12" s="56" t="str">
        <f t="shared" si="18"/>
        <v>1+0.0491283676703646i</v>
      </c>
      <c r="AX12" s="56">
        <f t="shared" si="19"/>
        <v>1.0012060709514075</v>
      </c>
      <c r="AY12" s="56">
        <f t="shared" si="20"/>
        <v>4.9088899458571367E-2</v>
      </c>
      <c r="AZ12" s="56" t="str">
        <f t="shared" si="21"/>
        <v>1+i</v>
      </c>
      <c r="BA12" s="56">
        <f t="shared" si="22"/>
        <v>1.4142135623730951</v>
      </c>
      <c r="BB12" s="56">
        <f t="shared" si="23"/>
        <v>0.78539816339744828</v>
      </c>
      <c r="BC12" s="53" t="str">
        <f t="shared" si="24"/>
        <v>-0.586286899744941+0.646869879385251i</v>
      </c>
      <c r="BD12" s="56">
        <f t="shared" si="25"/>
        <v>-1.1794645746887422</v>
      </c>
      <c r="BE12" s="59">
        <f t="shared" si="26"/>
        <v>132.18741324008184</v>
      </c>
      <c r="BF12" s="53" t="str">
        <f t="shared" si="27"/>
        <v>2.3645063115033+3.6362355730267i</v>
      </c>
      <c r="BG12" s="58">
        <f t="shared" si="28"/>
        <v>12.744603464179573</v>
      </c>
      <c r="BH12" s="59">
        <f t="shared" si="29"/>
        <v>56.965575326530619</v>
      </c>
      <c r="BI12" s="62" t="str">
        <f t="shared" si="47"/>
        <v>5.55460686030024+21.4617333391365i</v>
      </c>
      <c r="BJ12" s="58">
        <f t="shared" si="30"/>
        <v>26.914878717044331</v>
      </c>
      <c r="BK12" s="59">
        <f t="shared" si="31"/>
        <v>75.489427676492767</v>
      </c>
      <c r="BL12">
        <f t="shared" si="48"/>
        <v>12.744603464179573</v>
      </c>
      <c r="BM12">
        <f t="shared" si="49"/>
        <v>56.965575326530619</v>
      </c>
    </row>
    <row r="13" spans="1:65" ht="15" thickBot="1" x14ac:dyDescent="0.4">
      <c r="A13" t="s">
        <v>66</v>
      </c>
      <c r="B13" s="3">
        <f>Fsw</f>
        <v>2150000</v>
      </c>
      <c r="C13" t="s">
        <v>67</v>
      </c>
      <c r="E13" t="s">
        <v>68</v>
      </c>
      <c r="N13" s="45" t="s">
        <v>230</v>
      </c>
      <c r="O13" s="46">
        <f>wp1_ea/(2*PI())</f>
        <v>69221.64949750893</v>
      </c>
      <c r="P13" s="60" t="str">
        <f t="shared" si="32"/>
        <v>16.3709677419355</v>
      </c>
      <c r="Q13" s="39" t="str">
        <f t="shared" si="33"/>
        <v>1+63.9771605432375i</v>
      </c>
      <c r="R13" s="39">
        <f t="shared" si="0"/>
        <v>63.984975354962707</v>
      </c>
      <c r="S13" s="39">
        <f t="shared" si="1"/>
        <v>1.5551670215065363</v>
      </c>
      <c r="T13" s="39" t="str">
        <f t="shared" si="34"/>
        <v>1+0.0695891921698373i</v>
      </c>
      <c r="U13" s="39">
        <f t="shared" si="2"/>
        <v>1.0024184034956913</v>
      </c>
      <c r="V13" s="39">
        <f t="shared" si="3"/>
        <v>6.9477185271398498E-2</v>
      </c>
      <c r="W13" s="40" t="str">
        <f t="shared" si="35"/>
        <v>1-0.910695295487921i</v>
      </c>
      <c r="X13" s="39">
        <f t="shared" si="4"/>
        <v>1.352540543282837</v>
      </c>
      <c r="Y13" s="39">
        <f t="shared" si="5"/>
        <v>-0.73869277868253269</v>
      </c>
      <c r="Z13" s="40" t="str">
        <f t="shared" si="36"/>
        <v>0.995853640446377+0.179351476490918i</v>
      </c>
      <c r="AA13" s="39">
        <f t="shared" si="6"/>
        <v>1.0118752024384106</v>
      </c>
      <c r="AB13" s="39">
        <f t="shared" si="7"/>
        <v>0.17818808237949499</v>
      </c>
      <c r="AC13" s="43" t="str">
        <f t="shared" si="8"/>
        <v>-0.25338925113261-0.230913032231765i</v>
      </c>
      <c r="AD13" s="47">
        <f t="shared" si="9"/>
        <v>-9.2986256738716619</v>
      </c>
      <c r="AE13" s="46">
        <f t="shared" si="10"/>
        <v>-137.65716093693086</v>
      </c>
      <c r="AF13" t="str">
        <f t="shared" si="37"/>
        <v>45.9520231294187</v>
      </c>
      <c r="AG13" t="str">
        <f t="shared" si="11"/>
        <v>1+30.7011141925752i</v>
      </c>
      <c r="AH13">
        <f t="shared" si="38"/>
        <v>30.717395929107372</v>
      </c>
      <c r="AI13">
        <f t="shared" si="39"/>
        <v>1.5382357307436452</v>
      </c>
      <c r="AJ13" t="str">
        <f t="shared" si="12"/>
        <v>1+0.0695891921698373i</v>
      </c>
      <c r="AK13">
        <f t="shared" si="40"/>
        <v>1.0024184034956913</v>
      </c>
      <c r="AL13">
        <f t="shared" si="41"/>
        <v>6.9477185271398498E-2</v>
      </c>
      <c r="AM13" t="str">
        <f t="shared" si="13"/>
        <v>1-0.155693838741538i</v>
      </c>
      <c r="AN13">
        <f t="shared" si="42"/>
        <v>1.0120477120284774</v>
      </c>
      <c r="AO13">
        <f t="shared" si="43"/>
        <v>-0.15445378921871378</v>
      </c>
      <c r="AP13" s="42" t="str">
        <f t="shared" si="44"/>
        <v>-0.0795124831841337-1.5155608848419i</v>
      </c>
      <c r="AQ13">
        <f t="shared" si="45"/>
        <v>3.6234051994097589</v>
      </c>
      <c r="AR13" s="44">
        <f t="shared" si="46"/>
        <v>-93.003216031368851</v>
      </c>
      <c r="AS13" s="40" t="str">
        <f t="shared" si="14"/>
        <v>-0.000166666666666667</v>
      </c>
      <c r="AT13" s="40" t="str">
        <f t="shared" si="15"/>
        <v>0.00548884753239592i</v>
      </c>
      <c r="AU13" s="40">
        <f t="shared" si="16"/>
        <v>5.4888475323959197E-3</v>
      </c>
      <c r="AV13" s="40">
        <f t="shared" si="17"/>
        <v>1.5707963267948966</v>
      </c>
      <c r="AW13" s="40" t="str">
        <f t="shared" si="18"/>
        <v>1+i</v>
      </c>
      <c r="AX13" s="40">
        <f t="shared" si="19"/>
        <v>1.4142135623730951</v>
      </c>
      <c r="AY13" s="40">
        <f t="shared" si="20"/>
        <v>0.78539816339744828</v>
      </c>
      <c r="AZ13" s="40" t="str">
        <f t="shared" si="21"/>
        <v>1+20.3548387096774i</v>
      </c>
      <c r="BA13" s="40">
        <f t="shared" si="22"/>
        <v>20.379388089365726</v>
      </c>
      <c r="BB13" s="40">
        <f t="shared" si="23"/>
        <v>1.5217074273363254</v>
      </c>
      <c r="BC13" s="45" t="str">
        <f t="shared" si="24"/>
        <v>-0.293850979879999+0.324215581134266i</v>
      </c>
      <c r="BD13" s="40">
        <f t="shared" si="25"/>
        <v>-7.1791255140166275</v>
      </c>
      <c r="BE13" s="46">
        <f t="shared" si="26"/>
        <v>132.18741324008181</v>
      </c>
      <c r="BF13" s="45" t="str">
        <f t="shared" si="27"/>
        <v>0.149324282672874-0.0142987225207697i</v>
      </c>
      <c r="BG13" s="47">
        <f t="shared" si="28"/>
        <v>-16.477751187888273</v>
      </c>
      <c r="BH13" s="46">
        <f t="shared" si="29"/>
        <v>-5.4697476968490699</v>
      </c>
      <c r="BI13" s="62" t="str">
        <f t="shared" si="47"/>
        <v>0.514733274119729+0.419569865135618i</v>
      </c>
      <c r="BJ13" s="47">
        <f t="shared" si="30"/>
        <v>-3.5557203146068659</v>
      </c>
      <c r="BK13" s="46">
        <f t="shared" si="31"/>
        <v>39.184197208712916</v>
      </c>
      <c r="BL13">
        <f t="shared" si="48"/>
        <v>-16.477751187888273</v>
      </c>
      <c r="BM13">
        <f t="shared" si="49"/>
        <v>-5.4697476968490699</v>
      </c>
    </row>
    <row r="15" spans="1:65" ht="15" thickBot="1" x14ac:dyDescent="0.4">
      <c r="A15" s="50" t="s">
        <v>473</v>
      </c>
      <c r="O15" s="35" t="s">
        <v>193</v>
      </c>
      <c r="P15">
        <f>B16</f>
        <v>7</v>
      </c>
      <c r="Q15" t="s">
        <v>10</v>
      </c>
    </row>
    <row r="16" spans="1:65" ht="15" thickBot="1" x14ac:dyDescent="0.4">
      <c r="A16" t="s">
        <v>195</v>
      </c>
      <c r="B16">
        <v>7</v>
      </c>
      <c r="C16" t="s">
        <v>10</v>
      </c>
      <c r="E16" t="s">
        <v>196</v>
      </c>
      <c r="O16" s="49"/>
      <c r="P16" s="201" t="s">
        <v>471</v>
      </c>
      <c r="Q16" s="201"/>
      <c r="R16" s="201"/>
      <c r="S16" s="201"/>
      <c r="T16" s="201"/>
      <c r="U16" s="201"/>
      <c r="V16" s="201"/>
      <c r="W16" s="201"/>
      <c r="X16" s="201"/>
      <c r="Y16" s="201"/>
      <c r="Z16" s="201"/>
      <c r="AA16" s="201"/>
      <c r="AB16" s="201"/>
      <c r="AC16" s="201"/>
      <c r="AD16" s="201"/>
      <c r="AE16" s="202"/>
      <c r="AF16" s="200" t="s">
        <v>472</v>
      </c>
      <c r="AG16" s="201"/>
      <c r="AH16" s="201"/>
      <c r="AI16" s="201"/>
      <c r="AJ16" s="201"/>
      <c r="AK16" s="201"/>
      <c r="AL16" s="201"/>
      <c r="AM16" s="201"/>
      <c r="AN16" s="201"/>
      <c r="AO16" s="201"/>
      <c r="AP16" s="201"/>
      <c r="AQ16" s="201"/>
      <c r="AR16" s="202"/>
      <c r="AS16" s="200" t="s">
        <v>223</v>
      </c>
      <c r="AT16" s="201"/>
      <c r="AU16" s="201"/>
      <c r="AV16" s="201"/>
      <c r="AW16" s="201"/>
      <c r="AX16" s="201"/>
      <c r="AY16" s="201"/>
      <c r="AZ16" s="201"/>
      <c r="BA16" s="201"/>
      <c r="BB16" s="201"/>
      <c r="BC16" s="201"/>
      <c r="BD16" s="201"/>
      <c r="BE16" s="202"/>
      <c r="BF16" s="200" t="s">
        <v>506</v>
      </c>
      <c r="BG16" s="201"/>
      <c r="BH16" s="202"/>
      <c r="BI16" s="200" t="s">
        <v>507</v>
      </c>
      <c r="BJ16" s="201"/>
      <c r="BK16" s="202"/>
      <c r="BL16" s="200" t="s">
        <v>508</v>
      </c>
      <c r="BM16" s="202"/>
    </row>
    <row r="17" spans="1:65" x14ac:dyDescent="0.35">
      <c r="A17" t="s">
        <v>389</v>
      </c>
      <c r="B17">
        <f>IOUT</f>
        <v>2</v>
      </c>
      <c r="C17" t="s">
        <v>11</v>
      </c>
      <c r="E17" t="s">
        <v>498</v>
      </c>
      <c r="O17" s="37"/>
      <c r="Q17" s="203" t="s">
        <v>214</v>
      </c>
      <c r="R17" s="203"/>
      <c r="S17" s="203"/>
      <c r="T17" s="199" t="s">
        <v>216</v>
      </c>
      <c r="U17" s="199"/>
      <c r="V17" s="199"/>
      <c r="W17" s="199" t="s">
        <v>258</v>
      </c>
      <c r="X17" s="199"/>
      <c r="Y17" s="199"/>
      <c r="Z17" s="199" t="s">
        <v>219</v>
      </c>
      <c r="AA17" s="199"/>
      <c r="AB17" s="199"/>
      <c r="AC17" s="207" t="s">
        <v>221</v>
      </c>
      <c r="AD17" s="199"/>
      <c r="AE17" s="208"/>
      <c r="AF17" s="176"/>
      <c r="AG17" s="203" t="s">
        <v>214</v>
      </c>
      <c r="AH17" s="203"/>
      <c r="AI17" s="203"/>
      <c r="AJ17" s="204" t="s">
        <v>216</v>
      </c>
      <c r="AK17" s="204"/>
      <c r="AL17" s="204"/>
      <c r="AM17" s="199" t="s">
        <v>258</v>
      </c>
      <c r="AN17" s="199"/>
      <c r="AO17" s="199"/>
      <c r="AP17" s="205" t="s">
        <v>221</v>
      </c>
      <c r="AQ17" s="204"/>
      <c r="AR17" s="206"/>
      <c r="AT17" s="199" t="s">
        <v>229</v>
      </c>
      <c r="AU17" s="199"/>
      <c r="AV17" s="199"/>
      <c r="AW17" s="199" t="s">
        <v>230</v>
      </c>
      <c r="AX17" s="199"/>
      <c r="AY17" s="199"/>
      <c r="AZ17" s="199" t="s">
        <v>224</v>
      </c>
      <c r="BA17" s="199"/>
      <c r="BB17" s="199"/>
      <c r="BC17" s="207" t="s">
        <v>221</v>
      </c>
      <c r="BD17" s="199"/>
      <c r="BE17" s="208"/>
      <c r="BF17" s="207" t="s">
        <v>221</v>
      </c>
      <c r="BG17" s="199"/>
      <c r="BH17" s="208"/>
      <c r="BI17" s="207" t="s">
        <v>221</v>
      </c>
      <c r="BJ17" s="199"/>
      <c r="BK17" s="208"/>
      <c r="BM17" s="44"/>
    </row>
    <row r="18" spans="1:65" ht="15" thickBot="1" x14ac:dyDescent="0.4">
      <c r="A18" t="s">
        <v>582</v>
      </c>
      <c r="B18">
        <f>VOUT/(VOUT+VIN_var)</f>
        <v>0.63157894736842102</v>
      </c>
      <c r="N18" s="9"/>
      <c r="O18" s="38" t="s">
        <v>192</v>
      </c>
      <c r="P18" s="39" t="s">
        <v>197</v>
      </c>
      <c r="Q18" s="40" t="s">
        <v>220</v>
      </c>
      <c r="R18" s="39" t="s">
        <v>217</v>
      </c>
      <c r="S18" s="39" t="s">
        <v>218</v>
      </c>
      <c r="T18" s="39" t="s">
        <v>220</v>
      </c>
      <c r="U18" s="39" t="s">
        <v>217</v>
      </c>
      <c r="V18" s="39" t="s">
        <v>218</v>
      </c>
      <c r="W18" s="39" t="s">
        <v>220</v>
      </c>
      <c r="X18" s="39" t="s">
        <v>217</v>
      </c>
      <c r="Y18" s="39" t="s">
        <v>218</v>
      </c>
      <c r="Z18" s="39" t="s">
        <v>220</v>
      </c>
      <c r="AA18" s="39" t="s">
        <v>217</v>
      </c>
      <c r="AB18" s="39" t="s">
        <v>218</v>
      </c>
      <c r="AC18" s="43" t="s">
        <v>233</v>
      </c>
      <c r="AD18" s="39" t="s">
        <v>217</v>
      </c>
      <c r="AE18" s="41" t="s">
        <v>218</v>
      </c>
      <c r="AF18" s="181" t="s">
        <v>197</v>
      </c>
      <c r="AG18" s="181" t="s">
        <v>220</v>
      </c>
      <c r="AH18" s="181" t="s">
        <v>232</v>
      </c>
      <c r="AI18" s="181" t="s">
        <v>218</v>
      </c>
      <c r="AJ18" s="181" t="s">
        <v>220</v>
      </c>
      <c r="AK18" s="181" t="s">
        <v>232</v>
      </c>
      <c r="AL18" s="181" t="s">
        <v>218</v>
      </c>
      <c r="AM18" s="181" t="s">
        <v>220</v>
      </c>
      <c r="AN18" s="181" t="s">
        <v>232</v>
      </c>
      <c r="AO18" s="181" t="s">
        <v>218</v>
      </c>
      <c r="AP18" s="43" t="s">
        <v>233</v>
      </c>
      <c r="AQ18" s="39" t="s">
        <v>217</v>
      </c>
      <c r="AR18" s="41" t="s">
        <v>218</v>
      </c>
      <c r="AS18" s="39" t="s">
        <v>231</v>
      </c>
      <c r="AT18" s="39" t="s">
        <v>220</v>
      </c>
      <c r="AU18" s="39" t="s">
        <v>232</v>
      </c>
      <c r="AV18" s="39" t="s">
        <v>218</v>
      </c>
      <c r="AW18" s="39" t="s">
        <v>220</v>
      </c>
      <c r="AX18" s="39" t="s">
        <v>232</v>
      </c>
      <c r="AY18" s="39" t="s">
        <v>218</v>
      </c>
      <c r="AZ18" s="39" t="s">
        <v>220</v>
      </c>
      <c r="BA18" s="39" t="s">
        <v>232</v>
      </c>
      <c r="BB18" s="39" t="s">
        <v>218</v>
      </c>
      <c r="BC18" s="43" t="s">
        <v>233</v>
      </c>
      <c r="BD18" s="39" t="s">
        <v>217</v>
      </c>
      <c r="BE18" s="41" t="s">
        <v>218</v>
      </c>
      <c r="BF18" s="43" t="s">
        <v>233</v>
      </c>
      <c r="BG18" s="39" t="s">
        <v>217</v>
      </c>
      <c r="BH18" s="41" t="s">
        <v>218</v>
      </c>
      <c r="BI18" s="43" t="s">
        <v>233</v>
      </c>
      <c r="BJ18" s="39" t="s">
        <v>217</v>
      </c>
      <c r="BK18" s="41" t="s">
        <v>218</v>
      </c>
      <c r="BL18" s="4" t="s">
        <v>509</v>
      </c>
      <c r="BM18" s="61" t="s">
        <v>510</v>
      </c>
    </row>
    <row r="19" spans="1:65" x14ac:dyDescent="0.35">
      <c r="A19" t="s">
        <v>31</v>
      </c>
      <c r="B19" s="30">
        <f>VOUT</f>
        <v>12</v>
      </c>
      <c r="C19" t="s">
        <v>10</v>
      </c>
      <c r="E19" t="s">
        <v>167</v>
      </c>
      <c r="N19" s="9">
        <v>1</v>
      </c>
      <c r="O19" s="35">
        <f>10^(1+(N19/100))</f>
        <v>10.232929922807543</v>
      </c>
      <c r="P19" s="34" t="str">
        <f t="shared" ref="P19:P82" si="50">COMPLEX(Adc,0)</f>
        <v>16.3709677419355</v>
      </c>
      <c r="Q19" s="4" t="str">
        <f t="shared" ref="Q19:Q82" si="51">IMSUM(COMPLEX(1,0),IMDIV(COMPLEX(0,2*PI()*O19),COMPLEX(wp_lf,0)))</f>
        <v>1+0.00945764519123049i</v>
      </c>
      <c r="R19" s="4">
        <f>IMABS(Q19)</f>
        <v>1.0000447225262294</v>
      </c>
      <c r="S19" s="4">
        <f>IMARGUMENT(Q19)</f>
        <v>9.4573632202010413E-3</v>
      </c>
      <c r="T19" s="4" t="str">
        <f t="shared" ref="T19:T82" si="52">IMSUM(COMPLEX(1,0),IMDIV(COMPLEX(0,2*PI()*O19),COMPLEX(wz_esr,0)))</f>
        <v>1+0.0000102872631904612i</v>
      </c>
      <c r="U19" s="4">
        <f>IMABS(T19)</f>
        <v>1.0000000000529139</v>
      </c>
      <c r="V19" s="4">
        <f>IMARGUMENT(T19)</f>
        <v>1.0287263190098308E-5</v>
      </c>
      <c r="W19" t="str">
        <f t="shared" ref="W19:W82" si="53">IMSUB(COMPLEX(1,0),IMDIV(COMPLEX(0,2*PI()*O19),COMPLEX(wz_rhp,0)))</f>
        <v>1-0.000134626684099658i</v>
      </c>
      <c r="X19" s="4">
        <f>IMABS(W19)</f>
        <v>1.0000000090621719</v>
      </c>
      <c r="Y19" s="4">
        <f>IMARGUMENT(W19)</f>
        <v>-1.3462668328631787E-4</v>
      </c>
      <c r="Z19" t="str">
        <f t="shared" ref="Z19:Z82" si="54">IMSUM(COMPLEX(1,0),IMDIV(COMPLEX(0,2*PI()*O19),COMPLEX(Q*(wsl/2),0)),IMDIV(IMPOWER(COMPLEX(0,2*PI()*O19),2),IMPOWER(COMPLEX(wsl/2,0),2)))</f>
        <v>0.999999999909389+0.0000265132527728868i</v>
      </c>
      <c r="AA19" s="4">
        <f>IMABS(Z19)</f>
        <v>1.0000000002608651</v>
      </c>
      <c r="AB19" s="4">
        <f>IMARGUMENT(Z19)</f>
        <v>2.6513252769076674E-5</v>
      </c>
      <c r="AC19" s="48" t="str">
        <f>(IMDIV(IMPRODUCT(P19,T19,W19),IMPRODUCT(Q19,Z19)))</f>
        <v>16.3694801422229-0.1572863394038i</v>
      </c>
      <c r="AD19" s="20">
        <f>20*LOG(IMABS(AC19))</f>
        <v>24.281098685685244</v>
      </c>
      <c r="AE19" s="44">
        <f>(180/PI())*IMARGUMENT(AC19)</f>
        <v>-0.55051021932322319</v>
      </c>
      <c r="AF19" t="str">
        <f>COMPLEX($B$68,0)</f>
        <v>45.9520231294187</v>
      </c>
      <c r="AG19" t="str">
        <f t="shared" ref="AG19:AG82" si="55">IMSUM(COMPLEX(1,0),IMDIV(COMPLEX(0,2*PI()*O19),COMPLEX(wp_lf_DCM,0)))</f>
        <v>1+0.00453849846637995i</v>
      </c>
      <c r="AH19">
        <f>IMABS(AG19)</f>
        <v>1.0000102989311308</v>
      </c>
      <c r="AI19">
        <f>IMARGUMENT(AG19)</f>
        <v>4.5384673054825013E-3</v>
      </c>
      <c r="AJ19" t="str">
        <f t="shared" ref="AJ19:AJ82" si="56">IMSUM(COMPLEX(1,0),IMDIV(COMPLEX(0,2*PI()*O19),COMPLEX(wz1_dcm,0)))</f>
        <v>1+0.0000102872631904612i</v>
      </c>
      <c r="AK19">
        <f>IMABS(AJ19)</f>
        <v>1.0000000000529139</v>
      </c>
      <c r="AL19">
        <f>IMARGUMENT(AJ19)</f>
        <v>1.0287263190098308E-5</v>
      </c>
      <c r="AM19" t="str">
        <f t="shared" ref="AM19:AM82" si="57">IMSUB(COMPLEX(1,0),IMDIV(COMPLEX(0,2*PI()*O19),COMPLEX(wz2_dcm,0)))</f>
        <v>1-0.0000230159805901822i</v>
      </c>
      <c r="AN19">
        <f>IMABS(AM19)</f>
        <v>1.0000000002648677</v>
      </c>
      <c r="AO19">
        <f>IMARGUMENT(AM19)</f>
        <v>-2.3015980586118075E-5</v>
      </c>
      <c r="AP19" s="42" t="str">
        <f>(IMDIV(IMPRODUCT(AF19,AJ19,AM19),IMPRODUCT(AG19)))</f>
        <v>45.9510739869175-0.209133789134497i</v>
      </c>
      <c r="AQ19">
        <f>20*LOG(IMABS(AP19))</f>
        <v>33.246003284308465</v>
      </c>
      <c r="AR19" s="44">
        <f>(180/PI())*IMARGUMENT(AP19)</f>
        <v>-0.26076432384766557</v>
      </c>
      <c r="AS19" t="str">
        <f t="shared" ref="AS19:AS82" si="58">COMPLEX(Adc_ea,0)</f>
        <v>-0.000166666666666667</v>
      </c>
      <c r="AT19" t="str">
        <f t="shared" ref="AT19:AT82" si="59">COMPLEX(0,2*PI()*O19*wp0_ea)</f>
        <v>8.1140788414763E-07i</v>
      </c>
      <c r="AU19">
        <f>IMABS(AT19)</f>
        <v>8.1140788414762999E-7</v>
      </c>
      <c r="AV19">
        <f>IMARGUMENT(AT19)</f>
        <v>1.5707963267948966</v>
      </c>
      <c r="AW19" t="str">
        <f t="shared" ref="AW19:AW82" si="60">IMSUM(COMPLEX(1,0),IMDIV(COMPLEX(0,2*PI()*O19),COMPLEX(wp1_ea,0)))</f>
        <v>1+0.000147828461140265i</v>
      </c>
      <c r="AX19">
        <f>IMABS(AW19)</f>
        <v>1.0000000109266269</v>
      </c>
      <c r="AY19">
        <f>IMARGUMENT(AW19)</f>
        <v>1.478284600634207E-4</v>
      </c>
      <c r="AZ19" t="str">
        <f t="shared" ref="AZ19:AZ82" si="61">IMSUM(COMPLEX(1,0),IMDIV(COMPLEX(0,2*PI()*O19),COMPLEX(wz_ea,0)))</f>
        <v>1+0.00300902448320991i</v>
      </c>
      <c r="BA19">
        <f>IMABS(AZ19)</f>
        <v>1.0000045271039231</v>
      </c>
      <c r="BB19">
        <f>IMARGUMENT(AZ19)</f>
        <v>3.0090154017943273E-3</v>
      </c>
      <c r="BC19" s="42" t="str">
        <f>IMPRODUCT(AS19,IMDIV(AZ19,IMPRODUCT(AT19,AW19)))</f>
        <v>-0.587701946916798+205.404384671605i</v>
      </c>
      <c r="BD19">
        <f>20*LOG(IMABS(BC19))</f>
        <v>46.25222975393109</v>
      </c>
      <c r="BE19" s="44">
        <f>(180/PI())*IMARGUMENT(BC19)</f>
        <v>90.163933936159111</v>
      </c>
      <c r="BF19" s="42" t="str">
        <f>IMPRODUCT(AC19,BC19)</f>
        <v>22.6869284128865+3362.45543349524i</v>
      </c>
      <c r="BG19" s="20">
        <f>20*LOG(IMABS(BF19))</f>
        <v>70.533328439616326</v>
      </c>
      <c r="BH19" s="44">
        <f>(180/PI())*IMARGUMENT(BF19)</f>
        <v>89.613423716835911</v>
      </c>
      <c r="BI19" s="42" t="str">
        <f>IMPRODUCT(AP19,BC19)</f>
        <v>15.9514616261833+9438.67498561722i</v>
      </c>
      <c r="BJ19" s="20">
        <f>20*LOG(IMABS(BI19))</f>
        <v>79.498233038239562</v>
      </c>
      <c r="BK19" s="44">
        <f>(180/PI())*IMARGUMENT(BI19)</f>
        <v>89.903169612311459</v>
      </c>
      <c r="BL19">
        <f>IF($B$31=0,BJ19,BG19)</f>
        <v>70.533328439616326</v>
      </c>
      <c r="BM19" s="44">
        <f>IF($B$31=0,BK19,BH19)</f>
        <v>89.613423716835911</v>
      </c>
    </row>
    <row r="20" spans="1:65" x14ac:dyDescent="0.35">
      <c r="A20" t="s">
        <v>33</v>
      </c>
      <c r="B20" s="30">
        <f>IOUT</f>
        <v>2</v>
      </c>
      <c r="C20" t="s">
        <v>11</v>
      </c>
      <c r="E20" t="s">
        <v>34</v>
      </c>
      <c r="N20" s="9">
        <v>2</v>
      </c>
      <c r="O20" s="35">
        <f t="shared" ref="O20:O83" si="62">10^(1+(N20/100))</f>
        <v>10.471285480509</v>
      </c>
      <c r="P20" s="34" t="str">
        <f t="shared" si="50"/>
        <v>16.3709677419355</v>
      </c>
      <c r="Q20" s="4" t="str">
        <f t="shared" si="51"/>
        <v>1+0.00967794204766393i</v>
      </c>
      <c r="R20" s="4">
        <f t="shared" ref="R20:R83" si="63">IMABS(Q20)</f>
        <v>1.0000468301846059</v>
      </c>
      <c r="S20" s="4">
        <f t="shared" ref="S20:S83" si="64">IMARGUMENT(Q20)</f>
        <v>9.6776399110264956E-3</v>
      </c>
      <c r="T20" s="4" t="str">
        <f t="shared" si="52"/>
        <v>1+0.0000105268843325467i</v>
      </c>
      <c r="U20" s="4">
        <f t="shared" ref="U20:U83" si="65">IMABS(T20)</f>
        <v>1.0000000000554077</v>
      </c>
      <c r="V20" s="4">
        <f t="shared" ref="V20:V83" si="66">IMARGUMENT(T20)</f>
        <v>1.0526884332157853E-5</v>
      </c>
      <c r="W20" t="str">
        <f t="shared" si="53"/>
        <v>1-0.000137762542413175i</v>
      </c>
      <c r="X20" s="4">
        <f t="shared" ref="X20:X83" si="67">IMABS(W20)</f>
        <v>1.0000000094892589</v>
      </c>
      <c r="Y20" s="4">
        <f t="shared" ref="Y20:Y83" si="68">IMARGUMENT(W20)</f>
        <v>-1.3776254154166537E-4</v>
      </c>
      <c r="Z20" t="str">
        <f t="shared" si="54"/>
        <v>0.999999999905118+0.0000271308257650633i</v>
      </c>
      <c r="AA20" s="4">
        <f t="shared" ref="AA20:AA83" si="69">IMABS(Z20)</f>
        <v>1.0000000002731588</v>
      </c>
      <c r="AB20" s="4">
        <f t="shared" ref="AB20:AB83" si="70">IMARGUMENT(Z20)</f>
        <v>2.7130825760980691E-5</v>
      </c>
      <c r="AC20" s="48" t="str">
        <f t="shared" ref="AC20:AC83" si="71">(IMDIV(IMPRODUCT(P20,T20,W20),IMPRODUCT(Q20,Z20)))</f>
        <v>16.3694100403743-0.16094933045173i</v>
      </c>
      <c r="AD20" s="20">
        <f t="shared" ref="AD20:AD83" si="72">20*LOG(IMABS(AC20))</f>
        <v>24.281080383259685</v>
      </c>
      <c r="AE20" s="44">
        <f t="shared" ref="AE20:AE83" si="73">(180/PI())*IMARGUMENT(AC20)</f>
        <v>-0.56333247052166591</v>
      </c>
      <c r="AF20" t="str">
        <f t="shared" ref="AF20:AF83" si="74">COMPLEX($B$68,0)</f>
        <v>45.9520231294187</v>
      </c>
      <c r="AG20" t="str">
        <f t="shared" si="55"/>
        <v>1+0.00464421367612355i</v>
      </c>
      <c r="AH20">
        <f t="shared" ref="AH20:AH83" si="75">IMABS(AG20)</f>
        <v>1.0000107843021842</v>
      </c>
      <c r="AI20">
        <f t="shared" ref="AI20:AI83" si="76">IMARGUMENT(AG20)</f>
        <v>4.6441802866398129E-3</v>
      </c>
      <c r="AJ20" t="str">
        <f t="shared" si="56"/>
        <v>1+0.0000105268843325467i</v>
      </c>
      <c r="AK20">
        <f t="shared" ref="AK20:AK83" si="77">IMABS(AJ20)</f>
        <v>1.0000000000554077</v>
      </c>
      <c r="AL20">
        <f t="shared" ref="AL20:AL83" si="78">IMARGUMENT(AJ20)</f>
        <v>1.0526884332157853E-5</v>
      </c>
      <c r="AM20" t="str">
        <f t="shared" si="57"/>
        <v>1-0.0000235520916484033i</v>
      </c>
      <c r="AN20">
        <f t="shared" ref="AN20:AN83" si="79">IMABS(AM20)</f>
        <v>1.0000000002773506</v>
      </c>
      <c r="AO20">
        <f t="shared" ref="AO20:AO83" si="80">IMARGUMENT(AM20)</f>
        <v>-2.3552091644048511E-5</v>
      </c>
      <c r="AP20" s="42" t="str">
        <f t="shared" ref="AP20:AP83" si="81">(IMDIV(IMPRODUCT(AF20,AJ20,AM20),IMPRODUCT(AG20)))</f>
        <v>45.9510292561744-0.214004933131322i</v>
      </c>
      <c r="AQ20">
        <f t="shared" ref="AQ20:AQ83" si="82">20*LOG(IMABS(AP20))</f>
        <v>33.245999068603609</v>
      </c>
      <c r="AR20" s="44">
        <f t="shared" ref="AR20:AR83" si="83">(180/PI())*IMARGUMENT(AP20)</f>
        <v>-0.2668382191285722</v>
      </c>
      <c r="AS20" t="str">
        <f t="shared" si="58"/>
        <v>-0.000166666666666667</v>
      </c>
      <c r="AT20" t="str">
        <f t="shared" si="59"/>
        <v>8.30308001729624E-07i</v>
      </c>
      <c r="AU20">
        <f t="shared" ref="AU20:AU83" si="84">IMABS(AT20)</f>
        <v>8.3030800172962405E-7</v>
      </c>
      <c r="AV20">
        <f t="shared" ref="AV20:AV83" si="85">IMARGUMENT(AT20)</f>
        <v>1.5707963267948966</v>
      </c>
      <c r="AW20" t="str">
        <f t="shared" si="60"/>
        <v>1+0.000151271828344481i</v>
      </c>
      <c r="AX20">
        <f t="shared" ref="AX20:AX83" si="86">IMABS(AW20)</f>
        <v>1.000000011441583</v>
      </c>
      <c r="AY20">
        <f t="shared" ref="AY20:AY83" si="87">IMARGUMENT(AW20)</f>
        <v>1.5127182719062155E-4</v>
      </c>
      <c r="AZ20" t="str">
        <f t="shared" si="61"/>
        <v>1+0.00307911366726992i</v>
      </c>
      <c r="BA20">
        <f t="shared" ref="BA20:BA83" si="88">IMABS(AZ20)</f>
        <v>1.000004740459252</v>
      </c>
      <c r="BB20">
        <f t="shared" ref="BB20:BB83" si="89">IMARGUMENT(AZ20)</f>
        <v>3.0791039363602954E-3</v>
      </c>
      <c r="BC20" s="42" t="str">
        <f t="shared" ref="BC20:BC83" si="90">IMPRODUCT(AS20,IMDIV(AZ20,IMPRODUCT(AT20,AW20)))</f>
        <v>-0.587701946311516+200.7288140499i</v>
      </c>
      <c r="BD20">
        <f t="shared" ref="BD20:BD83" si="91">20*LOG(IMABS(BC20))</f>
        <v>46.052231602630485</v>
      </c>
      <c r="BE20" s="44">
        <f t="shared" ref="BE20:BE83" si="92">(180/PI())*IMARGUMENT(BC20)</f>
        <v>90.16775242297831</v>
      </c>
      <c r="BF20" s="42" t="str">
        <f t="shared" ref="BF20:BF83" si="93">IMPRODUCT(AC20,BC20)</f>
        <v>22.686834083002+3285.90685433562i</v>
      </c>
      <c r="BG20" s="20">
        <f t="shared" ref="BG20:BG83" si="94">20*LOG(IMABS(BF20))</f>
        <v>70.333311985890163</v>
      </c>
      <c r="BH20" s="44">
        <f t="shared" ref="BH20:BH83" si="95">(180/PI())*IMARGUMENT(BF20)</f>
        <v>89.604419952456638</v>
      </c>
      <c r="BI20" s="42" t="str">
        <f t="shared" ref="BI20:BI49" si="96">IMPRODUCT(AP20,BC20)</f>
        <v>15.9514470994073+9223.82137807987i</v>
      </c>
      <c r="BJ20" s="20">
        <f t="shared" ref="BJ20:BJ83" si="97">20*LOG(IMABS(BI20))</f>
        <v>79.298230671234094</v>
      </c>
      <c r="BK20" s="44">
        <f t="shared" ref="BK20:BK49" si="98">(180/PI())*IMARGUMENT(BI20)</f>
        <v>89.900914203849752</v>
      </c>
      <c r="BL20">
        <f t="shared" ref="BL20:BL83" si="99">IF($B$31=0,BJ20,BG20)</f>
        <v>70.333311985890163</v>
      </c>
      <c r="BM20" s="44">
        <f t="shared" ref="BM20:BM83" si="100">IF($B$31=0,BK20,BH20)</f>
        <v>89.604419952456638</v>
      </c>
    </row>
    <row r="21" spans="1:65" x14ac:dyDescent="0.35">
      <c r="N21" s="9">
        <v>3</v>
      </c>
      <c r="O21" s="35">
        <f t="shared" si="62"/>
        <v>10.715193052376069</v>
      </c>
      <c r="P21" s="34" t="str">
        <f t="shared" si="50"/>
        <v>16.3709677419355</v>
      </c>
      <c r="Q21" s="4" t="str">
        <f t="shared" si="51"/>
        <v>1+0.00990337027707375i</v>
      </c>
      <c r="R21" s="4">
        <f t="shared" si="63"/>
        <v>1.0000490371691004</v>
      </c>
      <c r="S21" s="4">
        <f t="shared" si="64"/>
        <v>9.9030465326912925E-3</v>
      </c>
      <c r="T21" s="4" t="str">
        <f t="shared" si="52"/>
        <v>1+0.0000107720869680451i</v>
      </c>
      <c r="U21" s="4">
        <f t="shared" si="65"/>
        <v>1.0000000000580189</v>
      </c>
      <c r="V21" s="4">
        <f t="shared" si="66"/>
        <v>1.0772086967628443E-5</v>
      </c>
      <c r="W21" t="str">
        <f t="shared" si="53"/>
        <v>1-0.000140971444250182i</v>
      </c>
      <c r="X21" s="4">
        <f t="shared" si="67"/>
        <v>1.0000000099364741</v>
      </c>
      <c r="Y21" s="4">
        <f t="shared" si="68"/>
        <v>-1.4097144331634264E-4</v>
      </c>
      <c r="Z21" t="str">
        <f t="shared" si="54"/>
        <v>0.999999999900646+0.0000277627838801794i</v>
      </c>
      <c r="AA21" s="4">
        <f t="shared" si="69"/>
        <v>1.0000000002860321</v>
      </c>
      <c r="AB21" s="4">
        <f t="shared" si="70"/>
        <v>2.7762783875804818E-5</v>
      </c>
      <c r="AC21" s="48" t="str">
        <f t="shared" si="71"/>
        <v>16.3693366353608-0.164697595006461i</v>
      </c>
      <c r="AD21" s="20">
        <f t="shared" si="72"/>
        <v>24.281061218350107</v>
      </c>
      <c r="AE21" s="44">
        <f t="shared" si="73"/>
        <v>-0.5764533346025934</v>
      </c>
      <c r="AF21" t="str">
        <f t="shared" si="74"/>
        <v>45.9520231294187</v>
      </c>
      <c r="AG21" t="str">
        <f t="shared" si="55"/>
        <v>1+0.00475239130943167i</v>
      </c>
      <c r="AH21">
        <f t="shared" si="75"/>
        <v>1.0000112925478182</v>
      </c>
      <c r="AI21">
        <f t="shared" si="76"/>
        <v>4.752355531977075E-3</v>
      </c>
      <c r="AJ21" t="str">
        <f t="shared" si="56"/>
        <v>1+0.0000107720869680451i</v>
      </c>
      <c r="AK21">
        <f t="shared" si="77"/>
        <v>1.0000000000580189</v>
      </c>
      <c r="AL21">
        <f t="shared" si="78"/>
        <v>1.0772086967628443E-5</v>
      </c>
      <c r="AM21" t="str">
        <f t="shared" si="57"/>
        <v>1-0.0000241006903373652i</v>
      </c>
      <c r="AN21">
        <f t="shared" si="79"/>
        <v>1.0000000002904217</v>
      </c>
      <c r="AO21">
        <f t="shared" si="80"/>
        <v>-2.410069033269896E-5</v>
      </c>
      <c r="AP21" s="42" t="str">
        <f t="shared" si="81"/>
        <v>45.9509824174293-0.218989525790748i</v>
      </c>
      <c r="AQ21">
        <f t="shared" si="82"/>
        <v>33.245994654223068</v>
      </c>
      <c r="AR21" s="44">
        <f t="shared" si="83"/>
        <v>-0.27305358744755753</v>
      </c>
      <c r="AS21" t="str">
        <f t="shared" si="58"/>
        <v>-0.000166666666666667</v>
      </c>
      <c r="AT21" t="str">
        <f t="shared" si="59"/>
        <v>8.4964835960456E-07i</v>
      </c>
      <c r="AU21">
        <f t="shared" si="84"/>
        <v>8.4964835960455999E-7</v>
      </c>
      <c r="AV21">
        <f t="shared" si="85"/>
        <v>1.5707963267948966</v>
      </c>
      <c r="AW21" t="str">
        <f t="shared" si="60"/>
        <v>1+0.000154795401874405i</v>
      </c>
      <c r="AX21">
        <f t="shared" si="86"/>
        <v>1.0000000119808081</v>
      </c>
      <c r="AY21">
        <f t="shared" si="87"/>
        <v>1.5479540063802235E-4</v>
      </c>
      <c r="AZ21" t="str">
        <f t="shared" si="61"/>
        <v>1+0.0031508354381532i</v>
      </c>
      <c r="BA21">
        <f t="shared" si="88"/>
        <v>1.0000049638696591</v>
      </c>
      <c r="BB21">
        <f t="shared" si="89"/>
        <v>3.1508250112984755E-3</v>
      </c>
      <c r="BC21" s="42" t="str">
        <f t="shared" si="90"/>
        <v>-0.58770194567771+196.159672502365i</v>
      </c>
      <c r="BD21">
        <f t="shared" si="91"/>
        <v>45.852233538455593</v>
      </c>
      <c r="BE21" s="44">
        <f t="shared" si="92"/>
        <v>90.171659851987059</v>
      </c>
      <c r="BF21" s="42" t="str">
        <f t="shared" si="93"/>
        <v>22.6867353083396+3211.10050657037i</v>
      </c>
      <c r="BG21" s="20">
        <f t="shared" si="94"/>
        <v>70.133294756805682</v>
      </c>
      <c r="BH21" s="44">
        <f t="shared" si="95"/>
        <v>89.595206517384483</v>
      </c>
      <c r="BI21" s="42" t="str">
        <f t="shared" si="96"/>
        <v>15.9514318880359+9013.85836273525i</v>
      </c>
      <c r="BJ21" s="20">
        <f t="shared" si="97"/>
        <v>79.098228192678647</v>
      </c>
      <c r="BK21" s="44">
        <f t="shared" si="98"/>
        <v>89.898606264539509</v>
      </c>
      <c r="BL21">
        <f t="shared" si="99"/>
        <v>70.133294756805682</v>
      </c>
      <c r="BM21" s="44">
        <f t="shared" si="100"/>
        <v>89.595206517384483</v>
      </c>
    </row>
    <row r="22" spans="1:65" x14ac:dyDescent="0.35">
      <c r="A22" t="s">
        <v>168</v>
      </c>
      <c r="N22" s="9">
        <v>4</v>
      </c>
      <c r="O22" s="35">
        <f t="shared" si="62"/>
        <v>10.964781961431854</v>
      </c>
      <c r="P22" s="34" t="str">
        <f t="shared" si="50"/>
        <v>16.3709677419355</v>
      </c>
      <c r="Q22" s="4" t="str">
        <f t="shared" si="51"/>
        <v>1+0.0101340494044911i</v>
      </c>
      <c r="R22" s="4">
        <f t="shared" si="63"/>
        <v>1.0000513481603497</v>
      </c>
      <c r="S22" s="4">
        <f t="shared" si="64"/>
        <v>1.0133702507097315E-2</v>
      </c>
      <c r="T22" s="4" t="str">
        <f t="shared" si="52"/>
        <v>1+0.0000110230011066394i</v>
      </c>
      <c r="U22" s="4">
        <f t="shared" si="65"/>
        <v>1.0000000000607532</v>
      </c>
      <c r="V22" s="4">
        <f t="shared" si="66"/>
        <v>1.1023001106192945E-5</v>
      </c>
      <c r="W22" t="str">
        <f t="shared" si="53"/>
        <v>1-0.000144255091012909i</v>
      </c>
      <c r="X22" s="4">
        <f t="shared" si="67"/>
        <v>1.0000000104047655</v>
      </c>
      <c r="Y22" s="4">
        <f t="shared" si="68"/>
        <v>-1.4425509001228206E-4</v>
      </c>
      <c r="Z22" t="str">
        <f t="shared" si="54"/>
        <v>0.999999999895964+0.0000284094621907927i</v>
      </c>
      <c r="AA22" s="4">
        <f t="shared" si="69"/>
        <v>1.0000000002995129</v>
      </c>
      <c r="AB22" s="4">
        <f t="shared" si="70"/>
        <v>2.8409462186105237E-5</v>
      </c>
      <c r="AC22" s="48" t="str">
        <f t="shared" si="71"/>
        <v>16.3692597715701-0.168533115874105i</v>
      </c>
      <c r="AD22" s="20">
        <f t="shared" si="72"/>
        <v>24.281041150316849</v>
      </c>
      <c r="AE22" s="44">
        <f t="shared" si="73"/>
        <v>-0.58987976316934843</v>
      </c>
      <c r="AF22" t="str">
        <f t="shared" si="74"/>
        <v>45.9520231294187</v>
      </c>
      <c r="AG22" t="str">
        <f t="shared" si="55"/>
        <v>1+0.00486308872351738i</v>
      </c>
      <c r="AH22">
        <f t="shared" si="75"/>
        <v>1.0000118247460541</v>
      </c>
      <c r="AI22">
        <f t="shared" si="76"/>
        <v>4.8630503873085722E-3</v>
      </c>
      <c r="AJ22" t="str">
        <f t="shared" si="56"/>
        <v>1+0.0000110230011066394i</v>
      </c>
      <c r="AK22">
        <f t="shared" si="77"/>
        <v>1.0000000000607532</v>
      </c>
      <c r="AL22">
        <f t="shared" si="78"/>
        <v>1.1023001106192945E-5</v>
      </c>
      <c r="AM22" t="str">
        <f t="shared" si="57"/>
        <v>1-0.0000246620675313543i</v>
      </c>
      <c r="AN22">
        <f t="shared" si="79"/>
        <v>1.0000000003041087</v>
      </c>
      <c r="AO22">
        <f t="shared" si="80"/>
        <v>-2.4662067526354332E-5</v>
      </c>
      <c r="AP22" s="42" t="str">
        <f t="shared" si="81"/>
        <v>45.9509333713443-0.224090208609095i</v>
      </c>
      <c r="AQ22">
        <f t="shared" si="82"/>
        <v>33.245990031804006</v>
      </c>
      <c r="AR22" s="44">
        <f t="shared" si="83"/>
        <v>-0.27941372369461526</v>
      </c>
      <c r="AS22" t="str">
        <f t="shared" si="58"/>
        <v>-0.000166666666666667</v>
      </c>
      <c r="AT22" t="str">
        <f t="shared" si="59"/>
        <v>8.69439212286185E-07i</v>
      </c>
      <c r="AU22">
        <f t="shared" si="84"/>
        <v>8.6943921228618505E-7</v>
      </c>
      <c r="AV22">
        <f t="shared" si="85"/>
        <v>1.5707963267948966</v>
      </c>
      <c r="AW22" t="str">
        <f t="shared" si="60"/>
        <v>1+0.000158401049975361i</v>
      </c>
      <c r="AX22">
        <f t="shared" si="86"/>
        <v>1.0000000125454462</v>
      </c>
      <c r="AY22">
        <f t="shared" si="87"/>
        <v>1.5840104865055311E-4</v>
      </c>
      <c r="AZ22" t="str">
        <f t="shared" si="61"/>
        <v>1+0.00322422782369203i</v>
      </c>
      <c r="BA22">
        <f t="shared" si="88"/>
        <v>1.000005197809021</v>
      </c>
      <c r="BB22">
        <f t="shared" si="89"/>
        <v>3.2242166511190361E-3</v>
      </c>
      <c r="BC22" s="42" t="str">
        <f t="shared" si="90"/>
        <v>-0.587701945014031+191.69453740967i</v>
      </c>
      <c r="BD22">
        <f t="shared" si="91"/>
        <v>45.652235565512342</v>
      </c>
      <c r="BE22" s="44">
        <f t="shared" si="92"/>
        <v>90.175658294786786</v>
      </c>
      <c r="BF22" s="42" t="str">
        <f t="shared" si="93"/>
        <v>22.6866318795052+3137.99672688985i</v>
      </c>
      <c r="BG22" s="20">
        <f t="shared" si="94"/>
        <v>69.933276715829194</v>
      </c>
      <c r="BH22" s="44">
        <f t="shared" si="95"/>
        <v>89.585778531617464</v>
      </c>
      <c r="BI22" s="42" t="str">
        <f t="shared" si="96"/>
        <v>15.9514159598077+8808.67461441387i</v>
      </c>
      <c r="BJ22" s="20">
        <f t="shared" si="97"/>
        <v>78.89822559731634</v>
      </c>
      <c r="BK22" s="44">
        <f t="shared" si="98"/>
        <v>89.896244571092197</v>
      </c>
      <c r="BL22">
        <f t="shared" si="99"/>
        <v>69.933276715829194</v>
      </c>
      <c r="BM22" s="44">
        <f t="shared" si="100"/>
        <v>89.585778531617464</v>
      </c>
    </row>
    <row r="23" spans="1:65" x14ac:dyDescent="0.35">
      <c r="A23" t="s">
        <v>169</v>
      </c>
      <c r="B23" s="30">
        <f>Lm</f>
        <v>2.7E-6</v>
      </c>
      <c r="C23" t="s">
        <v>86</v>
      </c>
      <c r="E23" t="s">
        <v>170</v>
      </c>
      <c r="N23" s="9">
        <v>5</v>
      </c>
      <c r="O23" s="35">
        <f t="shared" si="62"/>
        <v>11.220184543019636</v>
      </c>
      <c r="P23" s="34" t="str">
        <f t="shared" si="50"/>
        <v>16.3709677419355</v>
      </c>
      <c r="Q23" s="4" t="str">
        <f t="shared" si="51"/>
        <v>1+0.0103701017390427i</v>
      </c>
      <c r="R23" s="4">
        <f t="shared" si="63"/>
        <v>1.0000537680595369</v>
      </c>
      <c r="S23" s="4">
        <f t="shared" si="64"/>
        <v>1.0369730032867678E-2</v>
      </c>
      <c r="T23" s="4" t="str">
        <f t="shared" si="52"/>
        <v>1+0.0000112797597863271i</v>
      </c>
      <c r="U23" s="4">
        <f t="shared" si="65"/>
        <v>1.0000000000636164</v>
      </c>
      <c r="V23" s="4">
        <f t="shared" si="66"/>
        <v>1.1279759785848714E-5</v>
      </c>
      <c r="W23" t="str">
        <f t="shared" si="53"/>
        <v>1-0.000147615223734332i</v>
      </c>
      <c r="X23" s="4">
        <f t="shared" si="67"/>
        <v>1.000000010895127</v>
      </c>
      <c r="Y23" s="4">
        <f t="shared" si="68"/>
        <v>-1.4761522266214092E-4</v>
      </c>
      <c r="Z23" t="str">
        <f t="shared" si="54"/>
        <v>0.999999999891061+0.0000290712035743032i</v>
      </c>
      <c r="AA23" s="4">
        <f t="shared" si="69"/>
        <v>1.0000000003136282</v>
      </c>
      <c r="AB23" s="4">
        <f t="shared" si="70"/>
        <v>2.9071203569280492E-5</v>
      </c>
      <c r="AC23" s="48" t="str">
        <f t="shared" si="71"/>
        <v>16.3691792860619-0.172457921798252i</v>
      </c>
      <c r="AD23" s="20">
        <f t="shared" si="72"/>
        <v>24.281020136605669</v>
      </c>
      <c r="AE23" s="44">
        <f t="shared" si="73"/>
        <v>-0.60361886946403476</v>
      </c>
      <c r="AF23" t="str">
        <f t="shared" si="74"/>
        <v>45.9520231294187</v>
      </c>
      <c r="AG23" t="str">
        <f t="shared" si="55"/>
        <v>1+0.00497636461161489i</v>
      </c>
      <c r="AH23">
        <f t="shared" si="75"/>
        <v>1.0000123820257165</v>
      </c>
      <c r="AI23">
        <f t="shared" si="76"/>
        <v>4.9763235336545324E-3</v>
      </c>
      <c r="AJ23" t="str">
        <f t="shared" si="56"/>
        <v>1+0.0000112797597863271i</v>
      </c>
      <c r="AK23">
        <f t="shared" si="77"/>
        <v>1.0000000000636164</v>
      </c>
      <c r="AL23">
        <f t="shared" si="78"/>
        <v>1.1279759785848714E-5</v>
      </c>
      <c r="AM23" t="str">
        <f t="shared" si="57"/>
        <v>1-0.0000252365208799895i</v>
      </c>
      <c r="AN23">
        <f t="shared" si="79"/>
        <v>1.0000000003184408</v>
      </c>
      <c r="AO23">
        <f t="shared" si="80"/>
        <v>-2.523652087463194E-5</v>
      </c>
      <c r="AP23" s="42" t="str">
        <f t="shared" si="81"/>
        <v>45.9508820139003-0.229309684535052i</v>
      </c>
      <c r="AQ23">
        <f t="shared" si="82"/>
        <v>33.245985191542289</v>
      </c>
      <c r="AR23" s="44">
        <f t="shared" si="83"/>
        <v>-0.28592199947609204</v>
      </c>
      <c r="AS23" t="str">
        <f t="shared" si="58"/>
        <v>-0.000166666666666667</v>
      </c>
      <c r="AT23" t="str">
        <f t="shared" si="59"/>
        <v>8.89691053146551E-07i</v>
      </c>
      <c r="AU23">
        <f t="shared" si="84"/>
        <v>8.8969105314655097E-7</v>
      </c>
      <c r="AV23">
        <f t="shared" si="85"/>
        <v>1.5707963267948966</v>
      </c>
      <c r="AW23" t="str">
        <f t="shared" si="60"/>
        <v>1+0.000162090684409701i</v>
      </c>
      <c r="AX23">
        <f t="shared" si="86"/>
        <v>1.0000000131366948</v>
      </c>
      <c r="AY23">
        <f t="shared" si="87"/>
        <v>1.6209068299014376E-4</v>
      </c>
      <c r="AZ23" t="str">
        <f t="shared" si="61"/>
        <v>1+0.00329932973750068i</v>
      </c>
      <c r="BA23">
        <f t="shared" si="88"/>
        <v>1.0000054427735465</v>
      </c>
      <c r="BB23">
        <f t="shared" si="89"/>
        <v>3.299317765876547E-3</v>
      </c>
      <c r="BC23" s="42" t="str">
        <f t="shared" si="90"/>
        <v>-0.587701944319075+187.331041298087i</v>
      </c>
      <c r="BD23">
        <f t="shared" si="91"/>
        <v>45.452237688100318</v>
      </c>
      <c r="BE23" s="44">
        <f t="shared" si="92"/>
        <v>90.179749871223535</v>
      </c>
      <c r="BF23" s="42" t="str">
        <f t="shared" si="93"/>
        <v>22.6865235772445+3066.55675470901i</v>
      </c>
      <c r="BG23" s="20">
        <f t="shared" si="94"/>
        <v>69.733257824706001</v>
      </c>
      <c r="BH23" s="44">
        <f t="shared" si="95"/>
        <v>89.576131001759506</v>
      </c>
      <c r="BI23" s="42" t="str">
        <f t="shared" si="96"/>
        <v>15.9513992809415+8608.16134197693i</v>
      </c>
      <c r="BJ23" s="20">
        <f t="shared" si="97"/>
        <v>78.6982228796426</v>
      </c>
      <c r="BK23" s="44">
        <f t="shared" si="98"/>
        <v>89.893827871747447</v>
      </c>
      <c r="BL23">
        <f t="shared" si="99"/>
        <v>69.733257824706001</v>
      </c>
      <c r="BM23" s="44">
        <f t="shared" si="100"/>
        <v>89.576131001759506</v>
      </c>
    </row>
    <row r="24" spans="1:65" x14ac:dyDescent="0.35">
      <c r="N24" s="9">
        <v>6</v>
      </c>
      <c r="O24" s="35">
        <f t="shared" si="62"/>
        <v>11.481536214968834</v>
      </c>
      <c r="P24" s="34" t="str">
        <f t="shared" si="50"/>
        <v>16.3709677419355</v>
      </c>
      <c r="Q24" s="4" t="str">
        <f t="shared" si="51"/>
        <v>1+0.0106116524388008i</v>
      </c>
      <c r="R24" s="4">
        <f t="shared" si="63"/>
        <v>1.0000563019987834</v>
      </c>
      <c r="S24" s="4">
        <f t="shared" si="64"/>
        <v>1.0611254149669435E-2</v>
      </c>
      <c r="T24" s="4" t="str">
        <f t="shared" si="52"/>
        <v>1+0.0000115424991439588i</v>
      </c>
      <c r="U24" s="4">
        <f t="shared" si="65"/>
        <v>1.0000000000666147</v>
      </c>
      <c r="V24" s="4">
        <f t="shared" si="66"/>
        <v>1.1542499143446201E-5</v>
      </c>
      <c r="W24" t="str">
        <f t="shared" si="53"/>
        <v>1-0.000151053624001297i</v>
      </c>
      <c r="X24" s="4">
        <f t="shared" si="67"/>
        <v>1.0000000114085985</v>
      </c>
      <c r="Y24" s="4">
        <f t="shared" si="68"/>
        <v>-1.5105362285242359E-4</v>
      </c>
      <c r="Z24" t="str">
        <f t="shared" si="54"/>
        <v>0.999999999885927+0.0000297483588947517i</v>
      </c>
      <c r="AA24" s="4">
        <f t="shared" si="69"/>
        <v>1.0000000003284093</v>
      </c>
      <c r="AB24" s="4">
        <f t="shared" si="70"/>
        <v>2.9748358889369768E-5</v>
      </c>
      <c r="AC24" s="48" t="str">
        <f t="shared" si="71"/>
        <v>16.3690950082237-0.17647408851227i</v>
      </c>
      <c r="AD24" s="20">
        <f t="shared" si="72"/>
        <v>24.280998132657913</v>
      </c>
      <c r="AE24" s="44">
        <f t="shared" si="73"/>
        <v>-0.61767793211219402</v>
      </c>
      <c r="AF24" t="str">
        <f t="shared" si="74"/>
        <v>45.9520231294187</v>
      </c>
      <c r="AG24" t="str">
        <f t="shared" si="55"/>
        <v>1+0.00509227903409946i</v>
      </c>
      <c r="AH24">
        <f t="shared" si="75"/>
        <v>1.0000129655688275</v>
      </c>
      <c r="AI24">
        <f t="shared" si="76"/>
        <v>5.0922350183027392E-3</v>
      </c>
      <c r="AJ24" t="str">
        <f t="shared" si="56"/>
        <v>1+0.0000115424991439588i</v>
      </c>
      <c r="AK24">
        <f t="shared" si="77"/>
        <v>1.0000000000666147</v>
      </c>
      <c r="AL24">
        <f t="shared" si="78"/>
        <v>1.1542499143446201E-5</v>
      </c>
      <c r="AM24" t="str">
        <f t="shared" si="57"/>
        <v>1-0.0000258243549660402i</v>
      </c>
      <c r="AN24">
        <f t="shared" si="79"/>
        <v>1.0000000003334486</v>
      </c>
      <c r="AO24">
        <f t="shared" si="80"/>
        <v>-2.5824354960299467E-5</v>
      </c>
      <c r="AP24" s="42" t="str">
        <f t="shared" si="81"/>
        <v>45.9508282361773-0.234650719395658i</v>
      </c>
      <c r="AQ24">
        <f t="shared" si="82"/>
        <v>33.245980123171869</v>
      </c>
      <c r="AR24" s="44">
        <f t="shared" si="83"/>
        <v>-0.29258186489938998</v>
      </c>
      <c r="AS24" t="str">
        <f t="shared" si="58"/>
        <v>-0.000166666666666667</v>
      </c>
      <c r="AT24" t="str">
        <f t="shared" si="59"/>
        <v>9.10414619979751E-07i</v>
      </c>
      <c r="AU24">
        <f t="shared" si="84"/>
        <v>9.1041461997975103E-7</v>
      </c>
      <c r="AV24">
        <f t="shared" si="85"/>
        <v>1.5707963267948966</v>
      </c>
      <c r="AW24" t="str">
        <f t="shared" si="60"/>
        <v>1+0.000165866261470438i</v>
      </c>
      <c r="AX24">
        <f t="shared" si="86"/>
        <v>1.0000000137558083</v>
      </c>
      <c r="AY24">
        <f t="shared" si="87"/>
        <v>1.6586625994935501E-4</v>
      </c>
      <c r="AZ24" t="str">
        <f t="shared" si="61"/>
        <v>1+0.00337618099960794i</v>
      </c>
      <c r="BA24">
        <f t="shared" si="88"/>
        <v>1.0000056992828301</v>
      </c>
      <c r="BB24">
        <f t="shared" si="89"/>
        <v>3.3761681717855152E-3</v>
      </c>
      <c r="BC24" s="42" t="str">
        <f t="shared" si="90"/>
        <v>-0.587701943591365+183.06687058422i</v>
      </c>
      <c r="BD24">
        <f t="shared" si="91"/>
        <v>45.252239910721684</v>
      </c>
      <c r="BE24" s="44">
        <f t="shared" si="92"/>
        <v>90.183936750510995</v>
      </c>
      <c r="BF24" s="42" t="str">
        <f t="shared" si="93"/>
        <v>22.6864101719791+2996.7427116161i</v>
      </c>
      <c r="BG24" s="20">
        <f t="shared" si="94"/>
        <v>69.533238043379598</v>
      </c>
      <c r="BH24" s="44">
        <f t="shared" si="95"/>
        <v>89.566258818398808</v>
      </c>
      <c r="BI24" s="42" t="str">
        <f t="shared" si="96"/>
        <v>15.9513818160647+8412.21223063385i</v>
      </c>
      <c r="BJ24" s="20">
        <f t="shared" si="97"/>
        <v>78.49822003389356</v>
      </c>
      <c r="BK24" s="44">
        <f t="shared" si="98"/>
        <v>89.891354885611605</v>
      </c>
      <c r="BL24">
        <f t="shared" si="99"/>
        <v>69.533238043379598</v>
      </c>
      <c r="BM24" s="44">
        <f t="shared" si="100"/>
        <v>89.566258818398808</v>
      </c>
    </row>
    <row r="25" spans="1:65" x14ac:dyDescent="0.35">
      <c r="A25" t="s">
        <v>130</v>
      </c>
      <c r="B25" s="30">
        <f>R_cs</f>
        <v>1.2E-2</v>
      </c>
      <c r="C25" s="2" t="s">
        <v>36</v>
      </c>
      <c r="E25" t="s">
        <v>171</v>
      </c>
      <c r="N25" s="9">
        <v>7</v>
      </c>
      <c r="O25" s="35">
        <f t="shared" si="62"/>
        <v>11.748975549395301</v>
      </c>
      <c r="P25" s="34" t="str">
        <f t="shared" si="50"/>
        <v>16.3709677419355</v>
      </c>
      <c r="Q25" s="4" t="str">
        <f t="shared" si="51"/>
        <v>1+0.0108588295771439i</v>
      </c>
      <c r="R25" s="4">
        <f t="shared" si="63"/>
        <v>1.0000589553520258</v>
      </c>
      <c r="S25" s="4">
        <f t="shared" si="64"/>
        <v>1.0858402804009383E-2</v>
      </c>
      <c r="T25" s="4" t="str">
        <f t="shared" si="52"/>
        <v>1+0.0000118113584874196i</v>
      </c>
      <c r="U25" s="4">
        <f t="shared" si="65"/>
        <v>1.000000000069754</v>
      </c>
      <c r="V25" s="4">
        <f t="shared" si="66"/>
        <v>1.181135848687034E-5</v>
      </c>
      <c r="W25" t="str">
        <f t="shared" si="53"/>
        <v>1-0.00015457211489914i</v>
      </c>
      <c r="X25" s="4">
        <f t="shared" si="67"/>
        <v>1.0000000119462693</v>
      </c>
      <c r="Y25" s="4">
        <f t="shared" si="68"/>
        <v>-1.5457211366809993E-4</v>
      </c>
      <c r="Z25" t="str">
        <f t="shared" si="54"/>
        <v>0.999999999880551+0.0000304412871888522i</v>
      </c>
      <c r="AA25" s="4">
        <f t="shared" si="69"/>
        <v>1.0000000003438869</v>
      </c>
      <c r="AB25" s="4">
        <f t="shared" si="70"/>
        <v>3.0441287183085352E-5</v>
      </c>
      <c r="AC25" s="48" t="str">
        <f t="shared" si="71"/>
        <v>16.3690067594087-0.180583739814839i</v>
      </c>
      <c r="AD25" s="20">
        <f t="shared" si="72"/>
        <v>24.280975091815499</v>
      </c>
      <c r="AE25" s="44">
        <f t="shared" si="73"/>
        <v>-0.63206439895327993</v>
      </c>
      <c r="AF25" t="str">
        <f t="shared" si="74"/>
        <v>45.9520231294187</v>
      </c>
      <c r="AG25" t="str">
        <f t="shared" si="55"/>
        <v>1+0.00521089345033219i</v>
      </c>
      <c r="AH25">
        <f t="shared" si="75"/>
        <v>1.0000135766131131</v>
      </c>
      <c r="AI25">
        <f t="shared" si="76"/>
        <v>5.2108462865908508E-3</v>
      </c>
      <c r="AJ25" t="str">
        <f t="shared" si="56"/>
        <v>1+0.0000118113584874196i</v>
      </c>
      <c r="AK25">
        <f t="shared" si="77"/>
        <v>1.000000000069754</v>
      </c>
      <c r="AL25">
        <f t="shared" si="78"/>
        <v>1.181135848687034E-5</v>
      </c>
      <c r="AM25" t="str">
        <f t="shared" si="57"/>
        <v>1-0.0000264258814669197i</v>
      </c>
      <c r="AN25">
        <f t="shared" si="79"/>
        <v>1.0000000003491636</v>
      </c>
      <c r="AO25">
        <f t="shared" si="80"/>
        <v>-2.6425881460768395E-5</v>
      </c>
      <c r="AP25" s="42" t="str">
        <f t="shared" si="81"/>
        <v>45.9507719241228-0.240116143355099i</v>
      </c>
      <c r="AQ25">
        <f t="shared" si="82"/>
        <v>33.24597481594283</v>
      </c>
      <c r="AR25" s="44">
        <f t="shared" si="83"/>
        <v>-0.29939685039907432</v>
      </c>
      <c r="AS25" t="str">
        <f t="shared" si="58"/>
        <v>-0.000166666666666667</v>
      </c>
      <c r="AT25" t="str">
        <f t="shared" si="59"/>
        <v>9.31620900695224E-07i</v>
      </c>
      <c r="AU25">
        <f t="shared" si="84"/>
        <v>9.3162090069522401E-7</v>
      </c>
      <c r="AV25">
        <f t="shared" si="85"/>
        <v>1.5707963267948966</v>
      </c>
      <c r="AW25" t="str">
        <f t="shared" si="60"/>
        <v>1+0.000169729783018507i</v>
      </c>
      <c r="AX25">
        <f t="shared" si="86"/>
        <v>1.0000000144040995</v>
      </c>
      <c r="AY25">
        <f t="shared" si="87"/>
        <v>1.6972978138863723E-4</v>
      </c>
      <c r="AZ25" t="str">
        <f t="shared" si="61"/>
        <v>1+0.00345482235757024i</v>
      </c>
      <c r="BA25">
        <f t="shared" si="88"/>
        <v>1.0000059678809534</v>
      </c>
      <c r="BB25">
        <f t="shared" si="89"/>
        <v>3.4548086123152976E-3</v>
      </c>
      <c r="BC25" s="42" t="str">
        <f t="shared" si="90"/>
        <v>-0.587701942829363+178.899764348314i</v>
      </c>
      <c r="BD25">
        <f t="shared" si="91"/>
        <v>45.052242238090791</v>
      </c>
      <c r="BE25" s="44">
        <f t="shared" si="92"/>
        <v>90.188221152379867</v>
      </c>
      <c r="BF25" s="42" t="str">
        <f t="shared" si="93"/>
        <v>22.6862914233205+2928.51758128891i</v>
      </c>
      <c r="BG25" s="20">
        <f t="shared" si="94"/>
        <v>69.33321732990629</v>
      </c>
      <c r="BH25" s="44">
        <f t="shared" si="95"/>
        <v>89.556156753426592</v>
      </c>
      <c r="BI25" s="42" t="str">
        <f t="shared" si="96"/>
        <v>15.9513635281373+8220.72338557265i</v>
      </c>
      <c r="BJ25" s="20">
        <f t="shared" si="97"/>
        <v>78.298217054033628</v>
      </c>
      <c r="BK25" s="44">
        <f t="shared" si="98"/>
        <v>89.88882430198079</v>
      </c>
      <c r="BL25">
        <f t="shared" si="99"/>
        <v>69.33321732990629</v>
      </c>
      <c r="BM25" s="44">
        <f t="shared" si="100"/>
        <v>89.556156753426592</v>
      </c>
    </row>
    <row r="26" spans="1:65" x14ac:dyDescent="0.35">
      <c r="A26" t="s">
        <v>131</v>
      </c>
      <c r="B26" s="30">
        <f>R_sl</f>
        <v>0</v>
      </c>
      <c r="C26" s="2" t="s">
        <v>36</v>
      </c>
      <c r="E26" t="s">
        <v>172</v>
      </c>
      <c r="N26" s="9">
        <v>8</v>
      </c>
      <c r="O26" s="35">
        <f t="shared" si="62"/>
        <v>12.022644346174133</v>
      </c>
      <c r="P26" s="34" t="str">
        <f t="shared" si="50"/>
        <v>16.3709677419355</v>
      </c>
      <c r="Q26" s="4" t="str">
        <f t="shared" si="51"/>
        <v>1+0.0111117642106623i</v>
      </c>
      <c r="R26" s="4">
        <f t="shared" si="63"/>
        <v>1.0000617337464091</v>
      </c>
      <c r="S26" s="4">
        <f t="shared" si="64"/>
        <v>1.1111306916534301E-2</v>
      </c>
      <c r="T26" s="4" t="str">
        <f t="shared" si="52"/>
        <v>1+0.0000120864803694923i</v>
      </c>
      <c r="U26" s="4">
        <f t="shared" si="65"/>
        <v>1.0000000000730416</v>
      </c>
      <c r="V26" s="4">
        <f t="shared" si="66"/>
        <v>1.2086480368903756E-5</v>
      </c>
      <c r="W26" t="str">
        <f t="shared" si="53"/>
        <v>1-0.000158172561978305i</v>
      </c>
      <c r="X26" s="4">
        <f t="shared" si="67"/>
        <v>1.0000000125092796</v>
      </c>
      <c r="Y26" s="4">
        <f t="shared" si="68"/>
        <v>-1.5817256065922181E-4</v>
      </c>
      <c r="Z26" t="str">
        <f t="shared" si="54"/>
        <v>0.999999999874921+0.0000311503558563584i</v>
      </c>
      <c r="AA26" s="4">
        <f t="shared" si="69"/>
        <v>1.0000000003600933</v>
      </c>
      <c r="AB26" s="4">
        <f t="shared" si="70"/>
        <v>3.1150355850179135E-5</v>
      </c>
      <c r="AC26" s="48" t="str">
        <f t="shared" si="71"/>
        <v>16.3689143525591-0.184789048669186i</v>
      </c>
      <c r="AD26" s="20">
        <f t="shared" si="72"/>
        <v>24.280950965222768</v>
      </c>
      <c r="AE26" s="44">
        <f t="shared" si="73"/>
        <v>-0.64678589095872407</v>
      </c>
      <c r="AF26" t="str">
        <f t="shared" si="74"/>
        <v>45.9520231294187</v>
      </c>
      <c r="AG26" t="str">
        <f t="shared" si="55"/>
        <v>1+0.0053322707512466i</v>
      </c>
      <c r="AH26">
        <f t="shared" si="75"/>
        <v>1.0000142164546286</v>
      </c>
      <c r="AI26">
        <f t="shared" si="76"/>
        <v>5.3322202144260493E-3</v>
      </c>
      <c r="AJ26" t="str">
        <f t="shared" si="56"/>
        <v>1+0.0000120864803694923i</v>
      </c>
      <c r="AK26">
        <f t="shared" si="77"/>
        <v>1.0000000000730416</v>
      </c>
      <c r="AL26">
        <f t="shared" si="78"/>
        <v>1.2086480368903756E-5</v>
      </c>
      <c r="AM26" t="str">
        <f t="shared" si="57"/>
        <v>1-0.0000270414193199407i</v>
      </c>
      <c r="AN26">
        <f t="shared" si="79"/>
        <v>1.0000000003656191</v>
      </c>
      <c r="AO26">
        <f t="shared" si="80"/>
        <v>-2.7041419313349458E-5</v>
      </c>
      <c r="AP26" s="42" t="str">
        <f t="shared" si="81"/>
        <v>45.9507129583105-0.245708852407077i</v>
      </c>
      <c r="AQ26">
        <f t="shared" si="82"/>
        <v>33.24596925859877</v>
      </c>
      <c r="AR26" s="44">
        <f t="shared" si="83"/>
        <v>-0.30637056860534773</v>
      </c>
      <c r="AS26" t="str">
        <f t="shared" si="58"/>
        <v>-0.000166666666666667</v>
      </c>
      <c r="AT26" t="str">
        <f t="shared" si="59"/>
        <v>9.53321139143707E-07i</v>
      </c>
      <c r="AU26">
        <f t="shared" si="84"/>
        <v>9.5332113914370705E-7</v>
      </c>
      <c r="AV26">
        <f t="shared" si="85"/>
        <v>1.5707963267948966</v>
      </c>
      <c r="AW26" t="str">
        <f t="shared" si="60"/>
        <v>1+0.000173683297544171i</v>
      </c>
      <c r="AX26">
        <f t="shared" si="86"/>
        <v>1.0000000150829438</v>
      </c>
      <c r="AY26">
        <f t="shared" si="87"/>
        <v>1.7368329579773407E-4</v>
      </c>
      <c r="AZ26" t="str">
        <f t="shared" si="61"/>
        <v>1+0.0035352955080765i</v>
      </c>
      <c r="BA26">
        <f t="shared" si="88"/>
        <v>1.0000062491376389</v>
      </c>
      <c r="BB26">
        <f t="shared" si="89"/>
        <v>3.5352807797754448E-3</v>
      </c>
      <c r="BC26" s="42" t="str">
        <f t="shared" si="90"/>
        <v>-0.587701942031446+174.827513135482i</v>
      </c>
      <c r="BD26">
        <f t="shared" si="91"/>
        <v>44.852244675143986</v>
      </c>
      <c r="BE26" s="44">
        <f t="shared" si="92"/>
        <v>90.192605348253707</v>
      </c>
      <c r="BF26" s="42" t="str">
        <f t="shared" si="93"/>
        <v>22.68616707956+2861.84518986838i</v>
      </c>
      <c r="BG26" s="20">
        <f t="shared" si="94"/>
        <v>69.133195640366765</v>
      </c>
      <c r="BH26" s="44">
        <f t="shared" si="95"/>
        <v>89.545819457294996</v>
      </c>
      <c r="BI26" s="42" t="str">
        <f t="shared" si="96"/>
        <v>15.9513443783739+8033.59327687353i</v>
      </c>
      <c r="BJ26" s="20">
        <f t="shared" si="97"/>
        <v>78.098213933742755</v>
      </c>
      <c r="BK26" s="44">
        <f t="shared" si="98"/>
        <v>89.886234779648376</v>
      </c>
      <c r="BL26">
        <f t="shared" si="99"/>
        <v>69.133195640366765</v>
      </c>
      <c r="BM26" s="44">
        <f t="shared" si="100"/>
        <v>89.545819457294996</v>
      </c>
    </row>
    <row r="27" spans="1:65" x14ac:dyDescent="0.35">
      <c r="A27" t="s">
        <v>118</v>
      </c>
      <c r="B27" s="12">
        <f>Rsl_int</f>
        <v>1333</v>
      </c>
      <c r="C27" s="2" t="s">
        <v>36</v>
      </c>
      <c r="E27" t="s">
        <v>173</v>
      </c>
      <c r="N27" s="9">
        <v>9</v>
      </c>
      <c r="O27" s="35">
        <f t="shared" si="62"/>
        <v>12.302687708123818</v>
      </c>
      <c r="P27" s="34" t="str">
        <f t="shared" si="50"/>
        <v>16.3709677419355</v>
      </c>
      <c r="Q27" s="4" t="str">
        <f t="shared" si="51"/>
        <v>1+0.0113705904486468i</v>
      </c>
      <c r="R27" s="4">
        <f t="shared" si="63"/>
        <v>1.0000646430742119</v>
      </c>
      <c r="S27" s="4">
        <f t="shared" si="64"/>
        <v>1.1370100450871088E-2</v>
      </c>
      <c r="T27" s="4" t="str">
        <f t="shared" si="52"/>
        <v>1+0.0000123680106634404i</v>
      </c>
      <c r="U27" s="4">
        <f t="shared" si="65"/>
        <v>1.0000000000764837</v>
      </c>
      <c r="V27" s="4">
        <f t="shared" si="66"/>
        <v>1.2368010662809766E-5</v>
      </c>
      <c r="W27" t="str">
        <f t="shared" si="53"/>
        <v>1-0.000161856874243493i</v>
      </c>
      <c r="X27" s="4">
        <f t="shared" si="67"/>
        <v>1.0000000130988238</v>
      </c>
      <c r="Y27" s="4">
        <f t="shared" si="68"/>
        <v>-1.618568728300699E-4</v>
      </c>
      <c r="Z27" t="str">
        <f t="shared" si="54"/>
        <v>0.999999999869027+0.0000318759408548633i</v>
      </c>
      <c r="AA27" s="4">
        <f t="shared" si="69"/>
        <v>1.0000000003770648</v>
      </c>
      <c r="AB27" s="4">
        <f t="shared" si="70"/>
        <v>3.187594084824207E-5</v>
      </c>
      <c r="AC27" s="48" t="str">
        <f t="shared" si="71"/>
        <v>16.3688175918094-0.189092238326481i</v>
      </c>
      <c r="AD27" s="20">
        <f t="shared" si="72"/>
        <v>24.280925701722417</v>
      </c>
      <c r="AE27" s="44">
        <f t="shared" si="73"/>
        <v>-0.66185020623971702</v>
      </c>
      <c r="AF27" t="str">
        <f t="shared" si="74"/>
        <v>45.9520231294187</v>
      </c>
      <c r="AG27" t="str">
        <f t="shared" si="55"/>
        <v>1+0.00545647529269428i</v>
      </c>
      <c r="AH27">
        <f t="shared" si="75"/>
        <v>1.0000148864505067</v>
      </c>
      <c r="AI27">
        <f t="shared" si="76"/>
        <v>5.4564211415589724E-3</v>
      </c>
      <c r="AJ27" t="str">
        <f t="shared" si="56"/>
        <v>1+0.0000123680106634404i</v>
      </c>
      <c r="AK27">
        <f t="shared" si="77"/>
        <v>1.0000000000764837</v>
      </c>
      <c r="AL27">
        <f t="shared" si="78"/>
        <v>1.2368010662809766E-5</v>
      </c>
      <c r="AM27" t="str">
        <f t="shared" si="57"/>
        <v>1-0.0000276712948914207i</v>
      </c>
      <c r="AN27">
        <f t="shared" si="79"/>
        <v>1.0000000003828502</v>
      </c>
      <c r="AO27">
        <f t="shared" si="80"/>
        <v>-2.7671294884358058E-5</v>
      </c>
      <c r="AP27" s="42" t="str">
        <f t="shared" si="81"/>
        <v>45.9506512136868-0.251431809901495i</v>
      </c>
      <c r="AQ27">
        <f t="shared" si="82"/>
        <v>33.245963439352757</v>
      </c>
      <c r="AR27" s="44">
        <f t="shared" si="83"/>
        <v>-0.31350671625586812</v>
      </c>
      <c r="AS27" t="str">
        <f t="shared" si="58"/>
        <v>-0.000166666666666667</v>
      </c>
      <c r="AT27" t="str">
        <f t="shared" si="59"/>
        <v>9.75526841078861E-07i</v>
      </c>
      <c r="AU27">
        <f t="shared" si="84"/>
        <v>9.7552684107886097E-7</v>
      </c>
      <c r="AV27">
        <f t="shared" si="85"/>
        <v>1.5707963267948966</v>
      </c>
      <c r="AW27" t="str">
        <f t="shared" si="60"/>
        <v>1+0.000177728901253163i</v>
      </c>
      <c r="AX27">
        <f t="shared" si="86"/>
        <v>1.0000000157937809</v>
      </c>
      <c r="AY27">
        <f t="shared" si="87"/>
        <v>1.777288993818221E-4</v>
      </c>
      <c r="AZ27" t="str">
        <f t="shared" si="61"/>
        <v>1+0.00361764311905631i</v>
      </c>
      <c r="BA27">
        <f t="shared" si="88"/>
        <v>1.0000065436494587</v>
      </c>
      <c r="BB27">
        <f t="shared" si="89"/>
        <v>3.6176273374029736E-3</v>
      </c>
      <c r="BC27" s="42" t="str">
        <f t="shared" si="90"/>
        <v>-0.587701941195925+170.847957784232i</v>
      </c>
      <c r="BD27">
        <f t="shared" si="91"/>
        <v>44.65224722705058</v>
      </c>
      <c r="BE27" s="44">
        <f t="shared" si="92"/>
        <v>90.197091662452252</v>
      </c>
      <c r="BF27" s="42" t="str">
        <f t="shared" si="93"/>
        <v>22.6860368771402+2796.69018677878i</v>
      </c>
      <c r="BG27" s="20">
        <f t="shared" si="94"/>
        <v>68.933172928773004</v>
      </c>
      <c r="BH27" s="44">
        <f t="shared" si="95"/>
        <v>89.535241456212546</v>
      </c>
      <c r="BI27" s="42" t="str">
        <f t="shared" si="96"/>
        <v>15.951324326163+7850.72268567669i</v>
      </c>
      <c r="BJ27" s="20">
        <f t="shared" si="97"/>
        <v>77.898210666403344</v>
      </c>
      <c r="BK27" s="44">
        <f t="shared" si="98"/>
        <v>89.883584946196379</v>
      </c>
      <c r="BL27">
        <f t="shared" si="99"/>
        <v>68.933172928773004</v>
      </c>
      <c r="BM27" s="44">
        <f t="shared" si="100"/>
        <v>89.535241456212546</v>
      </c>
    </row>
    <row r="28" spans="1:65" x14ac:dyDescent="0.35">
      <c r="A28" t="s">
        <v>116</v>
      </c>
      <c r="B28" s="12">
        <f>Isl</f>
        <v>2.9999999999999997E-5</v>
      </c>
      <c r="C28" s="2" t="s">
        <v>11</v>
      </c>
      <c r="E28" t="s">
        <v>174</v>
      </c>
      <c r="N28" s="9">
        <v>10</v>
      </c>
      <c r="O28" s="35">
        <f t="shared" si="62"/>
        <v>12.58925411794168</v>
      </c>
      <c r="P28" s="34" t="str">
        <f t="shared" si="50"/>
        <v>16.3709677419355</v>
      </c>
      <c r="Q28" s="4" t="str">
        <f t="shared" si="51"/>
        <v>1+0.0116354455241948i</v>
      </c>
      <c r="R28" s="4">
        <f t="shared" si="63"/>
        <v>1.0000676895053386</v>
      </c>
      <c r="S28" s="4">
        <f t="shared" si="64"/>
        <v>1.1634920484037919E-2</v>
      </c>
      <c r="T28" s="4" t="str">
        <f t="shared" si="52"/>
        <v>1+0.0000126560986403522i</v>
      </c>
      <c r="U28" s="4">
        <f t="shared" si="65"/>
        <v>1.0000000000800884</v>
      </c>
      <c r="V28" s="4">
        <f t="shared" si="66"/>
        <v>1.2656098639676463E-5</v>
      </c>
      <c r="W28" t="str">
        <f t="shared" si="53"/>
        <v>1-0.000165627005165834i</v>
      </c>
      <c r="X28" s="4">
        <f t="shared" si="67"/>
        <v>1.0000000137161524</v>
      </c>
      <c r="Y28" s="4">
        <f t="shared" si="68"/>
        <v>-1.6562700365132385E-4</v>
      </c>
      <c r="Z28" t="str">
        <f t="shared" si="54"/>
        <v>0.999999999862854+0.0000326184268991374i</v>
      </c>
      <c r="AA28" s="4">
        <f t="shared" si="69"/>
        <v>1.0000000003948348</v>
      </c>
      <c r="AB28" s="4">
        <f t="shared" si="70"/>
        <v>3.2618426892042628E-5</v>
      </c>
      <c r="AC28" s="48" t="str">
        <f t="shared" si="71"/>
        <v>16.3687162720729-0.193495583473824i</v>
      </c>
      <c r="AD28" s="20">
        <f t="shared" si="72"/>
        <v>24.280899247747577</v>
      </c>
      <c r="AE28" s="44">
        <f t="shared" si="73"/>
        <v>-0.67726532414641705</v>
      </c>
      <c r="AF28" t="str">
        <f t="shared" si="74"/>
        <v>45.9520231294187</v>
      </c>
      <c r="AG28" t="str">
        <f t="shared" si="55"/>
        <v>1+0.00558357292956714i</v>
      </c>
      <c r="AH28">
        <f t="shared" si="75"/>
        <v>1.0000155880218367</v>
      </c>
      <c r="AI28">
        <f t="shared" si="76"/>
        <v>5.5835149056291059E-3</v>
      </c>
      <c r="AJ28" t="str">
        <f t="shared" si="56"/>
        <v>1+0.0000126560986403522i</v>
      </c>
      <c r="AK28">
        <f t="shared" si="77"/>
        <v>1.0000000000800884</v>
      </c>
      <c r="AL28">
        <f t="shared" si="78"/>
        <v>1.2656098639676463E-5</v>
      </c>
      <c r="AM28" t="str">
        <f t="shared" si="57"/>
        <v>1-0.0000283158421497251i</v>
      </c>
      <c r="AN28">
        <f t="shared" si="79"/>
        <v>1.0000000004008933</v>
      </c>
      <c r="AO28">
        <f t="shared" si="80"/>
        <v>-2.8315842142157342E-5</v>
      </c>
      <c r="AP28" s="42" t="str">
        <f t="shared" si="81"/>
        <v>45.9505865593059-0.257288048106216i</v>
      </c>
      <c r="AQ28">
        <f t="shared" si="82"/>
        <v>33.245957345862479</v>
      </c>
      <c r="AR28" s="44">
        <f t="shared" si="83"/>
        <v>-0.32080907615188403</v>
      </c>
      <c r="AS28" t="str">
        <f t="shared" si="58"/>
        <v>-0.000166666666666667</v>
      </c>
      <c r="AT28" t="str">
        <f t="shared" si="59"/>
        <v>9.9824978025778E-07i</v>
      </c>
      <c r="AU28">
        <f t="shared" si="84"/>
        <v>9.9824978025778006E-7</v>
      </c>
      <c r="AV28">
        <f t="shared" si="85"/>
        <v>1.5707963267948966</v>
      </c>
      <c r="AW28" t="str">
        <f t="shared" si="60"/>
        <v>1+0.00018186873917812i</v>
      </c>
      <c r="AX28">
        <f t="shared" si="86"/>
        <v>1.0000000165381189</v>
      </c>
      <c r="AY28">
        <f t="shared" si="87"/>
        <v>1.8186873717294214E-4</v>
      </c>
      <c r="AZ28" t="str">
        <f t="shared" si="61"/>
        <v>1+0.00370190885230302i</v>
      </c>
      <c r="BA28">
        <f t="shared" si="88"/>
        <v>1.0000068520411001</v>
      </c>
      <c r="BB28">
        <f t="shared" si="89"/>
        <v>3.7018919419630593E-3</v>
      </c>
      <c r="BC28" s="42" t="str">
        <f t="shared" si="90"/>
        <v>-0.587701940321028+166.958988281639i</v>
      </c>
      <c r="BD28">
        <f t="shared" si="91"/>
        <v>44.452249899223197</v>
      </c>
      <c r="BE28" s="44">
        <f t="shared" si="92"/>
        <v>90.201682473422579</v>
      </c>
      <c r="BF28" s="42" t="str">
        <f t="shared" si="93"/>
        <v>22.6859005400935+2733.01802598434i</v>
      </c>
      <c r="BG28" s="20">
        <f t="shared" si="94"/>
        <v>68.73314914697076</v>
      </c>
      <c r="BH28" s="44">
        <f t="shared" si="95"/>
        <v>89.524417149276161</v>
      </c>
      <c r="BI28" s="42" t="str">
        <f t="shared" si="96"/>
        <v>15.9513033289781+7672.01465157468i</v>
      </c>
      <c r="BJ28" s="20">
        <f t="shared" si="97"/>
        <v>77.698207245085669</v>
      </c>
      <c r="BK28" s="44">
        <f t="shared" si="98"/>
        <v>89.880873397270705</v>
      </c>
      <c r="BL28">
        <f t="shared" si="99"/>
        <v>68.73314914697076</v>
      </c>
      <c r="BM28" s="44">
        <f t="shared" si="100"/>
        <v>89.524417149276161</v>
      </c>
    </row>
    <row r="29" spans="1:65" x14ac:dyDescent="0.35">
      <c r="C29" s="2"/>
      <c r="N29" s="9">
        <v>11</v>
      </c>
      <c r="O29" s="35">
        <f t="shared" si="62"/>
        <v>12.882495516931346</v>
      </c>
      <c r="P29" s="34" t="str">
        <f t="shared" si="50"/>
        <v>16.3709677419355</v>
      </c>
      <c r="Q29" s="4" t="str">
        <f t="shared" si="51"/>
        <v>1+0.011906469866973i</v>
      </c>
      <c r="R29" s="4">
        <f t="shared" si="63"/>
        <v>1.0000708795003947</v>
      </c>
      <c r="S29" s="4">
        <f t="shared" si="64"/>
        <v>1.1905907278462368E-2</v>
      </c>
      <c r="T29" s="4" t="str">
        <f t="shared" si="52"/>
        <v>1+0.0000129508970482864i</v>
      </c>
      <c r="U29" s="4">
        <f t="shared" si="65"/>
        <v>1.0000000000838629</v>
      </c>
      <c r="V29" s="4">
        <f t="shared" si="66"/>
        <v>1.2950897047562335E-5</v>
      </c>
      <c r="W29" t="str">
        <f t="shared" si="53"/>
        <v>1-0.000169484953718646i</v>
      </c>
      <c r="X29" s="4">
        <f t="shared" si="67"/>
        <v>1.0000000143625747</v>
      </c>
      <c r="Y29" s="4">
        <f t="shared" si="68"/>
        <v>-1.6948495209581914E-4</v>
      </c>
      <c r="Z29" t="str">
        <f t="shared" si="54"/>
        <v>0.999999999856391+0.0000333782076651093i</v>
      </c>
      <c r="AA29" s="4">
        <f t="shared" si="69"/>
        <v>1.0000000004134433</v>
      </c>
      <c r="AB29" s="4">
        <f t="shared" si="70"/>
        <v>3.3378207657507107E-5</v>
      </c>
      <c r="AC29" s="48" t="str">
        <f t="shared" si="71"/>
        <v>16.3686101786075-0.198001411407312i</v>
      </c>
      <c r="AD29" s="20">
        <f t="shared" si="72"/>
        <v>24.280871547208065</v>
      </c>
      <c r="AE29" s="44">
        <f t="shared" si="73"/>
        <v>-0.69303940946080123</v>
      </c>
      <c r="AF29" t="str">
        <f t="shared" si="74"/>
        <v>45.9520231294187</v>
      </c>
      <c r="AG29" t="str">
        <f t="shared" si="55"/>
        <v>1+0.00571363105071457i</v>
      </c>
      <c r="AH29">
        <f t="shared" si="75"/>
        <v>1.0000163226566772</v>
      </c>
      <c r="AI29">
        <f t="shared" si="76"/>
        <v>5.7135688769996097E-3</v>
      </c>
      <c r="AJ29" t="str">
        <f t="shared" si="56"/>
        <v>1+0.0000129508970482864i</v>
      </c>
      <c r="AK29">
        <f t="shared" si="77"/>
        <v>1.0000000000838629</v>
      </c>
      <c r="AL29">
        <f t="shared" si="78"/>
        <v>1.2950897047562335E-5</v>
      </c>
      <c r="AM29" t="str">
        <f t="shared" si="57"/>
        <v>1-0.0000289754028423417i</v>
      </c>
      <c r="AN29">
        <f t="shared" si="79"/>
        <v>1.0000000004197869</v>
      </c>
      <c r="AO29">
        <f t="shared" si="80"/>
        <v>-2.89754028342327E-5</v>
      </c>
      <c r="AP29" s="42" t="str">
        <f t="shared" si="81"/>
        <v>45.9505188580524-0.2632806698047i</v>
      </c>
      <c r="AQ29">
        <f t="shared" si="82"/>
        <v>33.245950965204017</v>
      </c>
      <c r="AR29" s="44">
        <f t="shared" si="83"/>
        <v>-0.32828151915973885</v>
      </c>
      <c r="AS29" t="str">
        <f t="shared" si="58"/>
        <v>-0.000166666666666667</v>
      </c>
      <c r="AT29" t="str">
        <f t="shared" si="59"/>
        <v>1.02150200468359E-06i</v>
      </c>
      <c r="AU29">
        <f t="shared" si="84"/>
        <v>1.0215020046835901E-6</v>
      </c>
      <c r="AV29">
        <f t="shared" si="85"/>
        <v>1.5707963267948966</v>
      </c>
      <c r="AW29" t="str">
        <f t="shared" si="60"/>
        <v>1+0.000186105006315906i</v>
      </c>
      <c r="AX29">
        <f t="shared" si="86"/>
        <v>1.0000000173175365</v>
      </c>
      <c r="AY29">
        <f t="shared" si="87"/>
        <v>1.8610500416731918E-4</v>
      </c>
      <c r="AZ29" t="str">
        <f t="shared" si="61"/>
        <v>1+0.00378813738662376i</v>
      </c>
      <c r="BA29">
        <f t="shared" si="88"/>
        <v>1.0000071749666899</v>
      </c>
      <c r="BB29">
        <f t="shared" si="89"/>
        <v>3.7881192668750554E-3</v>
      </c>
      <c r="BC29" s="42" t="str">
        <f t="shared" si="90"/>
        <v>-0.587701939404896+163.158542644595i</v>
      </c>
      <c r="BD29">
        <f t="shared" si="91"/>
        <v>44.252252697329588</v>
      </c>
      <c r="BE29" s="44">
        <f t="shared" si="92"/>
        <v>90.206380214999072</v>
      </c>
      <c r="BF29" s="42" t="str">
        <f t="shared" si="93"/>
        <v>22.6857577794596+2670.79494767257i</v>
      </c>
      <c r="BG29" s="20">
        <f t="shared" si="94"/>
        <v>68.533124244537646</v>
      </c>
      <c r="BH29" s="44">
        <f t="shared" si="95"/>
        <v>89.513340805538277</v>
      </c>
      <c r="BI29" s="42" t="str">
        <f t="shared" si="96"/>
        <v>15.951281342289+7497.37442120306i</v>
      </c>
      <c r="BJ29" s="20">
        <f t="shared" si="97"/>
        <v>77.498203662533612</v>
      </c>
      <c r="BK29" s="44">
        <f t="shared" si="98"/>
        <v>89.878098695839341</v>
      </c>
      <c r="BL29">
        <f t="shared" si="99"/>
        <v>68.533124244537646</v>
      </c>
      <c r="BM29" s="44">
        <f t="shared" si="100"/>
        <v>89.513340805538277</v>
      </c>
    </row>
    <row r="30" spans="1:65" x14ac:dyDescent="0.35">
      <c r="A30" t="s">
        <v>198</v>
      </c>
      <c r="B30" s="12">
        <f>Gcomp</f>
        <v>0.14499999999999999</v>
      </c>
      <c r="C30" s="2"/>
      <c r="E30" t="s">
        <v>199</v>
      </c>
      <c r="N30" s="9">
        <v>12</v>
      </c>
      <c r="O30" s="35">
        <f t="shared" si="62"/>
        <v>13.182567385564075</v>
      </c>
      <c r="P30" s="34" t="str">
        <f t="shared" si="50"/>
        <v>16.3709677419355</v>
      </c>
      <c r="Q30" s="4" t="str">
        <f t="shared" si="51"/>
        <v>1+0.0121838071776754i</v>
      </c>
      <c r="R30" s="4">
        <f t="shared" si="63"/>
        <v>1.0000742198243802</v>
      </c>
      <c r="S30" s="4">
        <f t="shared" si="64"/>
        <v>1.2183204355641589E-2</v>
      </c>
      <c r="T30" s="4" t="str">
        <f t="shared" si="52"/>
        <v>1+0.000013252562193261i</v>
      </c>
      <c r="U30" s="4">
        <f t="shared" si="65"/>
        <v>1.0000000000878151</v>
      </c>
      <c r="V30" s="4">
        <f t="shared" si="66"/>
        <v>1.3252562192485147E-5</v>
      </c>
      <c r="W30" t="str">
        <f t="shared" si="53"/>
        <v>1-0.000173432765437318i</v>
      </c>
      <c r="X30" s="4">
        <f t="shared" si="67"/>
        <v>1.0000000150394619</v>
      </c>
      <c r="Y30" s="4">
        <f t="shared" si="68"/>
        <v>-1.7343276369842769E-4</v>
      </c>
      <c r="Z30" t="str">
        <f t="shared" si="54"/>
        <v>0.999999999849622+0.0000341556859985981i</v>
      </c>
      <c r="AA30" s="4">
        <f t="shared" si="69"/>
        <v>1.0000000004329272</v>
      </c>
      <c r="AB30" s="4">
        <f t="shared" si="70"/>
        <v>3.4155685990452228E-5</v>
      </c>
      <c r="AC30" s="48" t="str">
        <f t="shared" si="71"/>
        <v>16.368499086562-0.202612103230655i</v>
      </c>
      <c r="AD30" s="20">
        <f t="shared" si="72"/>
        <v>24.280842541371808</v>
      </c>
      <c r="AE30" s="44">
        <f t="shared" si="73"/>
        <v>-0.70918081668513611</v>
      </c>
      <c r="AF30" t="str">
        <f t="shared" si="74"/>
        <v>45.9520231294187</v>
      </c>
      <c r="AG30" t="str">
        <f t="shared" si="55"/>
        <v>1+0.00584671861467394i</v>
      </c>
      <c r="AH30">
        <f t="shared" si="75"/>
        <v>1.0000170919132128</v>
      </c>
      <c r="AI30">
        <f t="shared" si="76"/>
        <v>5.8466519943995796E-3</v>
      </c>
      <c r="AJ30" t="str">
        <f t="shared" si="56"/>
        <v>1+0.000013252562193261i</v>
      </c>
      <c r="AK30">
        <f t="shared" si="77"/>
        <v>1.0000000000878151</v>
      </c>
      <c r="AL30">
        <f t="shared" si="78"/>
        <v>1.3252562192485147E-5</v>
      </c>
      <c r="AM30" t="str">
        <f t="shared" si="57"/>
        <v>1-0.0000296503266770801i</v>
      </c>
      <c r="AN30">
        <f t="shared" si="79"/>
        <v>1.0000000004395708</v>
      </c>
      <c r="AO30">
        <f t="shared" si="80"/>
        <v>-2.9650326668391152E-5</v>
      </c>
      <c r="AP30" s="42" t="str">
        <f t="shared" si="81"/>
        <v>45.9504479663505-0.269412849930299i</v>
      </c>
      <c r="AQ30">
        <f t="shared" si="82"/>
        <v>33.245944283844466</v>
      </c>
      <c r="AR30" s="44">
        <f t="shared" si="83"/>
        <v>-0.33592800625876035</v>
      </c>
      <c r="AS30" t="str">
        <f t="shared" si="58"/>
        <v>-0.000166666666666667</v>
      </c>
      <c r="AT30" t="str">
        <f t="shared" si="59"/>
        <v>1.04529584299346E-06i</v>
      </c>
      <c r="AU30">
        <f t="shared" si="84"/>
        <v>1.0452958429934601E-6</v>
      </c>
      <c r="AV30">
        <f t="shared" si="85"/>
        <v>1.5707963267948966</v>
      </c>
      <c r="AW30" t="str">
        <f t="shared" si="60"/>
        <v>1+0.000190439948791432i</v>
      </c>
      <c r="AX30">
        <f t="shared" si="86"/>
        <v>1.0000000181336868</v>
      </c>
      <c r="AY30">
        <f t="shared" si="87"/>
        <v>1.9043994648917974E-4</v>
      </c>
      <c r="AZ30" t="str">
        <f t="shared" si="61"/>
        <v>1+0.00387637444152882i</v>
      </c>
      <c r="BA30">
        <f t="shared" si="88"/>
        <v>1.0000075131111821</v>
      </c>
      <c r="BB30">
        <f t="shared" si="89"/>
        <v>3.8763550258761556E-3</v>
      </c>
      <c r="BC30" s="42" t="str">
        <f t="shared" si="90"/>
        <v>-0.58770193844559+159.44460582652i</v>
      </c>
      <c r="BD30">
        <f t="shared" si="91"/>
        <v>44.052255627304731</v>
      </c>
      <c r="BE30" s="44">
        <f t="shared" si="92"/>
        <v>90.211187377692497</v>
      </c>
      <c r="BF30" s="42" t="str">
        <f t="shared" si="93"/>
        <v>22.6856082926766+2609.98796035445i</v>
      </c>
      <c r="BG30" s="20">
        <f t="shared" si="94"/>
        <v>68.333098168676543</v>
      </c>
      <c r="BH30" s="44">
        <f t="shared" si="95"/>
        <v>89.502006561007363</v>
      </c>
      <c r="BI30" s="42" t="str">
        <f t="shared" si="96"/>
        <v>15.9512583194685+7326.70939800092i</v>
      </c>
      <c r="BJ30" s="20">
        <f t="shared" si="97"/>
        <v>77.298199911149212</v>
      </c>
      <c r="BK30" s="44">
        <f t="shared" si="98"/>
        <v>89.875259371433742</v>
      </c>
      <c r="BL30">
        <f t="shared" si="99"/>
        <v>68.333098168676543</v>
      </c>
      <c r="BM30" s="44">
        <f t="shared" si="100"/>
        <v>89.502006561007363</v>
      </c>
    </row>
    <row r="31" spans="1:65" ht="14.65" x14ac:dyDescent="0.4">
      <c r="A31" t="s">
        <v>504</v>
      </c>
      <c r="B31">
        <v>1</v>
      </c>
      <c r="E31" t="s">
        <v>583</v>
      </c>
      <c r="N31" s="9">
        <v>13</v>
      </c>
      <c r="O31" s="35">
        <f t="shared" si="62"/>
        <v>13.489628825916535</v>
      </c>
      <c r="P31" s="34" t="str">
        <f t="shared" si="50"/>
        <v>16.3709677419355</v>
      </c>
      <c r="Q31" s="4" t="str">
        <f t="shared" si="51"/>
        <v>1+0.0124676045042152i</v>
      </c>
      <c r="R31" s="4">
        <f t="shared" si="63"/>
        <v>1.0000777175610271</v>
      </c>
      <c r="S31" s="4">
        <f t="shared" si="64"/>
        <v>1.2466958571479381E-2</v>
      </c>
      <c r="T31" s="4" t="str">
        <f t="shared" si="52"/>
        <v>1+0.0000135612540221288i</v>
      </c>
      <c r="U31" s="4">
        <f t="shared" si="65"/>
        <v>1.0000000000919538</v>
      </c>
      <c r="V31" s="4">
        <f t="shared" si="66"/>
        <v>1.356125402129746E-5</v>
      </c>
      <c r="W31" t="str">
        <f t="shared" si="53"/>
        <v>1-0.000177472533503879i</v>
      </c>
      <c r="X31" s="4">
        <f t="shared" si="67"/>
        <v>1.0000000157482498</v>
      </c>
      <c r="Y31" s="4">
        <f t="shared" si="68"/>
        <v>-1.7747253164062448E-4</v>
      </c>
      <c r="Z31" t="str">
        <f t="shared" si="54"/>
        <v>0.999999999842535+0.0000349512741289073i</v>
      </c>
      <c r="AA31" s="4">
        <f t="shared" si="69"/>
        <v>1.0000000004533305</v>
      </c>
      <c r="AB31" s="4">
        <f t="shared" si="70"/>
        <v>3.4951274120178851E-5</v>
      </c>
      <c r="AC31" s="48" t="str">
        <f t="shared" si="71"/>
        <v>16.3683827605005-0.207330095079776i</v>
      </c>
      <c r="AD31" s="20">
        <f t="shared" si="72"/>
        <v>24.280812168740336</v>
      </c>
      <c r="AE31" s="44">
        <f t="shared" si="73"/>
        <v>-0.72569809442808897</v>
      </c>
      <c r="AF31" t="str">
        <f t="shared" si="74"/>
        <v>45.9520231294187</v>
      </c>
      <c r="AG31" t="str">
        <f t="shared" si="55"/>
        <v>1+0.00598290618623328i</v>
      </c>
      <c r="AH31">
        <f t="shared" si="75"/>
        <v>1.0000178974230578</v>
      </c>
      <c r="AI31">
        <f t="shared" si="76"/>
        <v>5.9828348013921829E-3</v>
      </c>
      <c r="AJ31" t="str">
        <f t="shared" si="56"/>
        <v>1+0.0000135612540221288i</v>
      </c>
      <c r="AK31">
        <f t="shared" si="77"/>
        <v>1.0000000000919538</v>
      </c>
      <c r="AL31">
        <f t="shared" si="78"/>
        <v>1.356125402129746E-5</v>
      </c>
      <c r="AM31" t="str">
        <f t="shared" si="57"/>
        <v>1-0.0000303409715074911i</v>
      </c>
      <c r="AN31">
        <f t="shared" si="79"/>
        <v>1.0000000004602871</v>
      </c>
      <c r="AO31">
        <f t="shared" si="80"/>
        <v>-3.0340971498180724E-5</v>
      </c>
      <c r="AP31" s="42" t="str">
        <f t="shared" si="81"/>
        <v>45.9503737338593-0.275687837238031i</v>
      </c>
      <c r="AQ31">
        <f t="shared" si="82"/>
        <v>33.245937287613138</v>
      </c>
      <c r="AR31" s="44">
        <f t="shared" si="83"/>
        <v>-0.34375259063661007</v>
      </c>
      <c r="AS31" t="str">
        <f t="shared" si="58"/>
        <v>-0.000166666666666667</v>
      </c>
      <c r="AT31" t="str">
        <f t="shared" si="59"/>
        <v>1.06964391099541E-06i</v>
      </c>
      <c r="AU31">
        <f t="shared" si="84"/>
        <v>1.06964391099541E-6</v>
      </c>
      <c r="AV31">
        <f t="shared" si="85"/>
        <v>1.5707963267948966</v>
      </c>
      <c r="AW31" t="str">
        <f t="shared" si="60"/>
        <v>1+0.000194875865048578i</v>
      </c>
      <c r="AX31">
        <f t="shared" si="86"/>
        <v>1.0000000189883012</v>
      </c>
      <c r="AY31">
        <f t="shared" si="87"/>
        <v>1.9487586258167027E-4</v>
      </c>
      <c r="AZ31" t="str">
        <f t="shared" si="61"/>
        <v>1+0.00396666680147267i</v>
      </c>
      <c r="BA31">
        <f t="shared" si="88"/>
        <v>1.0000078671918107</v>
      </c>
      <c r="BB31">
        <f t="shared" si="89"/>
        <v>3.9666459972348559E-3</v>
      </c>
      <c r="BC31" s="42" t="str">
        <f t="shared" si="90"/>
        <v>-0.587701937441073+155.815208648954i</v>
      </c>
      <c r="BD31">
        <f t="shared" si="91"/>
        <v>43.85225869536329</v>
      </c>
      <c r="BE31" s="44">
        <f t="shared" si="92"/>
        <v>90.216106510009112</v>
      </c>
      <c r="BF31" s="42" t="str">
        <f t="shared" si="93"/>
        <v>22.6854517629396+2550.5648233719i</v>
      </c>
      <c r="BG31" s="20">
        <f t="shared" si="94"/>
        <v>68.133070864103644</v>
      </c>
      <c r="BH31" s="44">
        <f t="shared" si="95"/>
        <v>89.49040841558103</v>
      </c>
      <c r="BI31" s="42" t="str">
        <f t="shared" si="96"/>
        <v>15.9512342116922+7159.92909311478i</v>
      </c>
      <c r="BJ31" s="20">
        <f t="shared" si="97"/>
        <v>77.098195982976435</v>
      </c>
      <c r="BK31" s="44">
        <f t="shared" si="98"/>
        <v>89.872353919372514</v>
      </c>
      <c r="BL31">
        <f t="shared" si="99"/>
        <v>68.133070864103644</v>
      </c>
      <c r="BM31" s="44">
        <f t="shared" si="100"/>
        <v>89.49040841558103</v>
      </c>
    </row>
    <row r="32" spans="1:65" ht="15.5" x14ac:dyDescent="0.35">
      <c r="A32" s="36" t="s">
        <v>497</v>
      </c>
      <c r="N32" s="9">
        <v>14</v>
      </c>
      <c r="O32" s="35">
        <f t="shared" si="62"/>
        <v>13.803842646028857</v>
      </c>
      <c r="P32" s="34" t="str">
        <f t="shared" si="50"/>
        <v>16.3709677419355</v>
      </c>
      <c r="Q32" s="4" t="str">
        <f t="shared" si="51"/>
        <v>1+0.0127580123196914i</v>
      </c>
      <c r="R32" s="4">
        <f t="shared" si="63"/>
        <v>1.0000813801278121</v>
      </c>
      <c r="S32" s="4">
        <f t="shared" si="64"/>
        <v>1.2757320193336884E-2</v>
      </c>
      <c r="T32" s="4" t="str">
        <f t="shared" si="52"/>
        <v>1+0.0000138771362073836i</v>
      </c>
      <c r="U32" s="4">
        <f t="shared" si="65"/>
        <v>1.0000000000962874</v>
      </c>
      <c r="V32" s="4">
        <f t="shared" si="66"/>
        <v>1.3877136206492804E-5</v>
      </c>
      <c r="W32" t="str">
        <f t="shared" si="53"/>
        <v>1-0.000181606399856831i</v>
      </c>
      <c r="X32" s="4">
        <f t="shared" si="67"/>
        <v>1.0000000164904421</v>
      </c>
      <c r="Y32" s="4">
        <f t="shared" si="68"/>
        <v>-1.8160639786031781E-4</v>
      </c>
      <c r="Z32" t="str">
        <f t="shared" si="54"/>
        <v>0.999999999835114+0.0000357653938873945i</v>
      </c>
      <c r="AA32" s="4">
        <f t="shared" si="69"/>
        <v>1.0000000004746956</v>
      </c>
      <c r="AB32" s="4">
        <f t="shared" si="70"/>
        <v>3.5765393878041789E-5</v>
      </c>
      <c r="AC32" s="48" t="str">
        <f t="shared" si="71"/>
        <v>16.3682609539048-0.212157879373893i</v>
      </c>
      <c r="AD32" s="20">
        <f t="shared" si="72"/>
        <v>24.28078036491857</v>
      </c>
      <c r="AE32" s="44">
        <f t="shared" si="73"/>
        <v>-0.74259998989066711</v>
      </c>
      <c r="AF32" t="str">
        <f t="shared" si="74"/>
        <v>45.9520231294187</v>
      </c>
      <c r="AG32" t="str">
        <f t="shared" si="55"/>
        <v>1+0.00612226597384569i</v>
      </c>
      <c r="AH32">
        <f t="shared" si="75"/>
        <v>1.0000187408947168</v>
      </c>
      <c r="AI32">
        <f t="shared" si="76"/>
        <v>6.1221894836877731E-3</v>
      </c>
      <c r="AJ32" t="str">
        <f t="shared" si="56"/>
        <v>1+0.0000138771362073836i</v>
      </c>
      <c r="AK32">
        <f t="shared" si="77"/>
        <v>1.0000000000962874</v>
      </c>
      <c r="AL32">
        <f t="shared" si="78"/>
        <v>1.3877136206492804E-5</v>
      </c>
      <c r="AM32" t="str">
        <f t="shared" si="57"/>
        <v>1-0.0000310477035226057i</v>
      </c>
      <c r="AN32">
        <f t="shared" si="79"/>
        <v>1.0000000004819798</v>
      </c>
      <c r="AO32">
        <f t="shared" si="80"/>
        <v>-3.1047703512629455E-5</v>
      </c>
      <c r="AP32" s="42" t="str">
        <f t="shared" si="81"/>
        <v>45.950296003155-0.282108956014668i</v>
      </c>
      <c r="AQ32">
        <f t="shared" si="82"/>
        <v>33.245929961671678</v>
      </c>
      <c r="AR32" s="44">
        <f t="shared" si="83"/>
        <v>-0.35175941983317316</v>
      </c>
      <c r="AS32" t="str">
        <f t="shared" si="58"/>
        <v>-0.000166666666666667</v>
      </c>
      <c r="AT32" t="str">
        <f t="shared" si="59"/>
        <v>1.09455911835738E-06i</v>
      </c>
      <c r="AU32">
        <f t="shared" si="84"/>
        <v>1.0945591183573799E-6</v>
      </c>
      <c r="AV32">
        <f t="shared" si="85"/>
        <v>1.5707963267948966</v>
      </c>
      <c r="AW32" t="str">
        <f t="shared" si="60"/>
        <v>1+0.00019941510706886i</v>
      </c>
      <c r="AX32">
        <f t="shared" si="86"/>
        <v>1.0000000198831922</v>
      </c>
      <c r="AY32">
        <f t="shared" si="87"/>
        <v>1.9941510442552076E-4</v>
      </c>
      <c r="AZ32" t="str">
        <f t="shared" si="61"/>
        <v>1+0.0040590623406597i</v>
      </c>
      <c r="BA32">
        <f t="shared" si="88"/>
        <v>1.0000082379596107</v>
      </c>
      <c r="BB32">
        <f t="shared" si="89"/>
        <v>4.0590400485271691E-3</v>
      </c>
      <c r="BC32" s="42" t="str">
        <f t="shared" si="90"/>
        <v>-0.587701936389216+152.268426757471i</v>
      </c>
      <c r="BD32">
        <f t="shared" si="91"/>
        <v>43.652261908012605</v>
      </c>
      <c r="BE32" s="44">
        <f t="shared" si="92"/>
        <v>90.221140219800446</v>
      </c>
      <c r="BF32" s="42" t="str">
        <f t="shared" si="93"/>
        <v>22.6852878585301+2492.49402980335i</v>
      </c>
      <c r="BG32" s="20">
        <f t="shared" si="94"/>
        <v>67.933042272931175</v>
      </c>
      <c r="BH32" s="44">
        <f t="shared" si="95"/>
        <v>89.478540229909783</v>
      </c>
      <c r="BI32" s="42" t="str">
        <f t="shared" si="96"/>
        <v>15.9512089678342+6996.94507742024i</v>
      </c>
      <c r="BJ32" s="20">
        <f t="shared" si="97"/>
        <v>76.898191869684283</v>
      </c>
      <c r="BK32" s="44">
        <f t="shared" si="98"/>
        <v>89.869380799967274</v>
      </c>
      <c r="BL32">
        <f t="shared" si="99"/>
        <v>67.933042272931175</v>
      </c>
      <c r="BM32" s="44">
        <f t="shared" si="100"/>
        <v>89.478540229909783</v>
      </c>
    </row>
    <row r="33" spans="1:65" x14ac:dyDescent="0.35">
      <c r="N33" s="9">
        <v>15</v>
      </c>
      <c r="O33" s="35">
        <f t="shared" si="62"/>
        <v>14.125375446227544</v>
      </c>
      <c r="P33" s="34" t="str">
        <f t="shared" si="50"/>
        <v>16.3709677419355</v>
      </c>
      <c r="Q33" s="4" t="str">
        <f t="shared" si="51"/>
        <v>1+0.0130551846021717i</v>
      </c>
      <c r="R33" s="4">
        <f t="shared" si="63"/>
        <v>1.0000852152916755</v>
      </c>
      <c r="S33" s="4">
        <f t="shared" si="64"/>
        <v>1.305444297883409E-2</v>
      </c>
      <c r="T33" s="4" t="str">
        <f t="shared" si="52"/>
        <v>1+0.0000142003762339412i</v>
      </c>
      <c r="U33" s="4">
        <f t="shared" si="65"/>
        <v>1.0000000001008253</v>
      </c>
      <c r="V33" s="4">
        <f t="shared" si="66"/>
        <v>1.4200376232986695E-5</v>
      </c>
      <c r="W33" t="str">
        <f t="shared" si="53"/>
        <v>1-0.000185836556326832i</v>
      </c>
      <c r="X33" s="4">
        <f t="shared" si="67"/>
        <v>1.0000000172676127</v>
      </c>
      <c r="Y33" s="4">
        <f t="shared" si="68"/>
        <v>-1.8583655418752957E-4</v>
      </c>
      <c r="Z33" t="str">
        <f t="shared" si="54"/>
        <v>0.999999999827343+0.0000365984769311317i</v>
      </c>
      <c r="AA33" s="4">
        <f t="shared" si="69"/>
        <v>1.0000000004970673</v>
      </c>
      <c r="AB33" s="4">
        <f t="shared" si="70"/>
        <v>3.6598476921110085E-5</v>
      </c>
      <c r="AC33" s="48" t="str">
        <f t="shared" si="71"/>
        <v>16.3681334086536-0.217098006093548i</v>
      </c>
      <c r="AD33" s="20">
        <f t="shared" si="72"/>
        <v>24.280747062478603</v>
      </c>
      <c r="AE33" s="44">
        <f t="shared" si="73"/>
        <v>-0.75989545345412568</v>
      </c>
      <c r="AF33" t="str">
        <f t="shared" si="74"/>
        <v>45.9520231294187</v>
      </c>
      <c r="AG33" t="str">
        <f t="shared" si="55"/>
        <v>1+0.0062648718679152i</v>
      </c>
      <c r="AH33">
        <f t="shared" si="75"/>
        <v>1.0000196241172077</v>
      </c>
      <c r="AI33">
        <f t="shared" si="76"/>
        <v>6.2647899073211971E-3</v>
      </c>
      <c r="AJ33" t="str">
        <f t="shared" si="56"/>
        <v>1+0.0000142003762339412i</v>
      </c>
      <c r="AK33">
        <f t="shared" si="77"/>
        <v>1.0000000001008253</v>
      </c>
      <c r="AL33">
        <f t="shared" si="78"/>
        <v>1.4200376232986695E-5</v>
      </c>
      <c r="AM33" t="str">
        <f t="shared" si="57"/>
        <v>1-0.0000317708974410929i</v>
      </c>
      <c r="AN33">
        <f t="shared" si="79"/>
        <v>1.000000000504695</v>
      </c>
      <c r="AO33">
        <f t="shared" si="80"/>
        <v>-3.1770897430403159E-5</v>
      </c>
      <c r="AP33" s="42" t="str">
        <f t="shared" si="81"/>
        <v>45.9502146093965-0.288679607827981i</v>
      </c>
      <c r="AQ33">
        <f t="shared" si="82"/>
        <v>33.245922290482468</v>
      </c>
      <c r="AR33" s="44">
        <f t="shared" si="83"/>
        <v>-0.3599527379341157</v>
      </c>
      <c r="AS33" t="str">
        <f t="shared" si="58"/>
        <v>-0.000166666666666667</v>
      </c>
      <c r="AT33" t="str">
        <f t="shared" si="59"/>
        <v>1.12005467545211E-06i</v>
      </c>
      <c r="AU33">
        <f t="shared" si="84"/>
        <v>1.1200546754521101E-6</v>
      </c>
      <c r="AV33">
        <f t="shared" si="85"/>
        <v>1.5707963267948966</v>
      </c>
      <c r="AW33" t="str">
        <f t="shared" si="60"/>
        <v>1+0.000204060081618481i</v>
      </c>
      <c r="AX33">
        <f t="shared" si="86"/>
        <v>1.0000000208202582</v>
      </c>
      <c r="AY33">
        <f t="shared" si="87"/>
        <v>2.0406007878609198E-4</v>
      </c>
      <c r="AZ33" t="str">
        <f t="shared" si="61"/>
        <v>1+0.00415361004842778i</v>
      </c>
      <c r="BA33">
        <f t="shared" si="88"/>
        <v>1.0000086262010115</v>
      </c>
      <c r="BB33">
        <f t="shared" si="89"/>
        <v>4.1535861619885475E-3</v>
      </c>
      <c r="BC33" s="42" t="str">
        <f t="shared" si="90"/>
        <v>-0.587701935287783+148.802379601366i</v>
      </c>
      <c r="BD33">
        <f t="shared" si="91"/>
        <v>43.452265272066882</v>
      </c>
      <c r="BE33" s="44">
        <f t="shared" si="92"/>
        <v>90.22629117564432</v>
      </c>
      <c r="BF33" s="42" t="str">
        <f t="shared" si="93"/>
        <v>22.6851162321175+2435.7447897586i</v>
      </c>
      <c r="BG33" s="20">
        <f t="shared" si="94"/>
        <v>67.733012334545478</v>
      </c>
      <c r="BH33" s="44">
        <f t="shared" si="95"/>
        <v>89.466395722190214</v>
      </c>
      <c r="BI33" s="42" t="str">
        <f t="shared" si="96"/>
        <v>15.9511825343614+6837.67093463585i</v>
      </c>
      <c r="BJ33" s="20">
        <f t="shared" si="97"/>
        <v>76.69818756254935</v>
      </c>
      <c r="BK33" s="44">
        <f t="shared" si="98"/>
        <v>89.866338437710212</v>
      </c>
      <c r="BL33">
        <f t="shared" si="99"/>
        <v>67.733012334545478</v>
      </c>
      <c r="BM33" s="44">
        <f t="shared" si="100"/>
        <v>89.466395722190214</v>
      </c>
    </row>
    <row r="34" spans="1:65" x14ac:dyDescent="0.35">
      <c r="A34" t="s">
        <v>197</v>
      </c>
      <c r="B34" s="16">
        <f>(Gcomp*(VOUT/IOUT)*(1-DC_VIN_Var))/(R_cs*Acs*(1+DC_VIN_Var))</f>
        <v>16.37096774193548</v>
      </c>
      <c r="C34" t="s">
        <v>147</v>
      </c>
      <c r="E34" t="s">
        <v>201</v>
      </c>
      <c r="N34" s="9">
        <v>16</v>
      </c>
      <c r="O34" s="35">
        <f t="shared" si="62"/>
        <v>14.454397707459275</v>
      </c>
      <c r="P34" s="34" t="str">
        <f t="shared" si="50"/>
        <v>16.3709677419355</v>
      </c>
      <c r="Q34" s="4" t="str">
        <f t="shared" si="51"/>
        <v>1+0.0133592789163339i</v>
      </c>
      <c r="R34" s="4">
        <f t="shared" si="63"/>
        <v>1.0000892311854799</v>
      </c>
      <c r="S34" s="4">
        <f t="shared" si="64"/>
        <v>1.335848425643975E-2</v>
      </c>
      <c r="T34" s="4" t="str">
        <f t="shared" si="52"/>
        <v>1+0.0000145311454879421i</v>
      </c>
      <c r="U34" s="4">
        <f t="shared" si="65"/>
        <v>1.0000000001055771</v>
      </c>
      <c r="V34" s="4">
        <f t="shared" si="66"/>
        <v>1.4531145486919329E-5</v>
      </c>
      <c r="W34" t="str">
        <f t="shared" si="53"/>
        <v>1-0.000190165245798835i</v>
      </c>
      <c r="X34" s="4">
        <f t="shared" si="67"/>
        <v>1.0000000180814101</v>
      </c>
      <c r="Y34" s="4">
        <f t="shared" si="68"/>
        <v>-1.9016524350653113E-4</v>
      </c>
      <c r="Z34" t="str">
        <f t="shared" si="54"/>
        <v>0.999999999819206+0.0000374509649717759i</v>
      </c>
      <c r="AA34" s="4">
        <f t="shared" si="69"/>
        <v>1.0000000005204932</v>
      </c>
      <c r="AB34" s="4">
        <f t="shared" si="70"/>
        <v>3.745096496103755E-5</v>
      </c>
      <c r="AC34" s="48" t="str">
        <f t="shared" si="71"/>
        <v>16.3679998544768-0.222153084086042i</v>
      </c>
      <c r="AD34" s="20">
        <f t="shared" si="72"/>
        <v>24.2807121908168</v>
      </c>
      <c r="AE34" s="44">
        <f t="shared" si="73"/>
        <v>-0.77759364337202375</v>
      </c>
      <c r="AF34" t="str">
        <f t="shared" si="74"/>
        <v>45.9520231294187</v>
      </c>
      <c r="AG34" t="str">
        <f t="shared" si="55"/>
        <v>1+0.00641079947997446i</v>
      </c>
      <c r="AH34">
        <f t="shared" si="75"/>
        <v>1.0000205489638563</v>
      </c>
      <c r="AI34">
        <f t="shared" si="76"/>
        <v>6.4107116577131829E-3</v>
      </c>
      <c r="AJ34" t="str">
        <f t="shared" si="56"/>
        <v>1+0.0000145311454879421i</v>
      </c>
      <c r="AK34">
        <f t="shared" si="77"/>
        <v>1.0000000001055771</v>
      </c>
      <c r="AL34">
        <f t="shared" si="78"/>
        <v>1.4531145486919329E-5</v>
      </c>
      <c r="AM34" t="str">
        <f t="shared" si="57"/>
        <v>1-0.0000325109367099409i</v>
      </c>
      <c r="AN34">
        <f t="shared" si="79"/>
        <v>1.0000000005284804</v>
      </c>
      <c r="AO34">
        <f t="shared" si="80"/>
        <v>-3.2510936698486637E-5</v>
      </c>
      <c r="AP34" s="42" t="str">
        <f t="shared" si="81"/>
        <v>45.9501293799764-0.295403273316008i</v>
      </c>
      <c r="AQ34">
        <f t="shared" si="82"/>
        <v>33.245914257775752</v>
      </c>
      <c r="AR34" s="44">
        <f t="shared" si="83"/>
        <v>-0.36833688781523116</v>
      </c>
      <c r="AS34" t="str">
        <f t="shared" si="58"/>
        <v>-0.000166666666666667</v>
      </c>
      <c r="AT34" t="str">
        <f t="shared" si="59"/>
        <v>1.14614410036144E-06i</v>
      </c>
      <c r="AU34">
        <f t="shared" si="84"/>
        <v>1.14614410036144E-6</v>
      </c>
      <c r="AV34">
        <f t="shared" si="85"/>
        <v>1.5707963267948966</v>
      </c>
      <c r="AW34" t="str">
        <f t="shared" si="60"/>
        <v>1+0.00020881325152443i</v>
      </c>
      <c r="AX34">
        <f t="shared" si="86"/>
        <v>1.0000000218014868</v>
      </c>
      <c r="AY34">
        <f t="shared" si="87"/>
        <v>2.0881324848947048E-4</v>
      </c>
      <c r="AZ34" t="str">
        <f t="shared" si="61"/>
        <v>1+0.00425036005522307i</v>
      </c>
      <c r="BA34">
        <f t="shared" si="88"/>
        <v>1.0000090327395044</v>
      </c>
      <c r="BB34">
        <f t="shared" si="89"/>
        <v>4.2503344604547843E-3</v>
      </c>
      <c r="BC34" s="42" t="str">
        <f t="shared" si="90"/>
        <v>-0.587701934134443+145.415229436558i</v>
      </c>
      <c r="BD34">
        <f t="shared" si="91"/>
        <v>43.252268794661354</v>
      </c>
      <c r="BE34" s="44">
        <f t="shared" si="92"/>
        <v>90.231562108258217</v>
      </c>
      <c r="BF34" s="42" t="str">
        <f t="shared" si="93"/>
        <v>22.6849365200225+2380.28701405348i</v>
      </c>
      <c r="BG34" s="20">
        <f t="shared" si="94"/>
        <v>67.532980985478133</v>
      </c>
      <c r="BH34" s="44">
        <f t="shared" si="95"/>
        <v>89.453968464886188</v>
      </c>
      <c r="BI34" s="42" t="str">
        <f t="shared" si="96"/>
        <v>15.9511548552175+6682.02221550387i</v>
      </c>
      <c r="BJ34" s="20">
        <f t="shared" si="97"/>
        <v>76.498183052437099</v>
      </c>
      <c r="BK34" s="44">
        <f t="shared" si="98"/>
        <v>89.863225220442985</v>
      </c>
      <c r="BL34">
        <f t="shared" si="99"/>
        <v>67.532980985478133</v>
      </c>
      <c r="BM34" s="44">
        <f t="shared" si="100"/>
        <v>89.453968464886188</v>
      </c>
    </row>
    <row r="35" spans="1:65" x14ac:dyDescent="0.35">
      <c r="A35" t="s">
        <v>214</v>
      </c>
      <c r="B35" s="18">
        <f>(1+DC_VIN_Var)/(Cout*(VOUT/IOUT))</f>
        <v>6798.2456140350878</v>
      </c>
      <c r="C35" t="s">
        <v>213</v>
      </c>
      <c r="E35" t="s">
        <v>204</v>
      </c>
      <c r="N35" s="9">
        <v>17</v>
      </c>
      <c r="O35" s="35">
        <f t="shared" si="62"/>
        <v>14.791083881682074</v>
      </c>
      <c r="P35" s="34" t="str">
        <f t="shared" si="50"/>
        <v>16.3709677419355</v>
      </c>
      <c r="Q35" s="4" t="str">
        <f t="shared" si="51"/>
        <v>1+0.0136704564970085i</v>
      </c>
      <c r="R35" s="4">
        <f t="shared" si="63"/>
        <v>1.0000934363252449</v>
      </c>
      <c r="S35" s="4">
        <f t="shared" si="64"/>
        <v>1.3669605007887329E-2</v>
      </c>
      <c r="T35" s="4" t="str">
        <f t="shared" si="52"/>
        <v>1+0.0000148696193476233i</v>
      </c>
      <c r="U35" s="4">
        <f t="shared" si="65"/>
        <v>1.0000000001105529</v>
      </c>
      <c r="V35" s="4">
        <f t="shared" si="66"/>
        <v>1.4869619346527382E-5</v>
      </c>
      <c r="W35" t="str">
        <f t="shared" si="53"/>
        <v>1-0.000194594763401295i</v>
      </c>
      <c r="X35" s="4">
        <f t="shared" si="67"/>
        <v>1.0000000189335607</v>
      </c>
      <c r="Y35" s="4">
        <f t="shared" si="68"/>
        <v>-1.9459476094504718E-4</v>
      </c>
      <c r="Z35" t="str">
        <f t="shared" si="54"/>
        <v>0.999999999810686+0.0000383233100097703i</v>
      </c>
      <c r="AA35" s="4">
        <f t="shared" si="69"/>
        <v>1.0000000005450238</v>
      </c>
      <c r="AB35" s="4">
        <f t="shared" si="70"/>
        <v>3.8323309998263935E-5</v>
      </c>
      <c r="AC35" s="48" t="str">
        <f t="shared" si="71"/>
        <v>16.3678600083847-0.227325782398767i</v>
      </c>
      <c r="AD35" s="20">
        <f t="shared" si="72"/>
        <v>24.280675676004407</v>
      </c>
      <c r="AE35" s="44">
        <f t="shared" si="73"/>
        <v>-0.7957039305686967</v>
      </c>
      <c r="AF35" t="str">
        <f t="shared" si="74"/>
        <v>45.9520231294187</v>
      </c>
      <c r="AG35" t="str">
        <f t="shared" si="55"/>
        <v>1+0.00656012618277497i</v>
      </c>
      <c r="AH35">
        <f t="shared" si="75"/>
        <v>1.0000215173962677</v>
      </c>
      <c r="AI35">
        <f t="shared" si="76"/>
        <v>6.5600320796359397E-3</v>
      </c>
      <c r="AJ35" t="str">
        <f t="shared" si="56"/>
        <v>1+0.0000148696193476233i</v>
      </c>
      <c r="AK35">
        <f t="shared" si="77"/>
        <v>1.0000000001105529</v>
      </c>
      <c r="AL35">
        <f t="shared" si="78"/>
        <v>1.4869619346527382E-5</v>
      </c>
      <c r="AM35" t="str">
        <f t="shared" si="57"/>
        <v>1-0.0000332682137077656i</v>
      </c>
      <c r="AN35">
        <f t="shared" si="79"/>
        <v>1.0000000005533869</v>
      </c>
      <c r="AO35">
        <f t="shared" si="80"/>
        <v>-3.3268213695492136E-5</v>
      </c>
      <c r="AP35" s="42" t="str">
        <f t="shared" si="81"/>
        <v>45.9500401341556-0.302283514017221i</v>
      </c>
      <c r="AQ35">
        <f t="shared" si="82"/>
        <v>33.245905846515193</v>
      </c>
      <c r="AR35" s="44">
        <f t="shared" si="83"/>
        <v>-0.37691631343873672</v>
      </c>
      <c r="AS35" t="str">
        <f t="shared" si="58"/>
        <v>-0.000166666666666667</v>
      </c>
      <c r="AT35" t="str">
        <f t="shared" si="59"/>
        <v>1.17284122604379E-06i</v>
      </c>
      <c r="AU35">
        <f t="shared" si="84"/>
        <v>1.17284122604379E-6</v>
      </c>
      <c r="AV35">
        <f t="shared" si="85"/>
        <v>1.5707963267948966</v>
      </c>
      <c r="AW35" t="str">
        <f t="shared" si="60"/>
        <v>1+0.000213677136980308i</v>
      </c>
      <c r="AX35">
        <f t="shared" si="86"/>
        <v>1.0000000228289592</v>
      </c>
      <c r="AY35">
        <f t="shared" si="87"/>
        <v>2.1367713372829028E-4</v>
      </c>
      <c r="AZ35" t="str">
        <f t="shared" si="61"/>
        <v>1+0.00434936365917981i</v>
      </c>
      <c r="BA35">
        <f t="shared" si="88"/>
        <v>1.0000094584373889</v>
      </c>
      <c r="BB35">
        <f t="shared" si="89"/>
        <v>4.3493362339054884E-3</v>
      </c>
      <c r="BC35" s="42" t="str">
        <f t="shared" si="90"/>
        <v>-0.58770193292675+142.105180351195i</v>
      </c>
      <c r="BD35">
        <f t="shared" si="91"/>
        <v>43.05227248326748</v>
      </c>
      <c r="BE35" s="44">
        <f t="shared" si="92"/>
        <v>90.236955811945023</v>
      </c>
      <c r="BF35" s="42" t="str">
        <f t="shared" si="93"/>
        <v>22.6847483414512+2326.09129825634i</v>
      </c>
      <c r="BG35" s="20">
        <f t="shared" si="94"/>
        <v>67.332948159271893</v>
      </c>
      <c r="BH35" s="44">
        <f t="shared" si="95"/>
        <v>89.441251881376331</v>
      </c>
      <c r="BI35" s="42" t="str">
        <f t="shared" si="96"/>
        <v>15.9511258717052+6529.91639301431i</v>
      </c>
      <c r="BJ35" s="20">
        <f t="shared" si="97"/>
        <v>76.298178329782672</v>
      </c>
      <c r="BK35" s="44">
        <f t="shared" si="98"/>
        <v>89.860039498506296</v>
      </c>
      <c r="BL35">
        <f t="shared" si="99"/>
        <v>67.332948159271893</v>
      </c>
      <c r="BM35" s="44">
        <f t="shared" si="100"/>
        <v>89.441251881376331</v>
      </c>
    </row>
    <row r="36" spans="1:65" x14ac:dyDescent="0.35">
      <c r="B36" s="17">
        <f>wp_lf/(2*PI())</f>
        <v>1081.9743938264814</v>
      </c>
      <c r="C36" t="s">
        <v>67</v>
      </c>
      <c r="N36" s="9">
        <v>18</v>
      </c>
      <c r="O36" s="35">
        <f t="shared" si="62"/>
        <v>15.135612484362087</v>
      </c>
      <c r="P36" s="34" t="str">
        <f t="shared" si="50"/>
        <v>16.3709677419355</v>
      </c>
      <c r="Q36" s="4" t="str">
        <f t="shared" si="51"/>
        <v>1+0.0139888823346677i</v>
      </c>
      <c r="R36" s="4">
        <f t="shared" si="63"/>
        <v>1.0000978396281901</v>
      </c>
      <c r="S36" s="4">
        <f t="shared" si="64"/>
        <v>1.398796995245687E-2</v>
      </c>
      <c r="T36" s="4" t="str">
        <f t="shared" si="52"/>
        <v>1+0.0000152159772763052i</v>
      </c>
      <c r="U36" s="4">
        <f t="shared" si="65"/>
        <v>1.000000000115763</v>
      </c>
      <c r="V36" s="4">
        <f t="shared" si="66"/>
        <v>1.5215977275130903E-5</v>
      </c>
      <c r="W36" t="str">
        <f t="shared" si="53"/>
        <v>1-0.000199127457723076i</v>
      </c>
      <c r="X36" s="4">
        <f t="shared" si="67"/>
        <v>1.0000000198258721</v>
      </c>
      <c r="Y36" s="4">
        <f t="shared" si="68"/>
        <v>-1.9912745509115905E-4</v>
      </c>
      <c r="Z36" t="str">
        <f t="shared" si="54"/>
        <v>0.999999999801764+0.0000392159745740008i</v>
      </c>
      <c r="AA36" s="4">
        <f t="shared" si="69"/>
        <v>1.0000000005707101</v>
      </c>
      <c r="AB36" s="4">
        <f t="shared" si="70"/>
        <v>3.9215974561671499E-5</v>
      </c>
      <c r="AC36" s="48" t="str">
        <f t="shared" si="71"/>
        <v>16.3677135740703-0.232618831640876i</v>
      </c>
      <c r="AD36" s="20">
        <f t="shared" si="72"/>
        <v>24.280637440631136</v>
      </c>
      <c r="AE36" s="44">
        <f t="shared" si="73"/>
        <v>-0.81423590354633446</v>
      </c>
      <c r="AF36" t="str">
        <f t="shared" si="74"/>
        <v>45.9520231294187</v>
      </c>
      <c r="AG36" t="str">
        <f t="shared" si="55"/>
        <v>1+0.00671293115131112i</v>
      </c>
      <c r="AH36">
        <f t="shared" si="75"/>
        <v>1.0000225314684876</v>
      </c>
      <c r="AI36">
        <f t="shared" si="76"/>
        <v>6.7128303181036662E-3</v>
      </c>
      <c r="AJ36" t="str">
        <f t="shared" si="56"/>
        <v>1+0.0000152159772763052i</v>
      </c>
      <c r="AK36">
        <f t="shared" si="77"/>
        <v>1.000000000115763</v>
      </c>
      <c r="AL36">
        <f t="shared" si="78"/>
        <v>1.5215977275130903E-5</v>
      </c>
      <c r="AM36" t="str">
        <f t="shared" si="57"/>
        <v>1-0.0000340431299528551i</v>
      </c>
      <c r="AN36">
        <f t="shared" si="79"/>
        <v>1.0000000005794674</v>
      </c>
      <c r="AO36">
        <f t="shared" si="80"/>
        <v>-3.4043129939703846E-5</v>
      </c>
      <c r="AP36" s="42" t="str">
        <f t="shared" si="81"/>
        <v>45.9499466826793-0.309323974242497i</v>
      </c>
      <c r="AQ36">
        <f t="shared" si="82"/>
        <v>33.245897038861585</v>
      </c>
      <c r="AR36" s="44">
        <f t="shared" si="83"/>
        <v>-0.38569556220273066</v>
      </c>
      <c r="AS36" t="str">
        <f t="shared" si="58"/>
        <v>-0.000166666666666667</v>
      </c>
      <c r="AT36" t="str">
        <f t="shared" si="59"/>
        <v>1.20016020766858E-06i</v>
      </c>
      <c r="AU36">
        <f t="shared" si="84"/>
        <v>1.20016020766858E-6</v>
      </c>
      <c r="AV36">
        <f t="shared" si="85"/>
        <v>1.5707963267948966</v>
      </c>
      <c r="AW36" t="str">
        <f t="shared" si="60"/>
        <v>1+0.000218654316882564i</v>
      </c>
      <c r="AX36">
        <f t="shared" si="86"/>
        <v>1.0000000239048548</v>
      </c>
      <c r="AY36">
        <f t="shared" si="87"/>
        <v>2.1865431339796425E-4</v>
      </c>
      <c r="AZ36" t="str">
        <f t="shared" si="61"/>
        <v>1+0.00445067335331928i</v>
      </c>
      <c r="BA36">
        <f t="shared" si="88"/>
        <v>1.0000099041976023</v>
      </c>
      <c r="BB36">
        <f t="shared" si="89"/>
        <v>4.4506439666241121E-3</v>
      </c>
      <c r="BC36" s="42" t="str">
        <f t="shared" si="90"/>
        <v>-0.587701931662136+138.870477313439i</v>
      </c>
      <c r="BD36">
        <f t="shared" si="91"/>
        <v>42.852276345708908</v>
      </c>
      <c r="BE36" s="44">
        <f t="shared" si="92"/>
        <v>90.242475146072891</v>
      </c>
      <c r="BF36" s="42" t="str">
        <f t="shared" si="93"/>
        <v>22.6845512976893+2273.12890709749i</v>
      </c>
      <c r="BG36" s="20">
        <f t="shared" si="94"/>
        <v>67.132913786340026</v>
      </c>
      <c r="BH36" s="44">
        <f t="shared" si="95"/>
        <v>89.428239242526558</v>
      </c>
      <c r="BI36" s="42" t="str">
        <f t="shared" si="96"/>
        <v>15.9510955223627+6381.27281864792i</v>
      </c>
      <c r="BJ36" s="20">
        <f t="shared" si="97"/>
        <v>76.098173384570487</v>
      </c>
      <c r="BK36" s="44">
        <f t="shared" si="98"/>
        <v>89.856779583870164</v>
      </c>
      <c r="BL36">
        <f t="shared" si="99"/>
        <v>67.132913786340026</v>
      </c>
      <c r="BM36" s="44">
        <f t="shared" si="100"/>
        <v>89.428239242526558</v>
      </c>
    </row>
    <row r="37" spans="1:65" x14ac:dyDescent="0.35">
      <c r="B37" s="1"/>
      <c r="C37" t="s">
        <v>235</v>
      </c>
      <c r="E37" t="s">
        <v>234</v>
      </c>
      <c r="N37" s="9">
        <v>19</v>
      </c>
      <c r="O37" s="35">
        <f t="shared" si="62"/>
        <v>15.488166189124817</v>
      </c>
      <c r="P37" s="34" t="str">
        <f t="shared" si="50"/>
        <v>16.3709677419355</v>
      </c>
      <c r="Q37" s="4" t="str">
        <f t="shared" si="51"/>
        <v>1+0.0143147252629055i</v>
      </c>
      <c r="R37" s="4">
        <f t="shared" si="63"/>
        <v>1.0001024504316307</v>
      </c>
      <c r="S37" s="4">
        <f t="shared" si="64"/>
        <v>1.431374763316169E-2</v>
      </c>
      <c r="T37" s="4" t="str">
        <f t="shared" si="52"/>
        <v>1+0.0000155704029175464i</v>
      </c>
      <c r="U37" s="4">
        <f t="shared" si="65"/>
        <v>1.0000000001212186</v>
      </c>
      <c r="V37" s="4">
        <f t="shared" si="66"/>
        <v>1.5570402916288114E-5</v>
      </c>
      <c r="W37" t="str">
        <f t="shared" si="53"/>
        <v>1-0.000203765732058706i</v>
      </c>
      <c r="X37" s="4">
        <f t="shared" si="67"/>
        <v>1.0000000207602366</v>
      </c>
      <c r="Y37" s="4">
        <f t="shared" si="68"/>
        <v>-2.0376572923855619E-4</v>
      </c>
      <c r="Z37" t="str">
        <f t="shared" si="54"/>
        <v>0.999999999792421+0.0000401294319670353i</v>
      </c>
      <c r="AA37" s="4">
        <f t="shared" si="69"/>
        <v>1.0000000005976066</v>
      </c>
      <c r="AB37" s="4">
        <f t="shared" si="70"/>
        <v>4.0129431953824226E-5</v>
      </c>
      <c r="AC37" s="48" t="str">
        <f t="shared" si="71"/>
        <v>16.3675602412833-0.23803502537379i</v>
      </c>
      <c r="AD37" s="20">
        <f t="shared" si="72"/>
        <v>24.280597403641146</v>
      </c>
      <c r="AE37" s="44">
        <f t="shared" si="73"/>
        <v>-0.83319937340309991</v>
      </c>
      <c r="AF37" t="str">
        <f t="shared" si="74"/>
        <v>45.9520231294187</v>
      </c>
      <c r="AG37" t="str">
        <f t="shared" si="55"/>
        <v>1+0.00686929540479984i</v>
      </c>
      <c r="AH37">
        <f t="shared" si="75"/>
        <v>1.0000235933313566</v>
      </c>
      <c r="AI37">
        <f t="shared" si="76"/>
        <v>6.8691873602091157E-3</v>
      </c>
      <c r="AJ37" t="str">
        <f t="shared" si="56"/>
        <v>1+0.0000155704029175464i</v>
      </c>
      <c r="AK37">
        <f t="shared" si="77"/>
        <v>1.0000000001212186</v>
      </c>
      <c r="AL37">
        <f t="shared" si="78"/>
        <v>1.5570402916288114E-5</v>
      </c>
      <c r="AM37" t="str">
        <f t="shared" si="57"/>
        <v>1-0.0000348360963160597i</v>
      </c>
      <c r="AN37">
        <f t="shared" si="79"/>
        <v>1.0000000006067769</v>
      </c>
      <c r="AO37">
        <f t="shared" si="80"/>
        <v>-3.4836096301967875E-5</v>
      </c>
      <c r="AP37" s="42" t="str">
        <f t="shared" si="81"/>
        <v>45.9498488273768-0.3165283829898i</v>
      </c>
      <c r="AQ37">
        <f t="shared" si="82"/>
        <v>33.245887816135173</v>
      </c>
      <c r="AR37" s="44">
        <f t="shared" si="83"/>
        <v>-0.3946792873449867</v>
      </c>
      <c r="AS37" t="str">
        <f t="shared" si="58"/>
        <v>-0.000166666666666667</v>
      </c>
      <c r="AT37" t="str">
        <f t="shared" si="59"/>
        <v>1.22811553012147E-06i</v>
      </c>
      <c r="AU37">
        <f t="shared" si="84"/>
        <v>1.22811553012147E-6</v>
      </c>
      <c r="AV37">
        <f t="shared" si="85"/>
        <v>1.5707963267948966</v>
      </c>
      <c r="AW37" t="str">
        <f t="shared" si="60"/>
        <v>1+0.000223747430197863i</v>
      </c>
      <c r="AX37">
        <f t="shared" si="86"/>
        <v>1.000000025031456</v>
      </c>
      <c r="AY37">
        <f t="shared" si="87"/>
        <v>2.237474264640471E-4</v>
      </c>
      <c r="AZ37" t="str">
        <f t="shared" si="61"/>
        <v>1+0.0045543428533823i</v>
      </c>
      <c r="BA37">
        <f t="shared" si="88"/>
        <v>1.0000103709656345</v>
      </c>
      <c r="BB37">
        <f t="shared" si="89"/>
        <v>4.5543113649887485E-3</v>
      </c>
      <c r="BC37" s="42" t="str">
        <f t="shared" si="90"/>
        <v>-0.587701930337926+135.709405240923i</v>
      </c>
      <c r="BD37">
        <f t="shared" si="91"/>
        <v>42.652280390177914</v>
      </c>
      <c r="BE37" s="44">
        <f t="shared" si="92"/>
        <v>90.248123036589021</v>
      </c>
      <c r="BF37" s="42" t="str">
        <f t="shared" si="93"/>
        <v>22.6843449712606+2221.37175923343i</v>
      </c>
      <c r="BG37" s="20">
        <f t="shared" si="94"/>
        <v>66.932877793819031</v>
      </c>
      <c r="BH37" s="44">
        <f t="shared" si="95"/>
        <v>89.414923663185917</v>
      </c>
      <c r="BI37" s="42" t="str">
        <f t="shared" si="96"/>
        <v>15.9510637428316+6236.01267961532i</v>
      </c>
      <c r="BJ37" s="20">
        <f t="shared" si="97"/>
        <v>75.898168206313088</v>
      </c>
      <c r="BK37" s="44">
        <f t="shared" si="98"/>
        <v>89.853443749244022</v>
      </c>
      <c r="BL37">
        <f t="shared" si="99"/>
        <v>66.932877793819031</v>
      </c>
      <c r="BM37" s="44">
        <f t="shared" si="100"/>
        <v>89.414923663185917</v>
      </c>
    </row>
    <row r="38" spans="1:65" x14ac:dyDescent="0.35">
      <c r="A38" t="s">
        <v>215</v>
      </c>
      <c r="B38" s="18">
        <f>((VOUT/IOUT)*((1-DC_VIN_Var)^2))/(Lm*DC_VIN_Var)</f>
        <v>477582.84600389883</v>
      </c>
      <c r="C38" t="s">
        <v>213</v>
      </c>
      <c r="E38" t="s">
        <v>205</v>
      </c>
      <c r="N38" s="9">
        <v>20</v>
      </c>
      <c r="O38" s="35">
        <f t="shared" si="62"/>
        <v>15.848931924611136</v>
      </c>
      <c r="P38" s="34" t="str">
        <f t="shared" si="50"/>
        <v>16.3709677419355</v>
      </c>
      <c r="Q38" s="4" t="str">
        <f t="shared" si="51"/>
        <v>1+0.0146481580479555i</v>
      </c>
      <c r="R38" s="4">
        <f t="shared" si="63"/>
        <v>1.0001072785127594</v>
      </c>
      <c r="S38" s="4">
        <f t="shared" si="64"/>
        <v>1.464711050488038E-2</v>
      </c>
      <c r="T38" s="4" t="str">
        <f t="shared" si="52"/>
        <v>1+0.000015933084192513i</v>
      </c>
      <c r="U38" s="4">
        <f t="shared" si="65"/>
        <v>1.0000000001269316</v>
      </c>
      <c r="V38" s="4">
        <f t="shared" si="66"/>
        <v>1.5933084191164726E-5</v>
      </c>
      <c r="W38" t="str">
        <f t="shared" si="53"/>
        <v>1-0.000208512045682632i</v>
      </c>
      <c r="X38" s="4">
        <f t="shared" si="67"/>
        <v>1.0000000217386362</v>
      </c>
      <c r="Y38" s="4">
        <f t="shared" si="68"/>
        <v>-2.0851204266078701E-4</v>
      </c>
      <c r="Z38" t="str">
        <f t="shared" si="54"/>
        <v>0.999999999782638+0.0000410641665160745i</v>
      </c>
      <c r="AA38" s="4">
        <f t="shared" si="69"/>
        <v>1.0000000006257708</v>
      </c>
      <c r="AB38" s="4">
        <f t="shared" si="70"/>
        <v>4.1064166501918588E-5</v>
      </c>
      <c r="AC38" s="48" t="str">
        <f t="shared" si="71"/>
        <v>16.3673996851754-0.243577221530981i</v>
      </c>
      <c r="AD38" s="20">
        <f t="shared" si="72"/>
        <v>24.28055548016173</v>
      </c>
      <c r="AE38" s="44">
        <f t="shared" si="73"/>
        <v>-0.85260437896449259</v>
      </c>
      <c r="AF38" t="str">
        <f t="shared" si="74"/>
        <v>45.9520231294187</v>
      </c>
      <c r="AG38" t="str">
        <f t="shared" si="55"/>
        <v>1+0.00702930184963807i</v>
      </c>
      <c r="AH38">
        <f t="shared" si="75"/>
        <v>1.0000247052370723</v>
      </c>
      <c r="AI38">
        <f t="shared" si="76"/>
        <v>7.0291860779277534E-3</v>
      </c>
      <c r="AJ38" t="str">
        <f t="shared" si="56"/>
        <v>1+0.000015933084192513i</v>
      </c>
      <c r="AK38">
        <f t="shared" si="77"/>
        <v>1.0000000001269316</v>
      </c>
      <c r="AL38">
        <f t="shared" si="78"/>
        <v>1.5933084191164726E-5</v>
      </c>
      <c r="AM38" t="str">
        <f t="shared" si="57"/>
        <v>1-0.0000356475332386413i</v>
      </c>
      <c r="AN38">
        <f t="shared" si="79"/>
        <v>1.0000000006353733</v>
      </c>
      <c r="AO38">
        <f t="shared" si="80"/>
        <v>-3.5647533223541635E-5</v>
      </c>
      <c r="AP38" s="42" t="str">
        <f t="shared" si="81"/>
        <v>45.9497463607416-0.323900555902512i</v>
      </c>
      <c r="AQ38">
        <f t="shared" si="82"/>
        <v>33.24587815877608</v>
      </c>
      <c r="AR38" s="44">
        <f t="shared" si="83"/>
        <v>-0.40387225040235675</v>
      </c>
      <c r="AS38" t="str">
        <f t="shared" si="58"/>
        <v>-0.000166666666666667</v>
      </c>
      <c r="AT38" t="str">
        <f t="shared" si="59"/>
        <v>1.25672201568446E-06i</v>
      </c>
      <c r="AU38">
        <f t="shared" si="84"/>
        <v>1.2567220156844599E-6</v>
      </c>
      <c r="AV38">
        <f t="shared" si="85"/>
        <v>1.5707963267948966</v>
      </c>
      <c r="AW38" t="str">
        <f t="shared" si="60"/>
        <v>1+0.000228959177362301i</v>
      </c>
      <c r="AX38">
        <f t="shared" si="86"/>
        <v>1.0000000262111521</v>
      </c>
      <c r="AY38">
        <f t="shared" si="87"/>
        <v>2.289591733614452E-4</v>
      </c>
      <c r="AZ38" t="str">
        <f t="shared" si="61"/>
        <v>1+0.00466042712631004i</v>
      </c>
      <c r="BA38">
        <f t="shared" si="88"/>
        <v>1.0000108597315329</v>
      </c>
      <c r="BB38">
        <f t="shared" si="89"/>
        <v>4.6603933859082477E-3</v>
      </c>
      <c r="BC38" s="42" t="str">
        <f t="shared" si="90"/>
        <v>-0.587701928951308+132.620288091392i</v>
      </c>
      <c r="BD38">
        <f t="shared" si="91"/>
        <v>42.452284625252823</v>
      </c>
      <c r="BE38" s="44">
        <f t="shared" si="92"/>
        <v>90.253902477568801</v>
      </c>
      <c r="BF38" s="42" t="str">
        <f t="shared" si="93"/>
        <v>22.6841289250449+2170.79241235786i</v>
      </c>
      <c r="BG38" s="20">
        <f t="shared" si="94"/>
        <v>66.732840105414539</v>
      </c>
      <c r="BH38" s="44">
        <f t="shared" si="95"/>
        <v>89.401298098604329</v>
      </c>
      <c r="BI38" s="42" t="str">
        <f t="shared" si="96"/>
        <v>15.951030465722+6094.05895706943i</v>
      </c>
      <c r="BJ38" s="20">
        <f t="shared" si="97"/>
        <v>75.698162784028895</v>
      </c>
      <c r="BK38" s="44">
        <f t="shared" si="98"/>
        <v>89.850030227166457</v>
      </c>
      <c r="BL38">
        <f t="shared" si="99"/>
        <v>66.732840105414539</v>
      </c>
      <c r="BM38" s="44">
        <f t="shared" si="100"/>
        <v>89.401298098604329</v>
      </c>
    </row>
    <row r="39" spans="1:65" x14ac:dyDescent="0.35">
      <c r="B39" s="1">
        <f>wz_rhp/2*PI()</f>
        <v>750185.38024317706</v>
      </c>
      <c r="C39" t="s">
        <v>67</v>
      </c>
      <c r="N39" s="9">
        <v>21</v>
      </c>
      <c r="O39" s="35">
        <f t="shared" si="62"/>
        <v>16.218100973589298</v>
      </c>
      <c r="P39" s="34" t="str">
        <f t="shared" si="50"/>
        <v>16.3709677419355</v>
      </c>
      <c r="Q39" s="4" t="str">
        <f t="shared" si="51"/>
        <v>1+0.0149893574802937i</v>
      </c>
      <c r="R39" s="4">
        <f t="shared" si="63"/>
        <v>1.0001123341093598</v>
      </c>
      <c r="S39" s="4">
        <f t="shared" si="64"/>
        <v>1.4988235024474791E-2</v>
      </c>
      <c r="T39" s="4" t="str">
        <f t="shared" si="52"/>
        <v>1+0.0000163042133996178i</v>
      </c>
      <c r="U39" s="4">
        <f t="shared" si="65"/>
        <v>1.0000000001329137</v>
      </c>
      <c r="V39" s="4">
        <f t="shared" si="66"/>
        <v>1.6304213398173096E-5</v>
      </c>
      <c r="W39" t="str">
        <f t="shared" si="53"/>
        <v>1-0.000213368915153161i</v>
      </c>
      <c r="X39" s="4">
        <f t="shared" si="67"/>
        <v>1.0000000227631467</v>
      </c>
      <c r="Y39" s="4">
        <f t="shared" si="68"/>
        <v>-2.1336891191519578E-4</v>
      </c>
      <c r="Z39" t="str">
        <f t="shared" si="54"/>
        <v>0.999999999772394+0.0000420206738297489i</v>
      </c>
      <c r="AA39" s="4">
        <f t="shared" si="69"/>
        <v>1.0000000006552623</v>
      </c>
      <c r="AB39" s="4">
        <f t="shared" si="70"/>
        <v>4.2020673814580576E-5</v>
      </c>
      <c r="AC39" s="48" t="str">
        <f t="shared" si="71"/>
        <v>16.3672315656141-0.24924834386751i</v>
      </c>
      <c r="AD39" s="20">
        <f t="shared" si="72"/>
        <v>24.280511581323466</v>
      </c>
      <c r="AE39" s="44">
        <f t="shared" si="73"/>
        <v>-0.87246119203048422</v>
      </c>
      <c r="AF39" t="str">
        <f t="shared" si="74"/>
        <v>45.9520231294187</v>
      </c>
      <c r="AG39" t="str">
        <f t="shared" si="55"/>
        <v>1+0.00719303532336076i</v>
      </c>
      <c r="AH39">
        <f t="shared" si="75"/>
        <v>1.000025869543965</v>
      </c>
      <c r="AI39">
        <f t="shared" si="76"/>
        <v>7.1929112719114731E-3</v>
      </c>
      <c r="AJ39" t="str">
        <f t="shared" si="56"/>
        <v>1+0.0000163042133996178i</v>
      </c>
      <c r="AK39">
        <f t="shared" si="77"/>
        <v>1.0000000001329137</v>
      </c>
      <c r="AL39">
        <f t="shared" si="78"/>
        <v>1.6304213398173096E-5</v>
      </c>
      <c r="AM39" t="str">
        <f t="shared" si="57"/>
        <v>1-0.0000364778709551968i</v>
      </c>
      <c r="AN39">
        <f t="shared" si="79"/>
        <v>1.0000000006653176</v>
      </c>
      <c r="AO39">
        <f t="shared" si="80"/>
        <v>-3.6477870939017225E-5</v>
      </c>
      <c r="AP39" s="42" t="str">
        <f t="shared" si="81"/>
        <v>45.949639065491-0.331444397272353i</v>
      </c>
      <c r="AQ39">
        <f t="shared" si="82"/>
        <v>33.245868046302682</v>
      </c>
      <c r="AR39" s="44">
        <f t="shared" si="83"/>
        <v>-0.41327932372703674</v>
      </c>
      <c r="AS39" t="str">
        <f t="shared" si="58"/>
        <v>-0.000166666666666667</v>
      </c>
      <c r="AT39" t="str">
        <f t="shared" si="59"/>
        <v>1.28599483189485E-06i</v>
      </c>
      <c r="AU39">
        <f t="shared" si="84"/>
        <v>1.2859948318948499E-6</v>
      </c>
      <c r="AV39">
        <f t="shared" si="85"/>
        <v>1.5707963267948966</v>
      </c>
      <c r="AW39" t="str">
        <f t="shared" si="60"/>
        <v>1+0.000234292321713208i</v>
      </c>
      <c r="AX39">
        <f t="shared" si="86"/>
        <v>1.0000000274464456</v>
      </c>
      <c r="AY39">
        <f t="shared" si="87"/>
        <v>2.3429231742621377E-4</v>
      </c>
      <c r="AZ39" t="str">
        <f t="shared" si="61"/>
        <v>1+0.00476898241938819i</v>
      </c>
      <c r="BA39">
        <f t="shared" si="88"/>
        <v>1.0000113715320023</v>
      </c>
      <c r="BB39">
        <f t="shared" si="89"/>
        <v>4.7689462659185064E-3</v>
      </c>
      <c r="BC39" s="42" t="str">
        <f t="shared" si="90"/>
        <v>-0.58770192749934+129.601487974043i</v>
      </c>
      <c r="BD39">
        <f t="shared" si="91"/>
        <v>42.25228905991613</v>
      </c>
      <c r="BE39" s="44">
        <f t="shared" si="92"/>
        <v>90.25981653280094</v>
      </c>
      <c r="BF39" s="42" t="str">
        <f t="shared" si="93"/>
        <v>22.6839027013558+2121.36404865143i</v>
      </c>
      <c r="BG39" s="20">
        <f t="shared" si="94"/>
        <v>66.532800641239604</v>
      </c>
      <c r="BH39" s="44">
        <f t="shared" si="95"/>
        <v>89.387355340770469</v>
      </c>
      <c r="BI39" s="42" t="str">
        <f t="shared" si="96"/>
        <v>15.9509956204688+5955.33638526898i</v>
      </c>
      <c r="BJ39" s="20">
        <f t="shared" si="97"/>
        <v>75.498157106218798</v>
      </c>
      <c r="BK39" s="44">
        <f t="shared" si="98"/>
        <v>89.846537209073901</v>
      </c>
      <c r="BL39">
        <f t="shared" si="99"/>
        <v>66.532800641239604</v>
      </c>
      <c r="BM39" s="44">
        <f t="shared" si="100"/>
        <v>89.387355340770469</v>
      </c>
    </row>
    <row r="40" spans="1:65" x14ac:dyDescent="0.35">
      <c r="B40" s="1"/>
      <c r="N40" s="9">
        <v>22</v>
      </c>
      <c r="O40" s="35">
        <f t="shared" si="62"/>
        <v>16.595869074375614</v>
      </c>
      <c r="P40" s="34" t="str">
        <f t="shared" si="50"/>
        <v>16.3709677419355</v>
      </c>
      <c r="Q40" s="4" t="str">
        <f t="shared" si="51"/>
        <v>1+0.0153385044683757i</v>
      </c>
      <c r="R40" s="4">
        <f t="shared" si="63"/>
        <v>1.0001176279414969</v>
      </c>
      <c r="S40" s="4">
        <f t="shared" si="64"/>
        <v>1.5337301742936342E-2</v>
      </c>
      <c r="T40" s="4" t="str">
        <f t="shared" si="52"/>
        <v>1+0.0000166839873164789i</v>
      </c>
      <c r="U40" s="4">
        <f t="shared" si="65"/>
        <v>1.0000000001391776</v>
      </c>
      <c r="V40" s="4">
        <f t="shared" si="66"/>
        <v>1.6683987314930874E-5</v>
      </c>
      <c r="W40" t="str">
        <f t="shared" si="53"/>
        <v>1-0.000218338915646777i</v>
      </c>
      <c r="X40" s="4">
        <f t="shared" si="67"/>
        <v>1.0000000238359408</v>
      </c>
      <c r="Y40" s="4">
        <f t="shared" si="68"/>
        <v>-2.1833891217723476E-4</v>
      </c>
      <c r="Z40" t="str">
        <f t="shared" si="54"/>
        <v>0.999999999761668+0.0000429994610608975i</v>
      </c>
      <c r="AA40" s="4">
        <f t="shared" si="69"/>
        <v>1.0000000006861447</v>
      </c>
      <c r="AB40" s="4">
        <f t="shared" si="70"/>
        <v>4.2999461044644315E-5</v>
      </c>
      <c r="AC40" s="48" t="str">
        <f t="shared" si="71"/>
        <v>16.3670555264656-0.255051383439772i</v>
      </c>
      <c r="AD40" s="20">
        <f t="shared" si="72"/>
        <v>24.280465614072572</v>
      </c>
      <c r="AE40" s="44">
        <f t="shared" si="73"/>
        <v>-0.89278032274072294</v>
      </c>
      <c r="AF40" t="str">
        <f t="shared" si="74"/>
        <v>45.9520231294187</v>
      </c>
      <c r="AG40" t="str">
        <f t="shared" si="55"/>
        <v>1+0.00736058263962302i</v>
      </c>
      <c r="AH40">
        <f t="shared" si="75"/>
        <v>1.0000270887214979</v>
      </c>
      <c r="AI40">
        <f t="shared" si="76"/>
        <v>7.3604497162947325E-3</v>
      </c>
      <c r="AJ40" t="str">
        <f t="shared" si="56"/>
        <v>1+0.0000166839873164789i</v>
      </c>
      <c r="AK40">
        <f t="shared" si="77"/>
        <v>1.0000000001391776</v>
      </c>
      <c r="AL40">
        <f t="shared" si="78"/>
        <v>1.6683987314930874E-5</v>
      </c>
      <c r="AM40" t="str">
        <f t="shared" si="57"/>
        <v>1-0.0000373275497217746i</v>
      </c>
      <c r="AN40">
        <f t="shared" si="79"/>
        <v>1.0000000006966729</v>
      </c>
      <c r="AO40">
        <f t="shared" si="80"/>
        <v>-3.732754970443787E-5</v>
      </c>
      <c r="AP40" s="42" t="str">
        <f t="shared" si="81"/>
        <v>45.9495267141066-0.339163902087869i</v>
      </c>
      <c r="AQ40">
        <f t="shared" si="82"/>
        <v>33.245857457268329</v>
      </c>
      <c r="AR40" s="44">
        <f t="shared" si="83"/>
        <v>-0.42290549306098613</v>
      </c>
      <c r="AS40" t="str">
        <f t="shared" si="58"/>
        <v>-0.000166666666666667</v>
      </c>
      <c r="AT40" t="str">
        <f t="shared" si="59"/>
        <v>1.31594949958727E-06i</v>
      </c>
      <c r="AU40">
        <f t="shared" si="84"/>
        <v>1.31594949958727E-6</v>
      </c>
      <c r="AV40">
        <f t="shared" si="85"/>
        <v>1.5707963267948966</v>
      </c>
      <c r="AW40" t="str">
        <f t="shared" si="60"/>
        <v>1+0.000239749690954314i</v>
      </c>
      <c r="AX40">
        <f t="shared" si="86"/>
        <v>1.0000000287399569</v>
      </c>
      <c r="AY40">
        <f t="shared" si="87"/>
        <v>2.3974968636071694E-4</v>
      </c>
      <c r="AZ40" t="str">
        <f t="shared" si="61"/>
        <v>1+0.00488006629007006i</v>
      </c>
      <c r="BA40">
        <f t="shared" si="88"/>
        <v>1.0000119074526042</v>
      </c>
      <c r="BB40">
        <f t="shared" si="89"/>
        <v>4.8800275509542565E-3</v>
      </c>
      <c r="BC40" s="42" t="str">
        <f t="shared" si="90"/>
        <v>-0.587701925978941+126.651404281097i</v>
      </c>
      <c r="BD40">
        <f t="shared" si="91"/>
        <v>42.052293703573859</v>
      </c>
      <c r="BE40" s="44">
        <f t="shared" si="92"/>
        <v>90.265868337409188</v>
      </c>
      <c r="BF40" s="42" t="str">
        <f t="shared" si="93"/>
        <v>22.6836658209756+2073.06046056283i</v>
      </c>
      <c r="BG40" s="20">
        <f t="shared" si="94"/>
        <v>66.332759317646435</v>
      </c>
      <c r="BH40" s="44">
        <f t="shared" si="95"/>
        <v>89.373088014668468</v>
      </c>
      <c r="BI40" s="42" t="str">
        <f t="shared" si="96"/>
        <v>15.9509591331838+5819.77141167186i</v>
      </c>
      <c r="BJ40" s="20">
        <f t="shared" si="97"/>
        <v>75.298151160842195</v>
      </c>
      <c r="BK40" s="44">
        <f t="shared" si="98"/>
        <v>89.842962844348207</v>
      </c>
      <c r="BL40">
        <f t="shared" si="99"/>
        <v>66.332759317646435</v>
      </c>
      <c r="BM40" s="44">
        <f t="shared" si="100"/>
        <v>89.373088014668468</v>
      </c>
    </row>
    <row r="41" spans="1:65" x14ac:dyDescent="0.35">
      <c r="A41" t="s">
        <v>216</v>
      </c>
      <c r="B41" s="18">
        <f>1/(Cout*Resr)</f>
        <v>6250000.0000000009</v>
      </c>
      <c r="C41" t="s">
        <v>213</v>
      </c>
      <c r="E41" t="s">
        <v>206</v>
      </c>
      <c r="N41" s="9">
        <v>23</v>
      </c>
      <c r="O41" s="35">
        <f t="shared" si="62"/>
        <v>16.982436524617448</v>
      </c>
      <c r="P41" s="34" t="str">
        <f t="shared" si="50"/>
        <v>16.3709677419355</v>
      </c>
      <c r="Q41" s="4" t="str">
        <f t="shared" si="51"/>
        <v>1+0.0156957841345559i</v>
      </c>
      <c r="R41" s="4">
        <f t="shared" si="63"/>
        <v>1.0001231712342229</v>
      </c>
      <c r="S41" s="4">
        <f t="shared" si="64"/>
        <v>1.5694495399600678E-2</v>
      </c>
      <c r="T41" s="4" t="str">
        <f t="shared" si="52"/>
        <v>1+0.0000170726073042538i</v>
      </c>
      <c r="U41" s="4">
        <f t="shared" si="65"/>
        <v>1.000000000145737</v>
      </c>
      <c r="V41" s="4">
        <f t="shared" si="66"/>
        <v>1.7072607302595059E-5</v>
      </c>
      <c r="W41" t="str">
        <f t="shared" si="53"/>
        <v>1-0.000223424682323525i</v>
      </c>
      <c r="X41" s="4">
        <f t="shared" si="67"/>
        <v>1.000000024959294</v>
      </c>
      <c r="Y41" s="4">
        <f t="shared" si="68"/>
        <v>-2.2342467860584351E-4</v>
      </c>
      <c r="Z41" t="str">
        <f t="shared" si="54"/>
        <v>0.999999999750435+0.0000440010471754654i</v>
      </c>
      <c r="AA41" s="4">
        <f t="shared" si="69"/>
        <v>1.0000000007184811</v>
      </c>
      <c r="AB41" s="4">
        <f t="shared" si="70"/>
        <v>4.4001047158049832E-5</v>
      </c>
      <c r="AC41" s="48" t="str">
        <f t="shared" si="71"/>
        <v>16.3668711948423-0.260989400115883i</v>
      </c>
      <c r="AD41" s="20">
        <f t="shared" si="72"/>
        <v>24.280417480973469</v>
      </c>
      <c r="AE41" s="44">
        <f t="shared" si="73"/>
        <v>-0.91357252506037367</v>
      </c>
      <c r="AF41" t="str">
        <f t="shared" si="74"/>
        <v>45.9520231294187</v>
      </c>
      <c r="AG41" t="str">
        <f t="shared" si="55"/>
        <v>1+0.00753203263422958i</v>
      </c>
      <c r="AH41">
        <f t="shared" si="75"/>
        <v>1.0000283653555049</v>
      </c>
      <c r="AI41">
        <f t="shared" si="76"/>
        <v>7.5318902045353959E-3</v>
      </c>
      <c r="AJ41" t="str">
        <f t="shared" si="56"/>
        <v>1+0.0000170726073042538i</v>
      </c>
      <c r="AK41">
        <f t="shared" si="77"/>
        <v>1.000000000145737</v>
      </c>
      <c r="AL41">
        <f t="shared" si="78"/>
        <v>1.7072607302595059E-5</v>
      </c>
      <c r="AM41" t="str">
        <f t="shared" si="57"/>
        <v>1-0.0000381970200493033i</v>
      </c>
      <c r="AN41">
        <f t="shared" si="79"/>
        <v>1.000000000729506</v>
      </c>
      <c r="AO41">
        <f t="shared" si="80"/>
        <v>-3.8197020030726664E-5</v>
      </c>
      <c r="AP41" s="42" t="str">
        <f t="shared" si="81"/>
        <v>45.9494090683519-0.347063158129447i</v>
      </c>
      <c r="AQ41">
        <f t="shared" si="82"/>
        <v>33.245846369215862</v>
      </c>
      <c r="AR41" s="44">
        <f t="shared" si="83"/>
        <v>-0.43275586016981893</v>
      </c>
      <c r="AS41" t="str">
        <f t="shared" si="58"/>
        <v>-0.000166666666666667</v>
      </c>
      <c r="AT41" t="str">
        <f t="shared" si="59"/>
        <v>1.34660190112302E-06i</v>
      </c>
      <c r="AU41">
        <f t="shared" si="84"/>
        <v>1.3466019011230201E-6</v>
      </c>
      <c r="AV41">
        <f t="shared" si="85"/>
        <v>1.5707963267948966</v>
      </c>
      <c r="AW41" t="str">
        <f t="shared" si="60"/>
        <v>1+0.000245334178655025i</v>
      </c>
      <c r="AX41">
        <f t="shared" si="86"/>
        <v>1.0000000300944292</v>
      </c>
      <c r="AY41">
        <f t="shared" si="87"/>
        <v>2.4533417373289709E-4</v>
      </c>
      <c r="AZ41" t="str">
        <f t="shared" si="61"/>
        <v>1+0.00499373763649422i</v>
      </c>
      <c r="BA41">
        <f t="shared" si="88"/>
        <v>1.0000124686300578</v>
      </c>
      <c r="BB41">
        <f t="shared" si="89"/>
        <v>4.9936961268117214E-3</v>
      </c>
      <c r="BC41" s="42" t="str">
        <f t="shared" si="90"/>
        <v>-0.587701924386886+123.76847283913i</v>
      </c>
      <c r="BD41">
        <f t="shared" si="91"/>
        <v>41.852298566075063</v>
      </c>
      <c r="BE41" s="44">
        <f t="shared" si="92"/>
        <v>90.272061099511916</v>
      </c>
      <c r="BF41" s="42" t="str">
        <f t="shared" si="93"/>
        <v>22.6834177821424+2025.85603691307i</v>
      </c>
      <c r="BG41" s="20">
        <f t="shared" si="94"/>
        <v>66.132716047048518</v>
      </c>
      <c r="BH41" s="44">
        <f t="shared" si="95"/>
        <v>89.358488574451542</v>
      </c>
      <c r="BI41" s="42" t="str">
        <f t="shared" si="96"/>
        <v>15.9509209264965+5687.2921579363i</v>
      </c>
      <c r="BJ41" s="20">
        <f t="shared" si="97"/>
        <v>75.098144935290918</v>
      </c>
      <c r="BK41" s="44">
        <f t="shared" si="98"/>
        <v>89.839305239342096</v>
      </c>
      <c r="BL41">
        <f t="shared" si="99"/>
        <v>66.132716047048518</v>
      </c>
      <c r="BM41" s="44">
        <f t="shared" si="100"/>
        <v>89.358488574451542</v>
      </c>
    </row>
    <row r="42" spans="1:65" x14ac:dyDescent="0.35">
      <c r="B42" s="18"/>
      <c r="N42" s="9">
        <v>24</v>
      </c>
      <c r="O42" s="35">
        <f t="shared" si="62"/>
        <v>17.378008287493756</v>
      </c>
      <c r="P42" s="34" t="str">
        <f t="shared" si="50"/>
        <v>16.3709677419355</v>
      </c>
      <c r="Q42" s="4" t="str">
        <f t="shared" si="51"/>
        <v>1+0.0160613859132425i</v>
      </c>
      <c r="R42" s="4">
        <f t="shared" si="63"/>
        <v>1.0001289757413561</v>
      </c>
      <c r="S42" s="4">
        <f t="shared" si="64"/>
        <v>1.6060005018476379E-2</v>
      </c>
      <c r="T42" s="4" t="str">
        <f t="shared" si="52"/>
        <v>1+0.0000174702794144042i</v>
      </c>
      <c r="U42" s="4">
        <f t="shared" si="65"/>
        <v>1.0000000001526055</v>
      </c>
      <c r="V42" s="4">
        <f t="shared" si="66"/>
        <v>1.7470279412626825E-5</v>
      </c>
      <c r="W42" t="str">
        <f t="shared" si="53"/>
        <v>1-0.000228628911724218i</v>
      </c>
      <c r="X42" s="4">
        <f t="shared" si="67"/>
        <v>1.0000000261355892</v>
      </c>
      <c r="Y42" s="4">
        <f t="shared" si="68"/>
        <v>-2.286289077406505E-4</v>
      </c>
      <c r="Z42" t="str">
        <f t="shared" si="54"/>
        <v>0.999999999738674+0.0000450259632276688i</v>
      </c>
      <c r="AA42" s="4">
        <f t="shared" si="69"/>
        <v>1.0000000007523426</v>
      </c>
      <c r="AB42" s="4">
        <f t="shared" si="70"/>
        <v>4.5025963209007647E-5</v>
      </c>
      <c r="AC42" s="48" t="str">
        <f t="shared" si="71"/>
        <v>16.3666781803174-0.267065524117177i</v>
      </c>
      <c r="AD42" s="20">
        <f t="shared" si="72"/>
        <v>24.280367080003323</v>
      </c>
      <c r="AE42" s="44">
        <f t="shared" si="73"/>
        <v>-0.93484880238896795</v>
      </c>
      <c r="AF42" t="str">
        <f t="shared" si="74"/>
        <v>45.9520231294187</v>
      </c>
      <c r="AG42" t="str">
        <f t="shared" si="55"/>
        <v>1+0.00770747621223711i</v>
      </c>
      <c r="AH42">
        <f t="shared" si="75"/>
        <v>1.0000297021536722</v>
      </c>
      <c r="AI42">
        <f t="shared" si="76"/>
        <v>7.7073235963149691E-3</v>
      </c>
      <c r="AJ42" t="str">
        <f t="shared" si="56"/>
        <v>1+0.0000174702794144042i</v>
      </c>
      <c r="AK42">
        <f t="shared" si="77"/>
        <v>1.0000000001526055</v>
      </c>
      <c r="AL42">
        <f t="shared" si="78"/>
        <v>1.7470279412626825E-5</v>
      </c>
      <c r="AM42" t="str">
        <f t="shared" si="57"/>
        <v>1-0.0000390867429424597i</v>
      </c>
      <c r="AN42">
        <f t="shared" si="79"/>
        <v>1.0000000007638867</v>
      </c>
      <c r="AO42">
        <f t="shared" si="80"/>
        <v>-3.9086742922554474E-5</v>
      </c>
      <c r="AP42" s="42" t="str">
        <f t="shared" si="81"/>
        <v>45.9492858787674-0.355146348111899i</v>
      </c>
      <c r="AQ42">
        <f t="shared" si="82"/>
        <v>33.245834758629904</v>
      </c>
      <c r="AR42" s="44">
        <f t="shared" si="83"/>
        <v>-0.44283564553755561</v>
      </c>
      <c r="AS42" t="str">
        <f t="shared" si="58"/>
        <v>-0.000166666666666667</v>
      </c>
      <c r="AT42" t="str">
        <f t="shared" si="59"/>
        <v>1.37796828881113E-06i</v>
      </c>
      <c r="AU42">
        <f t="shared" si="84"/>
        <v>1.3779682888111299E-6</v>
      </c>
      <c r="AV42">
        <f t="shared" si="85"/>
        <v>1.5707963267948966</v>
      </c>
      <c r="AW42" t="str">
        <f t="shared" si="60"/>
        <v>1+0.000251048745784643i</v>
      </c>
      <c r="AX42">
        <f t="shared" si="86"/>
        <v>1.000000031512736</v>
      </c>
      <c r="AY42">
        <f t="shared" si="87"/>
        <v>2.5104874051048792E-4</v>
      </c>
      <c r="AZ42" t="str">
        <f t="shared" si="61"/>
        <v>1+0.00511005672871321i</v>
      </c>
      <c r="BA42">
        <f t="shared" si="88"/>
        <v>1.0000130562546525</v>
      </c>
      <c r="BB42">
        <f t="shared" si="89"/>
        <v>5.1100122503184228E-3</v>
      </c>
      <c r="BC42" s="42" t="str">
        <f t="shared" si="90"/>
        <v>-0.587701922719805+120.951165079732i</v>
      </c>
      <c r="BD42">
        <f t="shared" si="91"/>
        <v>41.652303657733043</v>
      </c>
      <c r="BE42" s="44">
        <f t="shared" si="92"/>
        <v>90.278398101920075</v>
      </c>
      <c r="BF42" s="42" t="str">
        <f t="shared" si="93"/>
        <v>22.683158059493+1979.72574931643i</v>
      </c>
      <c r="BG42" s="20">
        <f t="shared" si="94"/>
        <v>65.932670737736345</v>
      </c>
      <c r="BH42" s="44">
        <f t="shared" si="95"/>
        <v>89.343549299531105</v>
      </c>
      <c r="BI42" s="42" t="str">
        <f t="shared" si="96"/>
        <v>15.9508809193927+5557.82838181023i</v>
      </c>
      <c r="BJ42" s="20">
        <f t="shared" si="97"/>
        <v>74.898138416362954</v>
      </c>
      <c r="BK42" s="44">
        <f t="shared" si="98"/>
        <v>89.835562456382519</v>
      </c>
      <c r="BL42">
        <f t="shared" si="99"/>
        <v>65.932670737736345</v>
      </c>
      <c r="BM42" s="44">
        <f t="shared" si="100"/>
        <v>89.343549299531105</v>
      </c>
    </row>
    <row r="43" spans="1:65" x14ac:dyDescent="0.35">
      <c r="B43" s="1"/>
      <c r="N43" s="9">
        <v>25</v>
      </c>
      <c r="O43" s="35">
        <f t="shared" si="62"/>
        <v>17.782794100389236</v>
      </c>
      <c r="P43" s="34" t="str">
        <f t="shared" si="50"/>
        <v>16.3709677419355</v>
      </c>
      <c r="Q43" s="4" t="str">
        <f t="shared" si="51"/>
        <v>1+0.0164355036513378i</v>
      </c>
      <c r="R43" s="4">
        <f t="shared" si="63"/>
        <v>1.0001350537703761</v>
      </c>
      <c r="S43" s="4">
        <f t="shared" si="64"/>
        <v>1.6434024006728491E-2</v>
      </c>
      <c r="T43" s="4" t="str">
        <f t="shared" si="52"/>
        <v>1+0.0000178772144979464i</v>
      </c>
      <c r="U43" s="4">
        <f t="shared" si="65"/>
        <v>1.0000000001597975</v>
      </c>
      <c r="V43" s="4">
        <f t="shared" si="66"/>
        <v>1.7877214496041912E-5</v>
      </c>
      <c r="W43" t="str">
        <f t="shared" si="53"/>
        <v>1-0.000233954363200166i</v>
      </c>
      <c r="X43" s="4">
        <f t="shared" si="67"/>
        <v>1.0000000273673217</v>
      </c>
      <c r="Y43" s="4">
        <f t="shared" si="68"/>
        <v>-2.3395435893169654E-4</v>
      </c>
      <c r="Z43" t="str">
        <f t="shared" si="54"/>
        <v>0.999999999726358+0.0000460747526415641i</v>
      </c>
      <c r="AA43" s="4">
        <f t="shared" si="69"/>
        <v>1.0000000007877994</v>
      </c>
      <c r="AB43" s="4">
        <f t="shared" si="70"/>
        <v>4.6074752621568325E-5</v>
      </c>
      <c r="AC43" s="48" t="str">
        <f t="shared" si="71"/>
        <v>16.3664760741006-0.273282957591224i</v>
      </c>
      <c r="AD43" s="20">
        <f t="shared" si="72"/>
        <v>24.280314304335736</v>
      </c>
      <c r="AE43" s="44">
        <f t="shared" si="73"/>
        <v>-0.95662041329494385</v>
      </c>
      <c r="AF43" t="str">
        <f t="shared" si="74"/>
        <v>45.9520231294187</v>
      </c>
      <c r="AG43" t="str">
        <f t="shared" si="55"/>
        <v>1+0.00788700639615281i</v>
      </c>
      <c r="AH43">
        <f t="shared" si="75"/>
        <v>1.0000311019512809</v>
      </c>
      <c r="AI43">
        <f t="shared" si="76"/>
        <v>7.8868428655206359E-3</v>
      </c>
      <c r="AJ43" t="str">
        <f t="shared" si="56"/>
        <v>1+0.0000178772144979464i</v>
      </c>
      <c r="AK43">
        <f t="shared" si="77"/>
        <v>1.0000000001597975</v>
      </c>
      <c r="AL43">
        <f t="shared" si="78"/>
        <v>1.7877214496041912E-5</v>
      </c>
      <c r="AM43" t="str">
        <f t="shared" si="57"/>
        <v>1-0.000039997190144098i</v>
      </c>
      <c r="AN43">
        <f t="shared" si="79"/>
        <v>1.0000000007998875</v>
      </c>
      <c r="AO43">
        <f t="shared" si="80"/>
        <v>-3.9997190122769162E-5</v>
      </c>
      <c r="AP43" s="42" t="str">
        <f t="shared" si="81"/>
        <v>45.9491568841427-0.363417751875576i</v>
      </c>
      <c r="AQ43">
        <f t="shared" si="82"/>
        <v>33.245822600887173</v>
      </c>
      <c r="AR43" s="44">
        <f t="shared" si="83"/>
        <v>-0.45315019112353977</v>
      </c>
      <c r="AS43" t="str">
        <f t="shared" si="58"/>
        <v>-0.000166666666666667</v>
      </c>
      <c r="AT43" t="str">
        <f t="shared" si="59"/>
        <v>1.41006529352553E-06i</v>
      </c>
      <c r="AU43">
        <f t="shared" si="84"/>
        <v>1.41006529352553E-6</v>
      </c>
      <c r="AV43">
        <f t="shared" si="85"/>
        <v>1.5707963267948966</v>
      </c>
      <c r="AW43" t="str">
        <f t="shared" si="60"/>
        <v>1+0.000256896422282296i</v>
      </c>
      <c r="AX43">
        <f t="shared" si="86"/>
        <v>1.0000000329978853</v>
      </c>
      <c r="AY43">
        <f t="shared" si="87"/>
        <v>2.56896416630937E-4</v>
      </c>
      <c r="AZ43" t="str">
        <f t="shared" si="61"/>
        <v>1+0.00522908524064931i</v>
      </c>
      <c r="BA43">
        <f t="shared" si="88"/>
        <v>1.000013671572771</v>
      </c>
      <c r="BB43">
        <f t="shared" si="89"/>
        <v>5.2290375812258198E-3</v>
      </c>
      <c r="BC43" s="42" t="str">
        <f t="shared" si="90"/>
        <v>-0.587701920974151+118.197987229037i</v>
      </c>
      <c r="BD43">
        <f t="shared" si="91"/>
        <v>41.452308989347046</v>
      </c>
      <c r="BE43" s="44">
        <f t="shared" si="92"/>
        <v>90.284882703874544</v>
      </c>
      <c r="BF43" s="42" t="str">
        <f t="shared" si="93"/>
        <v>22.6828861029546+1934.64513891003i</v>
      </c>
      <c r="BG43" s="20">
        <f t="shared" si="94"/>
        <v>65.732623293682778</v>
      </c>
      <c r="BH43" s="44">
        <f t="shared" si="95"/>
        <v>89.328262290579616</v>
      </c>
      <c r="BI43" s="42" t="str">
        <f t="shared" si="96"/>
        <v>15.9508390270414+5431.31143988781i</v>
      </c>
      <c r="BJ43" s="20">
        <f t="shared" si="97"/>
        <v>74.698131590234198</v>
      </c>
      <c r="BK43" s="44">
        <f t="shared" si="98"/>
        <v>89.831732512751017</v>
      </c>
      <c r="BL43">
        <f t="shared" si="99"/>
        <v>65.732623293682778</v>
      </c>
      <c r="BM43" s="44">
        <f t="shared" si="100"/>
        <v>89.328262290579616</v>
      </c>
    </row>
    <row r="44" spans="1:65" x14ac:dyDescent="0.35">
      <c r="A44" t="s">
        <v>209</v>
      </c>
      <c r="B44" s="1">
        <f>(Isl*(Rsl_int+R_sl)*Fsw)</f>
        <v>85978.5</v>
      </c>
      <c r="C44" t="s">
        <v>147</v>
      </c>
      <c r="E44" t="s">
        <v>210</v>
      </c>
      <c r="N44" s="9">
        <v>26</v>
      </c>
      <c r="O44" s="35">
        <f t="shared" si="62"/>
        <v>18.197008586099841</v>
      </c>
      <c r="P44" s="34" t="str">
        <f t="shared" si="50"/>
        <v>16.3709677419355</v>
      </c>
      <c r="Q44" s="4" t="str">
        <f t="shared" si="51"/>
        <v>1+0.0168183357110188i</v>
      </c>
      <c r="R44" s="4">
        <f t="shared" si="63"/>
        <v>1.0001414182084896</v>
      </c>
      <c r="S44" s="4">
        <f t="shared" si="64"/>
        <v>1.6816750255362622E-2</v>
      </c>
      <c r="T44" s="4" t="str">
        <f t="shared" si="52"/>
        <v>1+0.0000182936283172485i</v>
      </c>
      <c r="U44" s="4">
        <f t="shared" si="65"/>
        <v>1.0000000001673284</v>
      </c>
      <c r="V44" s="4">
        <f t="shared" si="66"/>
        <v>1.8293628315207804E-5</v>
      </c>
      <c r="W44" t="str">
        <f t="shared" si="53"/>
        <v>1-0.000239403860376236i</v>
      </c>
      <c r="X44" s="4">
        <f t="shared" si="67"/>
        <v>1.0000000286571038</v>
      </c>
      <c r="Y44" s="4">
        <f t="shared" si="68"/>
        <v>-2.3940385580248859E-4</v>
      </c>
      <c r="Z44" t="str">
        <f t="shared" si="54"/>
        <v>0.999999999713461+0.0000471479714991818i</v>
      </c>
      <c r="AA44" s="4">
        <f t="shared" si="69"/>
        <v>1.0000000008249266</v>
      </c>
      <c r="AB44" s="4">
        <f t="shared" si="70"/>
        <v>4.7147971477755968E-5</v>
      </c>
      <c r="AC44" s="48" t="str">
        <f t="shared" si="71"/>
        <v>16.366264448177-0.279644976216811i</v>
      </c>
      <c r="AD44" s="20">
        <f t="shared" si="72"/>
        <v>24.280259042115262</v>
      </c>
      <c r="AE44" s="44">
        <f t="shared" si="73"/>
        <v>-0.97889887737830628</v>
      </c>
      <c r="AF44" t="str">
        <f t="shared" si="74"/>
        <v>45.9520231294187</v>
      </c>
      <c r="AG44" t="str">
        <f t="shared" si="55"/>
        <v>1+0.00807071837525666i</v>
      </c>
      <c r="AH44">
        <f t="shared" si="75"/>
        <v>1.0000325677172184</v>
      </c>
      <c r="AI44">
        <f t="shared" si="76"/>
        <v>8.0705431493354896E-3</v>
      </c>
      <c r="AJ44" t="str">
        <f t="shared" si="56"/>
        <v>1+0.0000182936283172485i</v>
      </c>
      <c r="AK44">
        <f t="shared" si="77"/>
        <v>1.0000000001673284</v>
      </c>
      <c r="AL44">
        <f t="shared" si="78"/>
        <v>1.8293628315207804E-5</v>
      </c>
      <c r="AM44" t="str">
        <f t="shared" si="57"/>
        <v>1-0.0000409288443853764i</v>
      </c>
      <c r="AN44">
        <f t="shared" si="79"/>
        <v>1.0000000008375851</v>
      </c>
      <c r="AO44">
        <f t="shared" si="80"/>
        <v>-4.0928844362522133E-5</v>
      </c>
      <c r="AP44" s="42" t="str">
        <f t="shared" si="81"/>
        <v>45.9490218109626-0.371881748627107i</v>
      </c>
      <c r="AQ44">
        <f t="shared" si="82"/>
        <v>33.245809870204127</v>
      </c>
      <c r="AR44" s="44">
        <f t="shared" si="83"/>
        <v>-0.46370496318302118</v>
      </c>
      <c r="AS44" t="str">
        <f t="shared" si="58"/>
        <v>-0.000166666666666667</v>
      </c>
      <c r="AT44" t="str">
        <f t="shared" si="59"/>
        <v>1.44290993352298E-06i</v>
      </c>
      <c r="AU44">
        <f t="shared" si="84"/>
        <v>1.4429099335229801E-6</v>
      </c>
      <c r="AV44">
        <f t="shared" si="85"/>
        <v>1.5707963267948966</v>
      </c>
      <c r="AW44" t="str">
        <f t="shared" si="60"/>
        <v>1+0.000262880308663472i</v>
      </c>
      <c r="AX44">
        <f t="shared" si="86"/>
        <v>1.0000000345530278</v>
      </c>
      <c r="AY44">
        <f t="shared" si="87"/>
        <v>2.6288030260793177E-4</v>
      </c>
      <c r="AZ44" t="str">
        <f t="shared" si="61"/>
        <v>1+0.00535088628279517i</v>
      </c>
      <c r="BA44">
        <f t="shared" si="88"/>
        <v>1.0000143158895334</v>
      </c>
      <c r="BB44">
        <f t="shared" si="89"/>
        <v>5.350835214842308E-3</v>
      </c>
      <c r="BC44" s="42" t="str">
        <f t="shared" si="90"/>
        <v>-0.587701919146231+115.507479515707i</v>
      </c>
      <c r="BD44">
        <f t="shared" si="91"/>
        <v>41.252314572225274</v>
      </c>
      <c r="BE44" s="44">
        <f t="shared" si="92"/>
        <v>90.291518342823878</v>
      </c>
      <c r="BF44" s="42" t="str">
        <f t="shared" si="93"/>
        <v>22.6826013365853+1890.59030338565i</v>
      </c>
      <c r="BG44" s="20">
        <f t="shared" si="94"/>
        <v>65.532573614340535</v>
      </c>
      <c r="BH44" s="44">
        <f t="shared" si="95"/>
        <v>89.312619465445579</v>
      </c>
      <c r="BI44" s="42" t="str">
        <f t="shared" si="96"/>
        <v>15.9507951606161+5307.6742512139i</v>
      </c>
      <c r="BJ44" s="20">
        <f t="shared" si="97"/>
        <v>74.4981244424294</v>
      </c>
      <c r="BK44" s="44">
        <f t="shared" si="98"/>
        <v>89.827813379640872</v>
      </c>
      <c r="BL44">
        <f t="shared" si="99"/>
        <v>65.532573614340535</v>
      </c>
      <c r="BM44" s="44">
        <f t="shared" si="100"/>
        <v>89.312619465445579</v>
      </c>
    </row>
    <row r="45" spans="1:65" x14ac:dyDescent="0.35">
      <c r="A45" t="s">
        <v>212</v>
      </c>
      <c r="B45" s="1">
        <f>(R_cs*VIN_var*Acs)/Lm</f>
        <v>31111.111111111113</v>
      </c>
      <c r="C45" t="s">
        <v>147</v>
      </c>
      <c r="E45" t="s">
        <v>211</v>
      </c>
      <c r="N45" s="9">
        <v>27</v>
      </c>
      <c r="O45" s="35">
        <f t="shared" si="62"/>
        <v>18.62087136662868</v>
      </c>
      <c r="P45" s="34" t="str">
        <f t="shared" si="50"/>
        <v>16.3709677419355</v>
      </c>
      <c r="Q45" s="4" t="str">
        <f t="shared" si="51"/>
        <v>1+0.0172100850749106i</v>
      </c>
      <c r="R45" s="4">
        <f t="shared" si="63"/>
        <v>1.000148082549922</v>
      </c>
      <c r="S45" s="4">
        <f t="shared" si="64"/>
        <v>1.7208386242152089E-2</v>
      </c>
      <c r="T45" s="4" t="str">
        <f t="shared" si="52"/>
        <v>1+0.0000187197416604291i</v>
      </c>
      <c r="U45" s="4">
        <f t="shared" si="65"/>
        <v>1.0000000001752145</v>
      </c>
      <c r="V45" s="4">
        <f t="shared" si="66"/>
        <v>1.8719741658242455E-5</v>
      </c>
      <c r="W45" t="str">
        <f t="shared" si="53"/>
        <v>1-0.000244980292647963i</v>
      </c>
      <c r="X45" s="4">
        <f t="shared" si="67"/>
        <v>1.0000000300076715</v>
      </c>
      <c r="Y45" s="4">
        <f t="shared" si="68"/>
        <v>-2.4498028774710436E-4</v>
      </c>
      <c r="Z45" t="str">
        <f t="shared" si="54"/>
        <v>0.999999999699957+0.0000482461888353654i</v>
      </c>
      <c r="AA45" s="4">
        <f t="shared" si="69"/>
        <v>1.0000000008638041</v>
      </c>
      <c r="AB45" s="4">
        <f t="shared" si="70"/>
        <v>4.8246188812407195E-5</v>
      </c>
      <c r="AC45" s="48" t="str">
        <f t="shared" si="71"/>
        <v>16.3660428544043-0.286154930841262i</v>
      </c>
      <c r="AD45" s="20">
        <f t="shared" si="72"/>
        <v>24.280201176220523</v>
      </c>
      <c r="AE45" s="44">
        <f t="shared" si="73"/>
        <v>-1.0016959812640636</v>
      </c>
      <c r="AF45" t="str">
        <f t="shared" si="74"/>
        <v>45.9520231294187</v>
      </c>
      <c r="AG45" t="str">
        <f t="shared" si="55"/>
        <v>1+0.00825870955607165i</v>
      </c>
      <c r="AH45">
        <f t="shared" si="75"/>
        <v>1.0000341025602735</v>
      </c>
      <c r="AI45">
        <f t="shared" si="76"/>
        <v>8.2585217984601448E-3</v>
      </c>
      <c r="AJ45" t="str">
        <f t="shared" si="56"/>
        <v>1+0.0000187197416604291i</v>
      </c>
      <c r="AK45">
        <f t="shared" si="77"/>
        <v>1.0000000001752145</v>
      </c>
      <c r="AL45">
        <f t="shared" si="78"/>
        <v>1.8719741658242455E-5</v>
      </c>
      <c r="AM45" t="str">
        <f t="shared" si="57"/>
        <v>1-0.0000418821996417051i</v>
      </c>
      <c r="AN45">
        <f t="shared" si="79"/>
        <v>1.0000000008770593</v>
      </c>
      <c r="AO45">
        <f t="shared" si="80"/>
        <v>-4.1882199617216321E-5</v>
      </c>
      <c r="AP45" s="42" t="str">
        <f t="shared" si="81"/>
        <v>45.9488803728285-0.380542819230762i</v>
      </c>
      <c r="AQ45">
        <f t="shared" si="82"/>
        <v>33.2457965395825</v>
      </c>
      <c r="AR45" s="44">
        <f t="shared" si="83"/>
        <v>-0.4745055551527555</v>
      </c>
      <c r="AS45" t="str">
        <f t="shared" si="58"/>
        <v>-0.000166666666666667</v>
      </c>
      <c r="AT45" t="str">
        <f t="shared" si="59"/>
        <v>1.47651962346635E-06i</v>
      </c>
      <c r="AU45">
        <f t="shared" si="84"/>
        <v>1.47651962346635E-6</v>
      </c>
      <c r="AV45">
        <f t="shared" si="85"/>
        <v>1.5707963267948966</v>
      </c>
      <c r="AW45" t="str">
        <f t="shared" si="60"/>
        <v>1+0.000269003577663932i</v>
      </c>
      <c r="AX45">
        <f t="shared" si="86"/>
        <v>1.0000000361814618</v>
      </c>
      <c r="AY45">
        <f t="shared" si="87"/>
        <v>2.6900357117530375E-4</v>
      </c>
      <c r="AZ45" t="str">
        <f t="shared" si="61"/>
        <v>1+0.00547552443567551i</v>
      </c>
      <c r="BA45">
        <f t="shared" si="88"/>
        <v>1.0000149905715643</v>
      </c>
      <c r="BB45">
        <f t="shared" si="89"/>
        <v>5.4754697154224419E-3</v>
      </c>
      <c r="BC45" s="42" t="str">
        <f t="shared" si="90"/>
        <v>-0.587701917232166+112.878215396938i</v>
      </c>
      <c r="BD45">
        <f t="shared" si="91"/>
        <v>41.052320418208694</v>
      </c>
      <c r="BE45" s="44">
        <f t="shared" si="92"/>
        <v>90.298308536243098</v>
      </c>
      <c r="BF45" s="42" t="str">
        <f t="shared" si="93"/>
        <v>22.6823031573587+1847.53788431645i</v>
      </c>
      <c r="BG45" s="20">
        <f t="shared" si="94"/>
        <v>65.332521594429224</v>
      </c>
      <c r="BH45" s="44">
        <f t="shared" si="95"/>
        <v>89.296612554979049</v>
      </c>
      <c r="BI45" s="42" t="str">
        <f t="shared" si="96"/>
        <v>15.9507492271052+5186.85126171672i</v>
      </c>
      <c r="BJ45" s="20">
        <f t="shared" si="97"/>
        <v>74.298116957791194</v>
      </c>
      <c r="BK45" s="44">
        <f t="shared" si="98"/>
        <v>89.823802981090353</v>
      </c>
      <c r="BL45">
        <f t="shared" si="99"/>
        <v>65.332521594429224</v>
      </c>
      <c r="BM45" s="44">
        <f t="shared" si="100"/>
        <v>89.296612554979049</v>
      </c>
    </row>
    <row r="46" spans="1:65" x14ac:dyDescent="0.35">
      <c r="B46" s="1"/>
      <c r="N46" s="9">
        <v>28</v>
      </c>
      <c r="O46" s="35">
        <f t="shared" si="62"/>
        <v>19.054607179632477</v>
      </c>
      <c r="P46" s="34" t="str">
        <f t="shared" si="50"/>
        <v>16.3709677419355</v>
      </c>
      <c r="Q46" s="4" t="str">
        <f t="shared" si="51"/>
        <v>1+0.0176109594537116i</v>
      </c>
      <c r="R46" s="4">
        <f t="shared" si="63"/>
        <v>1.0001550609244949</v>
      </c>
      <c r="S46" s="4">
        <f t="shared" si="64"/>
        <v>1.7609139136856456E-2</v>
      </c>
      <c r="T46" s="4" t="str">
        <f t="shared" si="52"/>
        <v>1+0.0000191557804584232i</v>
      </c>
      <c r="U46" s="4">
        <f t="shared" si="65"/>
        <v>1.0000000001834719</v>
      </c>
      <c r="V46" s="4">
        <f t="shared" si="66"/>
        <v>1.9155780456080166E-5</v>
      </c>
      <c r="W46" t="str">
        <f t="shared" si="53"/>
        <v>1-0.000250686616713548i</v>
      </c>
      <c r="X46" s="4">
        <f t="shared" si="67"/>
        <v>1.0000000314218893</v>
      </c>
      <c r="Y46" s="4">
        <f t="shared" si="68"/>
        <v>-2.5068661146218331E-4</v>
      </c>
      <c r="Z46" t="str">
        <f t="shared" si="54"/>
        <v>0.999999999685817+0.0000493699869394834i</v>
      </c>
      <c r="AA46" s="4">
        <f t="shared" si="69"/>
        <v>1.0000000009045147</v>
      </c>
      <c r="AB46" s="4">
        <f t="shared" si="70"/>
        <v>4.9369986914883219E-5</v>
      </c>
      <c r="AC46" s="48" t="str">
        <f t="shared" si="71"/>
        <v>16.3658108235691-0.292816249150562i</v>
      </c>
      <c r="AD46" s="20">
        <f t="shared" si="72"/>
        <v>24.280140584016902</v>
      </c>
      <c r="AE46" s="44">
        <f t="shared" si="73"/>
        <v>-1.0250237847291575</v>
      </c>
      <c r="AF46" t="str">
        <f t="shared" si="74"/>
        <v>45.9520231294187</v>
      </c>
      <c r="AG46" t="str">
        <f t="shared" si="55"/>
        <v>1+0.00845107961401022i</v>
      </c>
      <c r="AH46">
        <f t="shared" si="75"/>
        <v>1.0000357097357286</v>
      </c>
      <c r="AI46">
        <f t="shared" si="76"/>
        <v>8.4508784284927849E-3</v>
      </c>
      <c r="AJ46" t="str">
        <f t="shared" si="56"/>
        <v>1+0.0000191557804584232i</v>
      </c>
      <c r="AK46">
        <f t="shared" si="77"/>
        <v>1.0000000001834719</v>
      </c>
      <c r="AL46">
        <f t="shared" si="78"/>
        <v>1.9155780456080166E-5</v>
      </c>
      <c r="AM46" t="str">
        <f t="shared" si="57"/>
        <v>1-0.0000428577613946603i</v>
      </c>
      <c r="AN46">
        <f t="shared" si="79"/>
        <v>1.0000000009183938</v>
      </c>
      <c r="AO46">
        <f t="shared" si="80"/>
        <v>-4.2857761368420099E-5</v>
      </c>
      <c r="AP46" s="42" t="str">
        <f t="shared" si="81"/>
        <v>45.9487322698511-0.389405548551548i</v>
      </c>
      <c r="AQ46">
        <f t="shared" si="82"/>
        <v>33.245782580751872</v>
      </c>
      <c r="AR46" s="44">
        <f t="shared" si="83"/>
        <v>-0.48555769060316417</v>
      </c>
      <c r="AS46" t="str">
        <f t="shared" si="58"/>
        <v>-0.000166666666666667</v>
      </c>
      <c r="AT46" t="str">
        <f t="shared" si="59"/>
        <v>1.51091218365814E-06i</v>
      </c>
      <c r="AU46">
        <f t="shared" si="84"/>
        <v>1.51091218365814E-6</v>
      </c>
      <c r="AV46">
        <f t="shared" si="85"/>
        <v>1.5707963267948966</v>
      </c>
      <c r="AW46" t="str">
        <f t="shared" si="60"/>
        <v>1+0.000275269475921953i</v>
      </c>
      <c r="AX46">
        <f t="shared" si="86"/>
        <v>1.0000000378866414</v>
      </c>
      <c r="AY46">
        <f t="shared" si="87"/>
        <v>2.7526946896926259E-4</v>
      </c>
      <c r="AZ46" t="str">
        <f t="shared" si="61"/>
        <v>1+0.00560306578408878i</v>
      </c>
      <c r="BA46">
        <f t="shared" si="88"/>
        <v>1.0000156970498917</v>
      </c>
      <c r="BB46">
        <f t="shared" si="89"/>
        <v>5.6030071503309371E-3</v>
      </c>
      <c r="BC46" s="42" t="str">
        <f t="shared" si="90"/>
        <v>-0.58770191522789+110.308800802091i</v>
      </c>
      <c r="BD46">
        <f t="shared" si="91"/>
        <v>40.85232653969625</v>
      </c>
      <c r="BE46" s="44">
        <f t="shared" si="92"/>
        <v>90.305256883494835</v>
      </c>
      <c r="BF46" s="42" t="str">
        <f t="shared" si="93"/>
        <v>22.6819909338959+1805.46505477222i</v>
      </c>
      <c r="BG46" s="20">
        <f t="shared" si="94"/>
        <v>65.132467123713127</v>
      </c>
      <c r="BH46" s="44">
        <f t="shared" si="95"/>
        <v>89.280233098765692</v>
      </c>
      <c r="BI46" s="42" t="str">
        <f t="shared" si="96"/>
        <v>15.9507011291166+5068.7784094503i</v>
      </c>
      <c r="BJ46" s="20">
        <f t="shared" si="97"/>
        <v>74.098109120448129</v>
      </c>
      <c r="BK46" s="44">
        <f t="shared" si="98"/>
        <v>89.819699192891676</v>
      </c>
      <c r="BL46">
        <f t="shared" si="99"/>
        <v>65.132467123713127</v>
      </c>
      <c r="BM46" s="44">
        <f t="shared" si="100"/>
        <v>89.280233098765692</v>
      </c>
    </row>
    <row r="47" spans="1:65" x14ac:dyDescent="0.35">
      <c r="A47" t="s">
        <v>207</v>
      </c>
      <c r="B47" s="1">
        <f>2*PI()*Fsw</f>
        <v>13508848.410436111</v>
      </c>
      <c r="C47" t="s">
        <v>213</v>
      </c>
      <c r="N47" s="9">
        <v>29</v>
      </c>
      <c r="O47" s="35">
        <f t="shared" si="62"/>
        <v>19.498445997580465</v>
      </c>
      <c r="P47" s="34" t="str">
        <f t="shared" si="50"/>
        <v>16.3709677419355</v>
      </c>
      <c r="Q47" s="4" t="str">
        <f t="shared" si="51"/>
        <v>1+0.0180211713963237i</v>
      </c>
      <c r="R47" s="4">
        <f t="shared" si="63"/>
        <v>1.0001623681275433</v>
      </c>
      <c r="S47" s="4">
        <f t="shared" si="64"/>
        <v>1.8019220908773184E-2</v>
      </c>
      <c r="T47" s="4" t="str">
        <f t="shared" si="52"/>
        <v>1+0.0000196019759047731i</v>
      </c>
      <c r="U47" s="4">
        <f t="shared" si="65"/>
        <v>1.0000000001921188</v>
      </c>
      <c r="V47" s="4">
        <f t="shared" si="66"/>
        <v>1.9601975902262495E-5</v>
      </c>
      <c r="W47" t="str">
        <f t="shared" si="53"/>
        <v>1-0.000256525858141546i</v>
      </c>
      <c r="X47" s="4">
        <f t="shared" si="67"/>
        <v>1.0000000329027574</v>
      </c>
      <c r="Y47" s="4">
        <f t="shared" si="68"/>
        <v>-2.5652585251460743E-4</v>
      </c>
      <c r="Z47" t="str">
        <f t="shared" si="54"/>
        <v>0.99999999967101+0.0000505199616641658i</v>
      </c>
      <c r="AA47" s="4">
        <f t="shared" si="69"/>
        <v>1.0000000009471433</v>
      </c>
      <c r="AB47" s="4">
        <f t="shared" si="70"/>
        <v>5.0519961637806225E-5</v>
      </c>
      <c r="AC47" s="48" t="str">
        <f t="shared" si="71"/>
        <v>16.3655678643981-0.299632437372575i</v>
      </c>
      <c r="AD47" s="20">
        <f t="shared" si="72"/>
        <v>24.280077137097077</v>
      </c>
      <c r="AE47" s="44">
        <f t="shared" si="73"/>
        <v>-1.0488946269653685</v>
      </c>
      <c r="AF47" t="str">
        <f t="shared" si="74"/>
        <v>45.9520231294187</v>
      </c>
      <c r="AG47" t="str">
        <f t="shared" si="55"/>
        <v>1+0.00864793054622341i</v>
      </c>
      <c r="AH47">
        <f t="shared" si="75"/>
        <v>1.0000373926522608</v>
      </c>
      <c r="AI47">
        <f t="shared" si="76"/>
        <v>8.6477149724928874E-3</v>
      </c>
      <c r="AJ47" t="str">
        <f t="shared" si="56"/>
        <v>1+0.0000196019759047731i</v>
      </c>
      <c r="AK47">
        <f t="shared" si="77"/>
        <v>1.0000000001921188</v>
      </c>
      <c r="AL47">
        <f t="shared" si="78"/>
        <v>1.9601975902262495E-5</v>
      </c>
      <c r="AM47" t="str">
        <f t="shared" si="57"/>
        <v>1-0.0000438560468999967i</v>
      </c>
      <c r="AN47">
        <f t="shared" si="79"/>
        <v>1.0000000009616763</v>
      </c>
      <c r="AO47">
        <f t="shared" si="80"/>
        <v>-4.3856046871879812E-5</v>
      </c>
      <c r="AP47" s="42" t="str">
        <f t="shared" si="81"/>
        <v>45.948577188016-0.398474627851103i</v>
      </c>
      <c r="AQ47">
        <f t="shared" si="82"/>
        <v>33.245767964109945</v>
      </c>
      <c r="AR47" s="44">
        <f t="shared" si="83"/>
        <v>-0.49686722625850327</v>
      </c>
      <c r="AS47" t="str">
        <f t="shared" si="58"/>
        <v>-0.000166666666666667</v>
      </c>
      <c r="AT47" t="str">
        <f t="shared" si="59"/>
        <v>1.54610584948898E-06i</v>
      </c>
      <c r="AU47">
        <f t="shared" si="84"/>
        <v>1.5461058494889801E-6</v>
      </c>
      <c r="AV47">
        <f t="shared" si="85"/>
        <v>1.5707963267948966</v>
      </c>
      <c r="AW47" t="str">
        <f t="shared" si="60"/>
        <v>1+0.000281681325699731i</v>
      </c>
      <c r="AX47">
        <f t="shared" si="86"/>
        <v>1.0000000396721838</v>
      </c>
      <c r="AY47">
        <f t="shared" si="87"/>
        <v>2.8168131824978898E-4</v>
      </c>
      <c r="AZ47" t="str">
        <f t="shared" si="61"/>
        <v>1+0.00573357795214613i</v>
      </c>
      <c r="BA47">
        <f t="shared" si="88"/>
        <v>1.000016436822982</v>
      </c>
      <c r="BB47">
        <f t="shared" si="89"/>
        <v>5.7335151249984359E-3</v>
      </c>
      <c r="BC47" s="42" t="str">
        <f t="shared" si="90"/>
        <v>-0.58770191312916+107.79787339354i</v>
      </c>
      <c r="BD47">
        <f t="shared" si="91"/>
        <v>40.652332949671433</v>
      </c>
      <c r="BE47" s="44">
        <f t="shared" si="92"/>
        <v>90.312367067733433</v>
      </c>
      <c r="BF47" s="42" t="str">
        <f t="shared" si="93"/>
        <v>22.6816640051348+1764.34950721645i</v>
      </c>
      <c r="BG47" s="20">
        <f t="shared" si="94"/>
        <v>64.932410086768499</v>
      </c>
      <c r="BH47" s="44">
        <f t="shared" si="95"/>
        <v>89.263472440768069</v>
      </c>
      <c r="BI47" s="42" t="str">
        <f t="shared" si="96"/>
        <v>15.9506507646713+4953.39309062817i</v>
      </c>
      <c r="BJ47" s="20">
        <f t="shared" si="97"/>
        <v>73.898100913781377</v>
      </c>
      <c r="BK47" s="44">
        <f t="shared" si="98"/>
        <v>89.815499841474931</v>
      </c>
      <c r="BL47">
        <f t="shared" si="99"/>
        <v>64.932410086768499</v>
      </c>
      <c r="BM47" s="44">
        <f t="shared" si="100"/>
        <v>89.263472440768069</v>
      </c>
    </row>
    <row r="48" spans="1:65" x14ac:dyDescent="0.35">
      <c r="A48" t="s">
        <v>208</v>
      </c>
      <c r="B48" s="1">
        <f>1/(PI()*(((1-DC_VIN_Var)*(1+(B44/B45)))-0.5))</f>
        <v>0.35902816832381534</v>
      </c>
      <c r="N48" s="9">
        <v>30</v>
      </c>
      <c r="O48" s="35">
        <f t="shared" si="62"/>
        <v>19.952623149688804</v>
      </c>
      <c r="P48" s="34" t="str">
        <f t="shared" si="50"/>
        <v>16.3709677419355</v>
      </c>
      <c r="Q48" s="4" t="str">
        <f t="shared" si="51"/>
        <v>1+0.0184409384025484i</v>
      </c>
      <c r="R48" s="4">
        <f t="shared" si="63"/>
        <v>1.0001700196512424</v>
      </c>
      <c r="S48" s="4">
        <f t="shared" si="64"/>
        <v>1.8438848436671099E-2</v>
      </c>
      <c r="T48" s="4" t="str">
        <f t="shared" si="52"/>
        <v>1+0.0000200585645782106i</v>
      </c>
      <c r="U48" s="4">
        <f t="shared" si="65"/>
        <v>1.0000000002011729</v>
      </c>
      <c r="V48" s="4">
        <f t="shared" si="66"/>
        <v>2.0058564575520439E-5</v>
      </c>
      <c r="W48" t="str">
        <f t="shared" si="53"/>
        <v>1-0.000262501112975051i</v>
      </c>
      <c r="X48" s="4">
        <f t="shared" si="67"/>
        <v>1.0000000344534166</v>
      </c>
      <c r="Y48" s="4">
        <f t="shared" si="68"/>
        <v>-2.6250110694567768E-4</v>
      </c>
      <c r="Z48" t="str">
        <f t="shared" si="54"/>
        <v>0.999999999655505+0.0000516967227412333i</v>
      </c>
      <c r="AA48" s="4">
        <f t="shared" si="69"/>
        <v>1.0000000009917804</v>
      </c>
      <c r="AB48" s="4">
        <f t="shared" si="70"/>
        <v>5.1696722712988516E-5</v>
      </c>
      <c r="AC48" s="48" t="str">
        <f t="shared" si="71"/>
        <v>16.3653134625241-0.306607082013778i</v>
      </c>
      <c r="AD48" s="20">
        <f t="shared" si="72"/>
        <v>24.280010701009903</v>
      </c>
      <c r="AE48" s="44">
        <f t="shared" si="73"/>
        <v>-1.0733211329809933</v>
      </c>
      <c r="AF48" t="str">
        <f t="shared" si="74"/>
        <v>45.9520231294187</v>
      </c>
      <c r="AG48" t="str">
        <f t="shared" si="55"/>
        <v>1+0.00884936672568111i</v>
      </c>
      <c r="AH48">
        <f t="shared" si="75"/>
        <v>1.0000391548791705</v>
      </c>
      <c r="AI48">
        <f t="shared" si="76"/>
        <v>8.8491357347556098E-3</v>
      </c>
      <c r="AJ48" t="str">
        <f t="shared" si="56"/>
        <v>1+0.0000200585645782106i</v>
      </c>
      <c r="AK48">
        <f t="shared" si="77"/>
        <v>1.0000000002011729</v>
      </c>
      <c r="AL48">
        <f t="shared" si="78"/>
        <v>2.0058564575520439E-5</v>
      </c>
      <c r="AM48" t="str">
        <f t="shared" si="57"/>
        <v>1-0.0000448775854619027i</v>
      </c>
      <c r="AN48">
        <f t="shared" si="79"/>
        <v>1.0000000010069987</v>
      </c>
      <c r="AO48">
        <f t="shared" si="80"/>
        <v>-4.4877585431774914E-5</v>
      </c>
      <c r="AP48" s="42" t="str">
        <f t="shared" si="81"/>
        <v>45.9484147985179-0.407754857237495i</v>
      </c>
      <c r="AQ48">
        <f t="shared" si="82"/>
        <v>33.245752658659605</v>
      </c>
      <c r="AR48" s="44">
        <f t="shared" si="83"/>
        <v>-0.50844015508660589</v>
      </c>
      <c r="AS48" t="str">
        <f t="shared" si="58"/>
        <v>-0.000166666666666667</v>
      </c>
      <c r="AT48" t="str">
        <f t="shared" si="59"/>
        <v>1.58211928110636E-06i</v>
      </c>
      <c r="AU48">
        <f t="shared" si="84"/>
        <v>1.58211928110636E-6</v>
      </c>
      <c r="AV48">
        <f t="shared" si="85"/>
        <v>1.5707963267948966</v>
      </c>
      <c r="AW48" t="str">
        <f t="shared" si="60"/>
        <v>1+0.000288242526644888i</v>
      </c>
      <c r="AX48">
        <f t="shared" si="86"/>
        <v>1.0000000415418762</v>
      </c>
      <c r="AY48">
        <f t="shared" si="87"/>
        <v>2.8824251866213133E-4</v>
      </c>
      <c r="AZ48" t="str">
        <f t="shared" si="61"/>
        <v>1+0.00586713013912658i</v>
      </c>
      <c r="BA48">
        <f t="shared" si="88"/>
        <v>1.0000172114599175</v>
      </c>
      <c r="BB48">
        <f t="shared" si="89"/>
        <v>5.8670628186875103E-3</v>
      </c>
      <c r="BC48" s="42" t="str">
        <f t="shared" si="90"/>
        <v>-0.587701910931515+105.344101844335i</v>
      </c>
      <c r="BD48">
        <f t="shared" si="91"/>
        <v>40.452339661729191</v>
      </c>
      <c r="BE48" s="44">
        <f t="shared" si="92"/>
        <v>90.319642857853353</v>
      </c>
      <c r="BF48" s="42" t="str">
        <f t="shared" si="93"/>
        <v>22.6813216789351+1724.16944167861i</v>
      </c>
      <c r="BG48" s="20">
        <f t="shared" si="94"/>
        <v>64.732350362739083</v>
      </c>
      <c r="BH48" s="44">
        <f t="shared" si="95"/>
        <v>89.246321724872374</v>
      </c>
      <c r="BI48" s="42" t="str">
        <f t="shared" si="96"/>
        <v>15.9505980269861+4840.63412642961i</v>
      </c>
      <c r="BJ48" s="20">
        <f t="shared" si="97"/>
        <v>73.698092320388781</v>
      </c>
      <c r="BK48" s="44">
        <f t="shared" si="98"/>
        <v>89.811202702766749</v>
      </c>
      <c r="BL48">
        <f t="shared" si="99"/>
        <v>64.732350362739083</v>
      </c>
      <c r="BM48" s="44">
        <f t="shared" si="100"/>
        <v>89.246321724872374</v>
      </c>
    </row>
    <row r="49" spans="1:65" x14ac:dyDescent="0.35">
      <c r="N49" s="9">
        <v>31</v>
      </c>
      <c r="O49" s="35">
        <f t="shared" si="62"/>
        <v>20.4173794466953</v>
      </c>
      <c r="P49" s="34" t="str">
        <f t="shared" si="50"/>
        <v>16.3709677419355</v>
      </c>
      <c r="Q49" s="4" t="str">
        <f t="shared" si="51"/>
        <v>1+0.0188704830384088i</v>
      </c>
      <c r="R49" s="4">
        <f t="shared" si="63"/>
        <v>1.0001780317174052</v>
      </c>
      <c r="S49" s="4">
        <f t="shared" si="64"/>
        <v>1.8868243621152459E-2</v>
      </c>
      <c r="T49" s="4" t="str">
        <f t="shared" si="52"/>
        <v>1+0.0000205257885680938i</v>
      </c>
      <c r="U49" s="4">
        <f t="shared" si="65"/>
        <v>1.0000000002106542</v>
      </c>
      <c r="V49" s="4">
        <f t="shared" si="66"/>
        <v>2.0525788565211242E-5</v>
      </c>
      <c r="W49" t="str">
        <f t="shared" si="53"/>
        <v>1-0.000268615549373268i</v>
      </c>
      <c r="X49" s="4">
        <f t="shared" si="67"/>
        <v>1.0000000360771562</v>
      </c>
      <c r="Y49" s="4">
        <f t="shared" si="68"/>
        <v>-2.6861554291267813E-4</v>
      </c>
      <c r="Z49" t="str">
        <f t="shared" si="54"/>
        <v>0.999999999639269+0.000052900894104985i</v>
      </c>
      <c r="AA49" s="4">
        <f t="shared" si="69"/>
        <v>1.0000000010385213</v>
      </c>
      <c r="AB49" s="4">
        <f t="shared" si="70"/>
        <v>5.2900894074720195E-5</v>
      </c>
      <c r="AC49" s="48" t="str">
        <f t="shared" si="71"/>
        <v>16.3650470794029-0.313743851629868i</v>
      </c>
      <c r="AD49" s="20">
        <f t="shared" si="72"/>
        <v>24.279941134976095</v>
      </c>
      <c r="AE49" s="44">
        <f t="shared" si="73"/>
        <v>-1.098316220144173</v>
      </c>
      <c r="AF49" t="str">
        <f t="shared" si="74"/>
        <v>45.9520231294187</v>
      </c>
      <c r="AG49" t="str">
        <f t="shared" si="55"/>
        <v>1+0.00905549495651193i</v>
      </c>
      <c r="AH49">
        <f t="shared" si="75"/>
        <v>1.0000410001539475</v>
      </c>
      <c r="AI49">
        <f t="shared" si="76"/>
        <v>9.0552474458239773E-3</v>
      </c>
      <c r="AJ49" t="str">
        <f t="shared" si="56"/>
        <v>1+0.0000205257885680938i</v>
      </c>
      <c r="AK49">
        <f t="shared" si="77"/>
        <v>1.0000000002106542</v>
      </c>
      <c r="AL49">
        <f t="shared" si="78"/>
        <v>2.0525788565211242E-5</v>
      </c>
      <c r="AM49" t="str">
        <f t="shared" si="57"/>
        <v>1-0.0000459229187136456i</v>
      </c>
      <c r="AN49">
        <f t="shared" si="79"/>
        <v>1.0000000010544572</v>
      </c>
      <c r="AO49">
        <f t="shared" si="80"/>
        <v>-4.5922918681363097E-5</v>
      </c>
      <c r="AP49" s="42" t="str">
        <f t="shared" si="81"/>
        <v>45.9482447570654-0.417251148170051i</v>
      </c>
      <c r="AQ49">
        <f t="shared" si="82"/>
        <v>33.245736631943444</v>
      </c>
      <c r="AR49" s="44">
        <f t="shared" si="83"/>
        <v>-0.52028260945973304</v>
      </c>
      <c r="AS49" t="str">
        <f t="shared" si="58"/>
        <v>-0.000166666666666667</v>
      </c>
      <c r="AT49" t="str">
        <f t="shared" si="59"/>
        <v>0.0000016189715733084i</v>
      </c>
      <c r="AU49">
        <f t="shared" si="84"/>
        <v>1.6189715733084E-6</v>
      </c>
      <c r="AV49">
        <f t="shared" si="85"/>
        <v>1.5707963267948966</v>
      </c>
      <c r="AW49" t="str">
        <f t="shared" si="60"/>
        <v>1+0.000294956557593012i</v>
      </c>
      <c r="AX49">
        <f t="shared" si="86"/>
        <v>1.0000000434996845</v>
      </c>
      <c r="AY49">
        <f t="shared" si="87"/>
        <v>2.949565490393341E-4</v>
      </c>
      <c r="AZ49" t="str">
        <f t="shared" si="61"/>
        <v>1+0.00600379315616742i</v>
      </c>
      <c r="BA49">
        <f t="shared" si="88"/>
        <v>1.0000180226037239</v>
      </c>
      <c r="BB49">
        <f t="shared" si="89"/>
        <v>6.0037210210875328E-3</v>
      </c>
      <c r="BC49" s="42" t="str">
        <f t="shared" si="90"/>
        <v>-0.5877019086303+102.946185132323i</v>
      </c>
      <c r="BD49">
        <f t="shared" si="91"/>
        <v>40.252346690105405</v>
      </c>
      <c r="BE49" s="44">
        <f t="shared" si="92"/>
        <v>90.327088110482592</v>
      </c>
      <c r="BF49" s="42" t="str">
        <f t="shared" si="93"/>
        <v>22.6809632306267+1684.90355419582i</v>
      </c>
      <c r="BG49" s="20">
        <f t="shared" si="94"/>
        <v>64.532287825081511</v>
      </c>
      <c r="BH49" s="44">
        <f t="shared" si="95"/>
        <v>89.228771890338422</v>
      </c>
      <c r="BI49" s="42" t="str">
        <f t="shared" si="96"/>
        <v>15.9505428042489+4730.4417305623i</v>
      </c>
      <c r="BJ49" s="20">
        <f t="shared" si="97"/>
        <v>73.498083322048842</v>
      </c>
      <c r="BK49" s="44">
        <f t="shared" si="98"/>
        <v>89.806805501022865</v>
      </c>
      <c r="BL49">
        <f t="shared" si="99"/>
        <v>64.532287825081511</v>
      </c>
      <c r="BM49" s="44">
        <f t="shared" si="100"/>
        <v>89.228771890338422</v>
      </c>
    </row>
    <row r="50" spans="1:65" ht="15.5" x14ac:dyDescent="0.35">
      <c r="A50" s="36" t="s">
        <v>223</v>
      </c>
      <c r="N50" s="9">
        <v>32</v>
      </c>
      <c r="O50" s="35">
        <f t="shared" si="62"/>
        <v>20.8929613085404</v>
      </c>
      <c r="P50" s="34" t="str">
        <f t="shared" si="50"/>
        <v>16.3709677419355</v>
      </c>
      <c r="Q50" s="4" t="str">
        <f t="shared" si="51"/>
        <v>1+0.0193100330541566i</v>
      </c>
      <c r="R50" s="4">
        <f t="shared" si="63"/>
        <v>1.0001864213118234</v>
      </c>
      <c r="S50" s="4">
        <f t="shared" si="64"/>
        <v>1.9307633499488722E-2</v>
      </c>
      <c r="T50" s="4" t="str">
        <f t="shared" si="52"/>
        <v>1+0.0000210038956027669i</v>
      </c>
      <c r="U50" s="4">
        <f t="shared" si="65"/>
        <v>1.0000000002205818</v>
      </c>
      <c r="V50" s="4">
        <f t="shared" si="66"/>
        <v>2.1003895599678182E-5</v>
      </c>
      <c r="W50" t="str">
        <f t="shared" si="53"/>
        <v>1-0.000274872409291311i</v>
      </c>
      <c r="X50" s="4">
        <f t="shared" si="67"/>
        <v>1.0000000377774201</v>
      </c>
      <c r="Y50" s="4">
        <f t="shared" si="68"/>
        <v>-2.7487240236866422E-4</v>
      </c>
      <c r="Z50" t="str">
        <f t="shared" si="54"/>
        <v>0.999999999622269+0.0000541331142230177i</v>
      </c>
      <c r="AA50" s="4">
        <f t="shared" si="69"/>
        <v>1.0000000010874661</v>
      </c>
      <c r="AB50" s="4">
        <f t="shared" si="70"/>
        <v>5.4133114190588339E-5</v>
      </c>
      <c r="AC50" s="48" t="str">
        <f t="shared" si="71"/>
        <v>16.3647681511803-0.321046498630484i</v>
      </c>
      <c r="AD50" s="20">
        <f t="shared" si="72"/>
        <v>24.279868291590923</v>
      </c>
      <c r="AE50" s="44">
        <f t="shared" si="73"/>
        <v>-1.123893104870278</v>
      </c>
      <c r="AF50" t="str">
        <f t="shared" si="74"/>
        <v>45.9520231294187</v>
      </c>
      <c r="AG50" t="str">
        <f t="shared" si="55"/>
        <v>1+0.00926642453063242i</v>
      </c>
      <c r="AH50">
        <f t="shared" si="75"/>
        <v>1.0000429323901958</v>
      </c>
      <c r="AI50">
        <f t="shared" si="76"/>
        <v>9.266159318766955E-3</v>
      </c>
      <c r="AJ50" t="str">
        <f t="shared" si="56"/>
        <v>1+0.0000210038956027669i</v>
      </c>
      <c r="AK50">
        <f t="shared" si="77"/>
        <v>1.0000000002205818</v>
      </c>
      <c r="AL50">
        <f t="shared" si="78"/>
        <v>2.1003895599678182E-5</v>
      </c>
      <c r="AM50" t="str">
        <f t="shared" si="57"/>
        <v>1-0.0000469926009047525i</v>
      </c>
      <c r="AN50">
        <f t="shared" si="79"/>
        <v>1.0000000011041523</v>
      </c>
      <c r="AO50">
        <f t="shared" si="80"/>
        <v>-4.6992600870161176E-5</v>
      </c>
      <c r="AP50" s="42" t="str">
        <f t="shared" si="81"/>
        <v>45.9480667031513-0.426968526020356i</v>
      </c>
      <c r="AQ50">
        <f t="shared" si="82"/>
        <v>33.245719849974812</v>
      </c>
      <c r="AR50" s="44">
        <f t="shared" si="83"/>
        <v>-0.53240086438817213</v>
      </c>
      <c r="AS50" t="str">
        <f t="shared" si="58"/>
        <v>-0.000166666666666667</v>
      </c>
      <c r="AT50" t="str">
        <f t="shared" si="59"/>
        <v>1.65668226566823E-06i</v>
      </c>
      <c r="AU50">
        <f t="shared" si="84"/>
        <v>1.6566822656682299E-6</v>
      </c>
      <c r="AV50">
        <f t="shared" si="85"/>
        <v>1.5707963267948966</v>
      </c>
      <c r="AW50" t="str">
        <f t="shared" si="60"/>
        <v>1+0.000301826978412185i</v>
      </c>
      <c r="AX50">
        <f t="shared" si="86"/>
        <v>1.0000000455497613</v>
      </c>
      <c r="AY50">
        <f t="shared" si="87"/>
        <v>3.0182696924675403E-4</v>
      </c>
      <c r="AZ50" t="str">
        <f t="shared" si="61"/>
        <v>1+0.0061436394638093i</v>
      </c>
      <c r="BA50">
        <f t="shared" si="88"/>
        <v>1.0000188719748548</v>
      </c>
      <c r="BB50">
        <f t="shared" si="89"/>
        <v>6.1435621697573974E-3</v>
      </c>
      <c r="BC50" s="42" t="str">
        <f t="shared" si="90"/>
        <v>-0.587701906220635+100.602851850321i</v>
      </c>
      <c r="BD50">
        <f t="shared" si="91"/>
        <v>40.052354049706452</v>
      </c>
      <c r="BE50" s="44">
        <f t="shared" si="92"/>
        <v>90.334706772022273</v>
      </c>
      <c r="BF50" s="42" t="str">
        <f t="shared" si="93"/>
        <v>22.6805879014795+1646.53102551727i</v>
      </c>
      <c r="BG50" s="20">
        <f t="shared" si="94"/>
        <v>64.332222341297353</v>
      </c>
      <c r="BH50" s="44">
        <f t="shared" si="95"/>
        <v>89.210813667151996</v>
      </c>
      <c r="BI50" s="42" t="str">
        <f t="shared" ref="BI50:BI113" si="101">IMPRODUCT(AP50,BC50)</f>
        <v>15.9504849793809+4622.75747756244i</v>
      </c>
      <c r="BJ50" s="20">
        <f t="shared" si="97"/>
        <v>73.29807389968127</v>
      </c>
      <c r="BK50" s="44">
        <f t="shared" ref="BK50:BK113" si="102">(180/PI())*IMARGUMENT(BI50)</f>
        <v>89.802305907634107</v>
      </c>
      <c r="BL50">
        <f t="shared" si="99"/>
        <v>64.332222341297353</v>
      </c>
      <c r="BM50" s="44">
        <f t="shared" si="100"/>
        <v>89.210813667151996</v>
      </c>
    </row>
    <row r="51" spans="1:65" x14ac:dyDescent="0.35">
      <c r="A51" t="s">
        <v>188</v>
      </c>
      <c r="N51" s="9">
        <v>33</v>
      </c>
      <c r="O51" s="35">
        <f t="shared" si="62"/>
        <v>21.379620895022335</v>
      </c>
      <c r="P51" s="34" t="str">
        <f t="shared" si="50"/>
        <v>16.3709677419355</v>
      </c>
      <c r="Q51" s="4" t="str">
        <f t="shared" si="51"/>
        <v>1+0.0197598215050282i</v>
      </c>
      <c r="R51" s="4">
        <f t="shared" si="63"/>
        <v>1.0001952062202211</v>
      </c>
      <c r="S51" s="4">
        <f t="shared" si="64"/>
        <v>1.975725036297904E-2</v>
      </c>
      <c r="T51" s="4" t="str">
        <f t="shared" si="52"/>
        <v>1+0.0000214931391809078i</v>
      </c>
      <c r="U51" s="4">
        <f t="shared" si="65"/>
        <v>1.0000000002309775</v>
      </c>
      <c r="V51" s="4">
        <f t="shared" si="66"/>
        <v>2.1493139177598177E-5</v>
      </c>
      <c r="W51" t="str">
        <f t="shared" si="53"/>
        <v>1-0.000281275010199125i</v>
      </c>
      <c r="X51" s="4">
        <f t="shared" si="67"/>
        <v>1.0000000395578148</v>
      </c>
      <c r="Y51" s="4">
        <f t="shared" si="68"/>
        <v>-2.8127500278137538E-4</v>
      </c>
      <c r="Z51" t="str">
        <f t="shared" si="54"/>
        <v>0.999999999604467+0.0000553940364347475i</v>
      </c>
      <c r="AA51" s="4">
        <f t="shared" si="69"/>
        <v>1.0000000011387165</v>
      </c>
      <c r="AB51" s="4">
        <f t="shared" si="70"/>
        <v>5.5394036399998818E-5</v>
      </c>
      <c r="AC51" s="48" t="str">
        <f t="shared" si="71"/>
        <v>16.3644760875059-0.328518861118416i</v>
      </c>
      <c r="AD51" s="20">
        <f t="shared" si="72"/>
        <v>24.279792016512761</v>
      </c>
      <c r="AE51" s="44">
        <f t="shared" si="73"/>
        <v>-1.1500653094564668</v>
      </c>
      <c r="AF51" t="str">
        <f t="shared" si="74"/>
        <v>45.9520231294187</v>
      </c>
      <c r="AG51" t="str">
        <f t="shared" si="55"/>
        <v>1+0.00948226728569461i</v>
      </c>
      <c r="AH51">
        <f t="shared" si="75"/>
        <v>1.0000449556859319</v>
      </c>
      <c r="AI51">
        <f t="shared" si="76"/>
        <v>9.4819831067507396E-3</v>
      </c>
      <c r="AJ51" t="str">
        <f t="shared" si="56"/>
        <v>1+0.0000214931391809078i</v>
      </c>
      <c r="AK51">
        <f t="shared" si="77"/>
        <v>1.0000000002309775</v>
      </c>
      <c r="AL51">
        <f t="shared" si="78"/>
        <v>2.1493139177598177E-5</v>
      </c>
      <c r="AM51" t="str">
        <f t="shared" si="57"/>
        <v>1-0.0000480871991948793i</v>
      </c>
      <c r="AN51">
        <f t="shared" si="79"/>
        <v>1.0000000011561894</v>
      </c>
      <c r="AO51">
        <f t="shared" si="80"/>
        <v>-4.8087199157814029E-5</v>
      </c>
      <c r="AP51" s="42" t="str">
        <f t="shared" si="81"/>
        <v>45.9478802592897-0.436912132690543i</v>
      </c>
      <c r="AQ51">
        <f t="shared" si="82"/>
        <v>33.245702277165883</v>
      </c>
      <c r="AR51" s="44">
        <f t="shared" si="83"/>
        <v>-0.54480134082814591</v>
      </c>
      <c r="AS51" t="str">
        <f t="shared" si="58"/>
        <v>-0.000166666666666667</v>
      </c>
      <c r="AT51" t="str">
        <f t="shared" si="59"/>
        <v>1.69527135289411E-06i</v>
      </c>
      <c r="AU51">
        <f t="shared" si="84"/>
        <v>1.6952713528941099E-6</v>
      </c>
      <c r="AV51">
        <f t="shared" si="85"/>
        <v>1.5707963267948966</v>
      </c>
      <c r="AW51" t="str">
        <f t="shared" si="60"/>
        <v>1+0.000308857431890463i</v>
      </c>
      <c r="AX51">
        <f t="shared" si="86"/>
        <v>1.0000000476964555</v>
      </c>
      <c r="AY51">
        <f t="shared" si="87"/>
        <v>3.0885742206952684E-4</v>
      </c>
      <c r="AZ51" t="str">
        <f t="shared" si="61"/>
        <v>1+0.00628674321041553i</v>
      </c>
      <c r="BA51">
        <f t="shared" si="88"/>
        <v>1.0000197613748409</v>
      </c>
      <c r="BB51">
        <f t="shared" si="89"/>
        <v>6.286660388435129E-3</v>
      </c>
      <c r="BC51" s="42" t="str">
        <f t="shared" si="90"/>
        <v>-0.587701903697398+98.312859532006i</v>
      </c>
      <c r="BD51">
        <f t="shared" si="91"/>
        <v>39.852361756141377</v>
      </c>
      <c r="BE51" s="44">
        <f t="shared" si="92"/>
        <v>90.342502880733534</v>
      </c>
      <c r="BF51" s="42" t="str">
        <f t="shared" si="93"/>
        <v>22.6801948971117+1609.03151006592i</v>
      </c>
      <c r="BG51" s="20">
        <f t="shared" si="94"/>
        <v>64.132153772654149</v>
      </c>
      <c r="BH51" s="44">
        <f t="shared" si="95"/>
        <v>89.192437571277068</v>
      </c>
      <c r="BI51" s="42" t="str">
        <f t="shared" si="101"/>
        <v>15.9504244297899+4517.52427181711i</v>
      </c>
      <c r="BJ51" s="20">
        <f t="shared" si="97"/>
        <v>73.098064033307267</v>
      </c>
      <c r="BK51" s="44">
        <f t="shared" si="102"/>
        <v>89.79770153990539</v>
      </c>
      <c r="BL51">
        <f t="shared" si="99"/>
        <v>64.132153772654149</v>
      </c>
      <c r="BM51" s="44">
        <f t="shared" si="100"/>
        <v>89.192437571277068</v>
      </c>
    </row>
    <row r="52" spans="1:65" x14ac:dyDescent="0.35">
      <c r="A52" t="s">
        <v>186</v>
      </c>
      <c r="B52" s="3">
        <f>RFBT</f>
        <v>220000</v>
      </c>
      <c r="C52" s="2" t="s">
        <v>36</v>
      </c>
      <c r="E52" t="s">
        <v>189</v>
      </c>
      <c r="N52" s="9">
        <v>34</v>
      </c>
      <c r="O52" s="35">
        <f t="shared" si="62"/>
        <v>21.877616239495538</v>
      </c>
      <c r="P52" s="34" t="str">
        <f t="shared" si="50"/>
        <v>16.3709677419355</v>
      </c>
      <c r="Q52" s="4" t="str">
        <f t="shared" si="51"/>
        <v>1+0.0202200868748139i</v>
      </c>
      <c r="R52" s="4">
        <f t="shared" si="63"/>
        <v>1.0002044050658971</v>
      </c>
      <c r="S52" s="4">
        <f t="shared" si="64"/>
        <v>2.0217331876879251E-2</v>
      </c>
      <c r="T52" s="4" t="str">
        <f t="shared" si="52"/>
        <v>1+0.0000219937787059379i</v>
      </c>
      <c r="U52" s="4">
        <f t="shared" si="65"/>
        <v>1.0000000002418632</v>
      </c>
      <c r="V52" s="4">
        <f t="shared" si="66"/>
        <v>2.1993778702391578E-5</v>
      </c>
      <c r="W52" t="str">
        <f t="shared" si="53"/>
        <v>1-0.000287826746840463i</v>
      </c>
      <c r="X52" s="4">
        <f t="shared" si="67"/>
        <v>1.0000000414221173</v>
      </c>
      <c r="Y52" s="4">
        <f t="shared" si="68"/>
        <v>-2.8782673889220104E-4</v>
      </c>
      <c r="Z52" t="str">
        <f t="shared" si="54"/>
        <v>0.999999999585826+0.0000566843292978219i</v>
      </c>
      <c r="AA52" s="4">
        <f t="shared" si="69"/>
        <v>1.0000000011923824</v>
      </c>
      <c r="AB52" s="4">
        <f t="shared" si="70"/>
        <v>5.6684329260588027E-5</v>
      </c>
      <c r="AC52" s="48" t="str">
        <f t="shared" si="71"/>
        <v>16.3641702702921-0.336164864763515i</v>
      </c>
      <c r="AD52" s="20">
        <f t="shared" si="72"/>
        <v>24.279712148137243</v>
      </c>
      <c r="AE52" s="44">
        <f t="shared" si="73"/>
        <v>-1.1768466690659916</v>
      </c>
      <c r="AF52" t="str">
        <f t="shared" si="74"/>
        <v>45.9520231294187</v>
      </c>
      <c r="AG52" t="str">
        <f t="shared" si="55"/>
        <v>1+0.00970313766438435i</v>
      </c>
      <c r="AH52">
        <f t="shared" si="75"/>
        <v>1.0000470743322707</v>
      </c>
      <c r="AI52">
        <f t="shared" si="76"/>
        <v>9.702833161933988E-3</v>
      </c>
      <c r="AJ52" t="str">
        <f t="shared" si="56"/>
        <v>1+0.0000219937787059379i</v>
      </c>
      <c r="AK52">
        <f t="shared" si="77"/>
        <v>1.0000000002418632</v>
      </c>
      <c r="AL52">
        <f t="shared" si="78"/>
        <v>2.1993778702391578E-5</v>
      </c>
      <c r="AM52" t="str">
        <f t="shared" si="57"/>
        <v>1-0.0000492072939545288i</v>
      </c>
      <c r="AN52">
        <f t="shared" si="79"/>
        <v>1.0000000012106789</v>
      </c>
      <c r="AO52">
        <f t="shared" si="80"/>
        <v>-4.9207293914812645E-5</v>
      </c>
      <c r="AP52" s="42" t="str">
        <f t="shared" si="81"/>
        <v>45.9476850302167-0.447087229290101i</v>
      </c>
      <c r="AQ52">
        <f t="shared" si="82"/>
        <v>33.24568387625218</v>
      </c>
      <c r="AR52" s="44">
        <f t="shared" si="83"/>
        <v>-0.55749060906578041</v>
      </c>
      <c r="AS52" t="str">
        <f t="shared" si="58"/>
        <v>-0.000166666666666667</v>
      </c>
      <c r="AT52" t="str">
        <f t="shared" si="59"/>
        <v>1.73475929543085E-06i</v>
      </c>
      <c r="AU52">
        <f t="shared" si="84"/>
        <v>1.73475929543085E-6</v>
      </c>
      <c r="AV52">
        <f t="shared" si="85"/>
        <v>1.5707963267948966</v>
      </c>
      <c r="AW52" t="str">
        <f t="shared" si="60"/>
        <v>1+0.000316051645667341i</v>
      </c>
      <c r="AX52">
        <f t="shared" si="86"/>
        <v>1.00000004994432</v>
      </c>
      <c r="AY52">
        <f t="shared" si="87"/>
        <v>3.1605163514401835E-4</v>
      </c>
      <c r="AZ52" t="str">
        <f t="shared" si="61"/>
        <v>1+0.00643318027148683i</v>
      </c>
      <c r="BA52">
        <f t="shared" si="88"/>
        <v>1.000020692690109</v>
      </c>
      <c r="BB52">
        <f t="shared" si="89"/>
        <v>6.4330915262351112E-3</v>
      </c>
      <c r="BC52" s="42" t="str">
        <f t="shared" si="90"/>
        <v>-0.587701901055253+96.0749939931402i</v>
      </c>
      <c r="BD52">
        <f t="shared" si="91"/>
        <v>39.652369825754732</v>
      </c>
      <c r="BE52" s="44">
        <f t="shared" si="92"/>
        <v>90.350480568872683</v>
      </c>
      <c r="BF52" s="42" t="str">
        <f t="shared" si="93"/>
        <v>22.679783385817+1572.38512515113i</v>
      </c>
      <c r="BG52" s="20">
        <f t="shared" si="94"/>
        <v>63.932081973891997</v>
      </c>
      <c r="BH52" s="44">
        <f t="shared" si="95"/>
        <v>89.173633899806688</v>
      </c>
      <c r="BI52" s="42" t="str">
        <f t="shared" si="101"/>
        <v>15.9503610271098+4414.68631729136i</v>
      </c>
      <c r="BJ52" s="20">
        <f t="shared" si="97"/>
        <v>72.898053702006919</v>
      </c>
      <c r="BK52" s="44">
        <f t="shared" si="102"/>
        <v>89.792989959806903</v>
      </c>
      <c r="BL52">
        <f t="shared" si="99"/>
        <v>63.932081973891997</v>
      </c>
      <c r="BM52" s="44">
        <f t="shared" si="100"/>
        <v>89.173633899806688</v>
      </c>
    </row>
    <row r="53" spans="1:65" x14ac:dyDescent="0.35">
      <c r="A53" t="s">
        <v>187</v>
      </c>
      <c r="B53" s="3">
        <f>RFBB</f>
        <v>20000</v>
      </c>
      <c r="C53" s="2" t="s">
        <v>36</v>
      </c>
      <c r="E53" t="s">
        <v>190</v>
      </c>
      <c r="N53" s="9">
        <v>35</v>
      </c>
      <c r="O53" s="35">
        <f t="shared" si="62"/>
        <v>22.387211385683404</v>
      </c>
      <c r="P53" s="34" t="str">
        <f t="shared" si="50"/>
        <v>16.3709677419355</v>
      </c>
      <c r="Q53" s="4" t="str">
        <f t="shared" si="51"/>
        <v>1+0.0206910732023052i</v>
      </c>
      <c r="R53" s="4">
        <f t="shared" si="63"/>
        <v>1.0002140373491382</v>
      </c>
      <c r="S53" s="4">
        <f t="shared" si="64"/>
        <v>2.0688121202949234E-2</v>
      </c>
      <c r="T53" s="4" t="str">
        <f t="shared" si="52"/>
        <v>1+0.00002250607962356i</v>
      </c>
      <c r="U53" s="4">
        <f t="shared" si="65"/>
        <v>1.0000000002532619</v>
      </c>
      <c r="V53" s="4">
        <f t="shared" si="66"/>
        <v>2.2506079619760049E-5</v>
      </c>
      <c r="W53" t="str">
        <f t="shared" si="53"/>
        <v>1-0.000294531093032813i</v>
      </c>
      <c r="X53" s="4">
        <f t="shared" si="67"/>
        <v>1.0000000433742815</v>
      </c>
      <c r="Y53" s="4">
        <f t="shared" si="68"/>
        <v>-2.9453108451609692E-4</v>
      </c>
      <c r="Z53" t="str">
        <f t="shared" si="54"/>
        <v>0.999999999566306+0.000058004676942596i</v>
      </c>
      <c r="AA53" s="4">
        <f t="shared" si="69"/>
        <v>1.0000000012485772</v>
      </c>
      <c r="AB53" s="4">
        <f t="shared" si="70"/>
        <v>5.8004676902699212E-5</v>
      </c>
      <c r="AC53" s="48" t="str">
        <f t="shared" si="71"/>
        <v>16.3638500524151-0.343988524711568i</v>
      </c>
      <c r="AD53" s="20">
        <f t="shared" si="72"/>
        <v>24.279628517256118</v>
      </c>
      <c r="AE53" s="44">
        <f t="shared" si="73"/>
        <v>-1.2042513388652294</v>
      </c>
      <c r="AF53" t="str">
        <f t="shared" si="74"/>
        <v>45.9520231294187</v>
      </c>
      <c r="AG53" t="str">
        <f t="shared" si="55"/>
        <v>1+0.00992915277509998i</v>
      </c>
      <c r="AH53">
        <f t="shared" si="75"/>
        <v>1.0000492928225244</v>
      </c>
      <c r="AI53">
        <f t="shared" si="76"/>
        <v>9.9288264957145163E-3</v>
      </c>
      <c r="AJ53" t="str">
        <f t="shared" si="56"/>
        <v>1+0.00002250607962356i</v>
      </c>
      <c r="AK53">
        <f t="shared" si="77"/>
        <v>1.0000000002532619</v>
      </c>
      <c r="AL53">
        <f t="shared" si="78"/>
        <v>2.2506079619760049E-5</v>
      </c>
      <c r="AM53" t="str">
        <f t="shared" si="57"/>
        <v>1-0.0000503534790727685i</v>
      </c>
      <c r="AN53">
        <f t="shared" si="79"/>
        <v>1.0000000012677364</v>
      </c>
      <c r="AO53">
        <f t="shared" si="80"/>
        <v>-5.035347903021187E-5</v>
      </c>
      <c r="AP53" s="42" t="str">
        <f t="shared" si="81"/>
        <v>45.9474806020542-0.457499198872323i</v>
      </c>
      <c r="AQ53">
        <f t="shared" si="82"/>
        <v>33.245664608213715</v>
      </c>
      <c r="AR53" s="44">
        <f t="shared" si="83"/>
        <v>-0.57047539217874244</v>
      </c>
      <c r="AS53" t="str">
        <f t="shared" si="58"/>
        <v>-0.000166666666666667</v>
      </c>
      <c r="AT53" t="str">
        <f t="shared" si="59"/>
        <v>1.77516703030829E-06i</v>
      </c>
      <c r="AU53">
        <f t="shared" si="84"/>
        <v>1.7751670303082899E-6</v>
      </c>
      <c r="AV53">
        <f t="shared" si="85"/>
        <v>1.5707963267948966</v>
      </c>
      <c r="AW53" t="str">
        <f t="shared" si="60"/>
        <v>1+0.000323413434210191i</v>
      </c>
      <c r="AX53">
        <f t="shared" si="86"/>
        <v>1.0000000522981234</v>
      </c>
      <c r="AY53">
        <f t="shared" si="87"/>
        <v>3.2341342293424762E-4</v>
      </c>
      <c r="AZ53" t="str">
        <f t="shared" si="61"/>
        <v>1+0.00658302828989129i</v>
      </c>
      <c r="BA53">
        <f t="shared" si="88"/>
        <v>1.0000216678959839</v>
      </c>
      <c r="BB53">
        <f t="shared" si="89"/>
        <v>6.5829331977521055E-3</v>
      </c>
      <c r="BC53" s="42" t="str">
        <f t="shared" si="90"/>
        <v>-0.587701898288585+93.8880686877917i</v>
      </c>
      <c r="BD53">
        <f t="shared" si="91"/>
        <v>39.45237827566104</v>
      </c>
      <c r="BE53" s="44">
        <f t="shared" si="92"/>
        <v>90.358644064875747</v>
      </c>
      <c r="BF53" s="42" t="str">
        <f t="shared" si="93"/>
        <v>22.6793524968177+1536.57244042684i</v>
      </c>
      <c r="BG53" s="20">
        <f t="shared" si="94"/>
        <v>63.73200679291719</v>
      </c>
      <c r="BH53" s="44">
        <f t="shared" si="95"/>
        <v>89.154392726010528</v>
      </c>
      <c r="BI53" s="42" t="str">
        <f t="shared" si="101"/>
        <v>15.9502946369291+4314.18908794428i</v>
      </c>
      <c r="BJ53" s="20">
        <f t="shared" si="97"/>
        <v>72.698042883874749</v>
      </c>
      <c r="BK53" s="44">
        <f t="shared" si="102"/>
        <v>89.788168672697012</v>
      </c>
      <c r="BL53">
        <f t="shared" si="99"/>
        <v>63.73200679291719</v>
      </c>
      <c r="BM53" s="44">
        <f t="shared" si="100"/>
        <v>89.154392726010528</v>
      </c>
    </row>
    <row r="54" spans="1:65" x14ac:dyDescent="0.35">
      <c r="A54" t="s">
        <v>176</v>
      </c>
      <c r="B54" s="3">
        <f>RCOMP</f>
        <v>3900</v>
      </c>
      <c r="C54" s="2" t="s">
        <v>36</v>
      </c>
      <c r="E54" t="s">
        <v>183</v>
      </c>
      <c r="N54" s="9">
        <v>36</v>
      </c>
      <c r="O54" s="35">
        <f t="shared" si="62"/>
        <v>22.908676527677727</v>
      </c>
      <c r="P54" s="34" t="str">
        <f t="shared" si="50"/>
        <v>16.3709677419355</v>
      </c>
      <c r="Q54" s="4" t="str">
        <f t="shared" si="51"/>
        <v>1+0.0211730302106869i</v>
      </c>
      <c r="R54" s="4">
        <f t="shared" si="63"/>
        <v>1.0002241234884823</v>
      </c>
      <c r="S54" s="4">
        <f t="shared" si="64"/>
        <v>2.1169867124666647E-2</v>
      </c>
      <c r="T54" s="4" t="str">
        <f t="shared" si="52"/>
        <v>1+0.0000230303135625016i</v>
      </c>
      <c r="U54" s="4">
        <f t="shared" si="65"/>
        <v>1.0000000002651976</v>
      </c>
      <c r="V54" s="4">
        <f t="shared" si="66"/>
        <v>2.3030313558429877E-5</v>
      </c>
      <c r="W54" t="str">
        <f t="shared" si="53"/>
        <v>1-0.000301391603509268i</v>
      </c>
      <c r="X54" s="4">
        <f t="shared" si="67"/>
        <v>1.0000000454184483</v>
      </c>
      <c r="Y54" s="4">
        <f t="shared" si="68"/>
        <v>-3.0139159438344229E-4</v>
      </c>
      <c r="Z54" t="str">
        <f t="shared" si="54"/>
        <v>0.999999999545867+0.0000593557794348674i</v>
      </c>
      <c r="AA54" s="4">
        <f t="shared" si="69"/>
        <v>1.0000000013074213</v>
      </c>
      <c r="AB54" s="4">
        <f t="shared" si="70"/>
        <v>5.9355779392117194E-5</v>
      </c>
      <c r="AC54" s="48" t="str">
        <f t="shared" si="71"/>
        <v>16.3635147563547-0.351993947528286i</v>
      </c>
      <c r="AD54" s="20">
        <f t="shared" si="72"/>
        <v>24.279540946699605</v>
      </c>
      <c r="AE54" s="44">
        <f t="shared" si="73"/>
        <v>-1.2322938013161604</v>
      </c>
      <c r="AF54" t="str">
        <f t="shared" si="74"/>
        <v>45.9520231294187</v>
      </c>
      <c r="AG54" t="str">
        <f t="shared" si="55"/>
        <v>1+0.0101604324540448i</v>
      </c>
      <c r="AH54">
        <f t="shared" si="75"/>
        <v>1.0000516158617281</v>
      </c>
      <c r="AI54">
        <f t="shared" si="76"/>
        <v>1.0160082840358943E-2</v>
      </c>
      <c r="AJ54" t="str">
        <f t="shared" si="56"/>
        <v>1+0.0000230303135625016i</v>
      </c>
      <c r="AK54">
        <f t="shared" si="77"/>
        <v>1.0000000002651976</v>
      </c>
      <c r="AL54">
        <f t="shared" si="78"/>
        <v>2.3030313558429877E-5</v>
      </c>
      <c r="AM54" t="str">
        <f t="shared" si="57"/>
        <v>1-0.0000515263622721196i</v>
      </c>
      <c r="AN54">
        <f t="shared" si="79"/>
        <v>1.000000001327483</v>
      </c>
      <c r="AO54">
        <f t="shared" si="80"/>
        <v>-5.1526362226519349E-5</v>
      </c>
      <c r="AP54" s="42" t="str">
        <f t="shared" si="81"/>
        <v>45.9472665414334-0.468153549231628i</v>
      </c>
      <c r="AQ54">
        <f t="shared" si="82"/>
        <v>33.245644432192179</v>
      </c>
      <c r="AR54" s="44">
        <f t="shared" si="83"/>
        <v>-0.58376256957733796</v>
      </c>
      <c r="AS54" t="str">
        <f t="shared" si="58"/>
        <v>-0.000166666666666667</v>
      </c>
      <c r="AT54" t="str">
        <f t="shared" si="59"/>
        <v>1.81651598224231E-06i</v>
      </c>
      <c r="AU54">
        <f t="shared" si="84"/>
        <v>1.8165159822423099E-6</v>
      </c>
      <c r="AV54">
        <f t="shared" si="85"/>
        <v>1.5707963267948966</v>
      </c>
      <c r="AW54" t="str">
        <f t="shared" si="60"/>
        <v>1+0.000330946700836741i</v>
      </c>
      <c r="AX54">
        <f t="shared" si="86"/>
        <v>1.0000000547628578</v>
      </c>
      <c r="AY54">
        <f t="shared" si="87"/>
        <v>3.3094668875435003E-4</v>
      </c>
      <c r="AZ54" t="str">
        <f t="shared" si="61"/>
        <v>1+0.00673636671703171i</v>
      </c>
      <c r="BA54">
        <f t="shared" si="88"/>
        <v>1.0000226890608765</v>
      </c>
      <c r="BB54">
        <f t="shared" si="89"/>
        <v>6.7362648240936549E-3</v>
      </c>
      <c r="BC54" s="42" t="str">
        <f t="shared" si="90"/>
        <v>-0.587701895391526+91.750924079217i</v>
      </c>
      <c r="BD54">
        <f t="shared" si="91"/>
        <v>39.252387123781467</v>
      </c>
      <c r="BE54" s="44">
        <f t="shared" si="92"/>
        <v>90.36699769559354</v>
      </c>
      <c r="BF54" s="42" t="str">
        <f t="shared" si="93"/>
        <v>22.6789013184348+1501.57446758958i</v>
      </c>
      <c r="BG54" s="20">
        <f t="shared" si="94"/>
        <v>63.531928070481094</v>
      </c>
      <c r="BH54" s="44">
        <f t="shared" si="95"/>
        <v>89.134703894277393</v>
      </c>
      <c r="BI54" s="42" t="str">
        <f t="shared" si="101"/>
        <v>15.950225118507+4215.97929881882i</v>
      </c>
      <c r="BJ54" s="20">
        <f t="shared" si="97"/>
        <v>72.49803155597364</v>
      </c>
      <c r="BK54" s="44">
        <f t="shared" si="102"/>
        <v>89.783235126016223</v>
      </c>
      <c r="BL54">
        <f t="shared" si="99"/>
        <v>63.531928070481094</v>
      </c>
      <c r="BM54" s="44">
        <f t="shared" si="100"/>
        <v>89.134703894277393</v>
      </c>
    </row>
    <row r="55" spans="1:65" x14ac:dyDescent="0.35">
      <c r="A55" t="s">
        <v>181</v>
      </c>
      <c r="B55" s="3">
        <f>CCOMP</f>
        <v>1.2000000000000002E-8</v>
      </c>
      <c r="C55" s="2" t="s">
        <v>158</v>
      </c>
      <c r="E55" t="s">
        <v>184</v>
      </c>
      <c r="N55" s="9">
        <v>37</v>
      </c>
      <c r="O55" s="35">
        <f t="shared" si="62"/>
        <v>23.442288153199236</v>
      </c>
      <c r="P55" s="34" t="str">
        <f t="shared" si="50"/>
        <v>16.3709677419355</v>
      </c>
      <c r="Q55" s="4" t="str">
        <f t="shared" si="51"/>
        <v>1+0.0216662134399447i</v>
      </c>
      <c r="R55" s="4">
        <f t="shared" si="63"/>
        <v>1.0002346848639199</v>
      </c>
      <c r="S55" s="4">
        <f t="shared" si="64"/>
        <v>2.1662824175158024E-2</v>
      </c>
      <c r="T55" s="4" t="str">
        <f t="shared" si="52"/>
        <v>1+0.0000235667584785363i</v>
      </c>
      <c r="U55" s="4">
        <f t="shared" si="65"/>
        <v>1.0000000002776961</v>
      </c>
      <c r="V55" s="4">
        <f t="shared" si="66"/>
        <v>2.3566758474173368E-5</v>
      </c>
      <c r="W55" t="str">
        <f t="shared" si="53"/>
        <v>1-0.000308411915803294i</v>
      </c>
      <c r="X55" s="4">
        <f t="shared" si="67"/>
        <v>1.0000000475589537</v>
      </c>
      <c r="Y55" s="4">
        <f t="shared" si="68"/>
        <v>-3.0841190602479563E-4</v>
      </c>
      <c r="Z55" t="str">
        <f t="shared" si="54"/>
        <v>0.999999999524464+0.000060738353147062i</v>
      </c>
      <c r="AA55" s="4">
        <f t="shared" si="69"/>
        <v>1.0000000013690378</v>
      </c>
      <c r="AB55" s="4">
        <f t="shared" si="70"/>
        <v>6.0738353101254358E-5</v>
      </c>
      <c r="AC55" s="48" t="str">
        <f t="shared" si="71"/>
        <v>16.363163672773-0.360185333178648i</v>
      </c>
      <c r="AD55" s="20">
        <f t="shared" si="72"/>
        <v>24.279449250963236</v>
      </c>
      <c r="AE55" s="44">
        <f t="shared" si="73"/>
        <v>-1.2609888736272359</v>
      </c>
      <c r="AF55" t="str">
        <f t="shared" si="74"/>
        <v>45.9520231294187</v>
      </c>
      <c r="AG55" t="str">
        <f t="shared" si="55"/>
        <v>1+0.010397099328766i</v>
      </c>
      <c r="AH55">
        <f t="shared" si="75"/>
        <v>1.0000540483766127</v>
      </c>
      <c r="AI55">
        <f t="shared" si="76"/>
        <v>1.0396724712045705E-2</v>
      </c>
      <c r="AJ55" t="str">
        <f t="shared" si="56"/>
        <v>1+0.0000235667584785363i</v>
      </c>
      <c r="AK55">
        <f t="shared" si="77"/>
        <v>1.0000000002776961</v>
      </c>
      <c r="AL55">
        <f t="shared" si="78"/>
        <v>2.3566758474173368E-5</v>
      </c>
      <c r="AM55" t="str">
        <f t="shared" si="57"/>
        <v>1-0.0000527265654307795i</v>
      </c>
      <c r="AN55">
        <f t="shared" si="79"/>
        <v>1.0000000013900452</v>
      </c>
      <c r="AO55">
        <f t="shared" si="80"/>
        <v>-5.2726565381917956E-5</v>
      </c>
      <c r="AP55" s="42" t="str">
        <f t="shared" si="81"/>
        <v>45.9470423945782-0.479055915762971i</v>
      </c>
      <c r="AQ55">
        <f t="shared" si="82"/>
        <v>33.245623305404528</v>
      </c>
      <c r="AR55" s="44">
        <f t="shared" si="83"/>
        <v>-0.59735918062681548</v>
      </c>
      <c r="AS55" t="str">
        <f t="shared" si="58"/>
        <v>-0.000166666666666667</v>
      </c>
      <c r="AT55" t="str">
        <f t="shared" si="59"/>
        <v>1.85882807499455E-06i</v>
      </c>
      <c r="AU55">
        <f t="shared" si="84"/>
        <v>1.85882807499455E-6</v>
      </c>
      <c r="AV55">
        <f t="shared" si="85"/>
        <v>1.5707963267948966</v>
      </c>
      <c r="AW55" t="str">
        <f t="shared" si="60"/>
        <v>1+0.000338655439784672i</v>
      </c>
      <c r="AX55">
        <f t="shared" si="86"/>
        <v>1.0000000573437517</v>
      </c>
      <c r="AY55">
        <f t="shared" si="87"/>
        <v>3.3865542683815688E-4</v>
      </c>
      <c r="AZ55" t="str">
        <f t="shared" si="61"/>
        <v>1+0.00689327685497186i</v>
      </c>
      <c r="BA55">
        <f t="shared" si="88"/>
        <v>1.0000237583506699</v>
      </c>
      <c r="BB55">
        <f t="shared" si="89"/>
        <v>6.8931676748617589E-3</v>
      </c>
      <c r="BC55" s="42" t="str">
        <f t="shared" si="90"/>
        <v>-0.587701892357933+89.662427025056i</v>
      </c>
      <c r="BD55">
        <f t="shared" si="91"/>
        <v>39.052396388881547</v>
      </c>
      <c r="BE55" s="44">
        <f t="shared" si="92"/>
        <v>90.375545888578557</v>
      </c>
      <c r="BF55" s="42" t="str">
        <f t="shared" si="93"/>
        <v>22.6784288961747+1467.37265031096i</v>
      </c>
      <c r="BG55" s="20">
        <f t="shared" si="94"/>
        <v>63.331845639844751</v>
      </c>
      <c r="BH55" s="44">
        <f t="shared" si="95"/>
        <v>89.11455701495133</v>
      </c>
      <c r="BI55" s="42" t="str">
        <f t="shared" si="101"/>
        <v>15.950152324475+4120.00487778926i</v>
      </c>
      <c r="BJ55" s="20">
        <f t="shared" si="97"/>
        <v>72.298019694286069</v>
      </c>
      <c r="BK55" s="44">
        <f t="shared" si="102"/>
        <v>89.778186707951747</v>
      </c>
      <c r="BL55">
        <f t="shared" si="99"/>
        <v>63.331845639844751</v>
      </c>
      <c r="BM55" s="44">
        <f t="shared" si="100"/>
        <v>89.11455701495133</v>
      </c>
    </row>
    <row r="56" spans="1:65" x14ac:dyDescent="0.35">
      <c r="A56" t="s">
        <v>182</v>
      </c>
      <c r="B56" s="3">
        <f>CHF</f>
        <v>6.2000000000000003E-10</v>
      </c>
      <c r="C56" s="2" t="s">
        <v>158</v>
      </c>
      <c r="E56" t="s">
        <v>185</v>
      </c>
      <c r="N56" s="9">
        <v>38</v>
      </c>
      <c r="O56" s="35">
        <f t="shared" si="62"/>
        <v>23.988329190194907</v>
      </c>
      <c r="P56" s="34" t="str">
        <f t="shared" si="50"/>
        <v>16.3709677419355</v>
      </c>
      <c r="Q56" s="4" t="str">
        <f t="shared" si="51"/>
        <v>1+0.0221708843823544i</v>
      </c>
      <c r="R56" s="4">
        <f t="shared" si="63"/>
        <v>1.0002457438621251</v>
      </c>
      <c r="S56" s="4">
        <f t="shared" si="64"/>
        <v>2.216725276789205E-2</v>
      </c>
      <c r="T56" s="4" t="str">
        <f t="shared" si="52"/>
        <v>1+0.0000241156988018592i</v>
      </c>
      <c r="U56" s="4">
        <f t="shared" si="65"/>
        <v>1.0000000002907834</v>
      </c>
      <c r="V56" s="4">
        <f t="shared" si="66"/>
        <v>2.4115698797184236E-5</v>
      </c>
      <c r="W56" t="str">
        <f t="shared" si="53"/>
        <v>1-0.000315595752177392i</v>
      </c>
      <c r="X56" s="4">
        <f t="shared" si="67"/>
        <v>1.0000000498003381</v>
      </c>
      <c r="Y56" s="4">
        <f t="shared" si="68"/>
        <v>-3.1559574169954223E-4</v>
      </c>
      <c r="Z56" t="str">
        <f t="shared" si="54"/>
        <v>0.999999999502053+0.0000621531311380621i</v>
      </c>
      <c r="AA56" s="4">
        <f t="shared" si="69"/>
        <v>1.0000000014335588</v>
      </c>
      <c r="AB56" s="4">
        <f t="shared" si="70"/>
        <v>6.2153131088978322E-5</v>
      </c>
      <c r="AC56" s="48" t="str">
        <f t="shared" si="71"/>
        <v>16.3627960590244-0.368566977041593i</v>
      </c>
      <c r="AD56" s="20">
        <f t="shared" si="72"/>
        <v>24.279353235815808</v>
      </c>
      <c r="AE56" s="44">
        <f t="shared" si="73"/>
        <v>-1.2903517153654243</v>
      </c>
      <c r="AF56" t="str">
        <f t="shared" si="74"/>
        <v>45.9520231294187</v>
      </c>
      <c r="AG56" t="str">
        <f t="shared" si="55"/>
        <v>1+0.0106392788831731i</v>
      </c>
      <c r="AH56">
        <f t="shared" si="75"/>
        <v>1.0000565955260503</v>
      </c>
      <c r="AI56">
        <f t="shared" si="76"/>
        <v>1.0638877475352131E-2</v>
      </c>
      <c r="AJ56" t="str">
        <f t="shared" si="56"/>
        <v>1+0.0000241156988018592i</v>
      </c>
      <c r="AK56">
        <f t="shared" si="77"/>
        <v>1.0000000002907834</v>
      </c>
      <c r="AL56">
        <f t="shared" si="78"/>
        <v>2.4115698797184236E-5</v>
      </c>
      <c r="AM56" t="str">
        <f t="shared" si="57"/>
        <v>1-0.0000539547249123491i</v>
      </c>
      <c r="AN56">
        <f t="shared" si="79"/>
        <v>1.0000000014555561</v>
      </c>
      <c r="AO56">
        <f t="shared" si="80"/>
        <v>-5.3954724859993011E-5</v>
      </c>
      <c r="AP56" s="42" t="str">
        <f t="shared" si="81"/>
        <v>45.9468076863445-0.490212064384529i</v>
      </c>
      <c r="AQ56">
        <f t="shared" si="82"/>
        <v>33.245601183052202</v>
      </c>
      <c r="AR56" s="44">
        <f t="shared" si="83"/>
        <v>-0.61127242835265339</v>
      </c>
      <c r="AS56" t="str">
        <f t="shared" si="58"/>
        <v>-0.000166666666666667</v>
      </c>
      <c r="AT56" t="str">
        <f t="shared" si="59"/>
        <v>1.90212574299664E-06i</v>
      </c>
      <c r="AU56">
        <f t="shared" si="84"/>
        <v>1.9021257429966401E-6</v>
      </c>
      <c r="AV56">
        <f t="shared" si="85"/>
        <v>1.5707963267948966</v>
      </c>
      <c r="AW56" t="str">
        <f t="shared" si="60"/>
        <v>1+0.000346543738329411i</v>
      </c>
      <c r="AX56">
        <f t="shared" si="86"/>
        <v>1.0000000600462795</v>
      </c>
      <c r="AY56">
        <f t="shared" si="87"/>
        <v>3.4654372445697015E-4</v>
      </c>
      <c r="AZ56" t="str">
        <f t="shared" si="61"/>
        <v>1+0.0070538418995438i</v>
      </c>
      <c r="BA56">
        <f t="shared" si="88"/>
        <v>1.0000248780333136</v>
      </c>
      <c r="BB56">
        <f t="shared" si="89"/>
        <v>7.0537249111052632E-3</v>
      </c>
      <c r="BC56" s="42" t="str">
        <f t="shared" si="90"/>
        <v>-0.587701889181371+87.6214701765267i</v>
      </c>
      <c r="BD56">
        <f t="shared" si="91"/>
        <v>38.852406090611112</v>
      </c>
      <c r="BE56" s="44">
        <f t="shared" si="92"/>
        <v>90.384293174424485</v>
      </c>
      <c r="BF56" s="42" t="str">
        <f t="shared" si="93"/>
        <v>22.6779342307244+1433.94885439909i</v>
      </c>
      <c r="BG56" s="20">
        <f t="shared" si="94"/>
        <v>63.131759326426902</v>
      </c>
      <c r="BH56" s="44">
        <f t="shared" si="95"/>
        <v>89.093941459059067</v>
      </c>
      <c r="BI56" s="42" t="str">
        <f t="shared" si="101"/>
        <v>15.9500761005248+4026.21493795198i</v>
      </c>
      <c r="BJ56" s="20">
        <f t="shared" si="97"/>
        <v>72.098007273663299</v>
      </c>
      <c r="BK56" s="44">
        <f t="shared" si="102"/>
        <v>89.773020746071836</v>
      </c>
      <c r="BL56">
        <f t="shared" si="99"/>
        <v>63.131759326426902</v>
      </c>
      <c r="BM56" s="44">
        <f t="shared" si="100"/>
        <v>89.093941459059067</v>
      </c>
    </row>
    <row r="57" spans="1:65" x14ac:dyDescent="0.35">
      <c r="N57" s="9">
        <v>39</v>
      </c>
      <c r="O57" s="35">
        <f t="shared" si="62"/>
        <v>24.547089156850316</v>
      </c>
      <c r="P57" s="34" t="str">
        <f t="shared" si="50"/>
        <v>16.3709677419355</v>
      </c>
      <c r="Q57" s="4" t="str">
        <f t="shared" si="51"/>
        <v>1+0.02268731062113i</v>
      </c>
      <c r="R57" s="4">
        <f t="shared" si="63"/>
        <v>1.0002573239238088</v>
      </c>
      <c r="S57" s="4">
        <f t="shared" si="64"/>
        <v>2.2683419330189521E-2</v>
      </c>
      <c r="T57" s="4" t="str">
        <f t="shared" si="52"/>
        <v>1+0.0000246774255878958i</v>
      </c>
      <c r="U57" s="4">
        <f t="shared" si="65"/>
        <v>1.0000000003044875</v>
      </c>
      <c r="V57" s="4">
        <f t="shared" si="66"/>
        <v>2.4677425582886485E-5</v>
      </c>
      <c r="W57" t="str">
        <f t="shared" si="53"/>
        <v>1-0.000322946921596698i</v>
      </c>
      <c r="X57" s="4">
        <f t="shared" si="67"/>
        <v>1.0000000521473558</v>
      </c>
      <c r="Y57" s="4">
        <f t="shared" si="68"/>
        <v>-3.2294691036947973E-4</v>
      </c>
      <c r="Z57" t="str">
        <f t="shared" si="54"/>
        <v>0.999999999478586+0.0000636008635418855i</v>
      </c>
      <c r="AA57" s="4">
        <f t="shared" si="69"/>
        <v>1.0000000015011208</v>
      </c>
      <c r="AB57" s="4">
        <f t="shared" si="70"/>
        <v>6.3600863489291233E-5</v>
      </c>
      <c r="AC57" s="48" t="str">
        <f t="shared" si="71"/>
        <v>16.3624111375981-0.377143271960259i</v>
      </c>
      <c r="AD57" s="20">
        <f t="shared" si="72"/>
        <v>24.279252697889838</v>
      </c>
      <c r="AE57" s="44">
        <f t="shared" si="73"/>
        <v>-1.3203978362324684</v>
      </c>
      <c r="AF57" t="str">
        <f t="shared" si="74"/>
        <v>45.9520231294187</v>
      </c>
      <c r="AG57" t="str">
        <f t="shared" si="55"/>
        <v>1+0.0108870995240717i</v>
      </c>
      <c r="AH57">
        <f t="shared" si="75"/>
        <v>1.0000592627119891</v>
      </c>
      <c r="AI57">
        <f t="shared" si="76"/>
        <v>1.0886669409218844E-2</v>
      </c>
      <c r="AJ57" t="str">
        <f t="shared" si="56"/>
        <v>1+0.0000246774255878958i</v>
      </c>
      <c r="AK57">
        <f t="shared" si="77"/>
        <v>1.0000000003044875</v>
      </c>
      <c r="AL57">
        <f t="shared" si="78"/>
        <v>2.4677425582886485E-5</v>
      </c>
      <c r="AM57" t="str">
        <f t="shared" si="57"/>
        <v>1-0.0000552114919032426i</v>
      </c>
      <c r="AN57">
        <f t="shared" si="79"/>
        <v>1.0000000015241544</v>
      </c>
      <c r="AO57">
        <f t="shared" si="80"/>
        <v>-5.5211491847142045E-5</v>
      </c>
      <c r="AP57" s="42" t="str">
        <f t="shared" si="81"/>
        <v>45.9465619192156-0.501627894524981i</v>
      </c>
      <c r="AQ57">
        <f t="shared" si="82"/>
        <v>33.24557801822634</v>
      </c>
      <c r="AR57" s="44">
        <f t="shared" si="83"/>
        <v>-0.62550968323073564</v>
      </c>
      <c r="AS57" t="str">
        <f t="shared" si="58"/>
        <v>-0.000166666666666667</v>
      </c>
      <c r="AT57" t="str">
        <f t="shared" si="59"/>
        <v>1.94643194324529E-06i</v>
      </c>
      <c r="AU57">
        <f t="shared" si="84"/>
        <v>1.9464319432452902E-6</v>
      </c>
      <c r="AV57">
        <f t="shared" si="85"/>
        <v>1.5707963267948966</v>
      </c>
      <c r="AW57" t="str">
        <f t="shared" si="60"/>
        <v>1+0.000354615778951261i</v>
      </c>
      <c r="AX57">
        <f t="shared" si="86"/>
        <v>1.0000000628761734</v>
      </c>
      <c r="AY57">
        <f t="shared" si="87"/>
        <v>3.5461576408667286E-4</v>
      </c>
      <c r="AZ57" t="str">
        <f t="shared" si="61"/>
        <v>1+0.00721814698445952i</v>
      </c>
      <c r="BA57">
        <f t="shared" si="88"/>
        <v>1.0000260504836307</v>
      </c>
      <c r="BB57">
        <f t="shared" si="89"/>
        <v>7.2180216292655032E-3</v>
      </c>
      <c r="BC57" s="42" t="str">
        <f t="shared" si="90"/>
        <v>-0.587701885855101+85.6269713912913i</v>
      </c>
      <c r="BD57">
        <f t="shared" si="91"/>
        <v>38.652416249545666</v>
      </c>
      <c r="BE57" s="44">
        <f t="shared" si="92"/>
        <v>90.393244189160086</v>
      </c>
      <c r="BF57" s="42" t="str">
        <f t="shared" si="93"/>
        <v>22.6774162758562+1401.28535818383i</v>
      </c>
      <c r="BG57" s="20">
        <f t="shared" si="94"/>
        <v>62.931668947435526</v>
      </c>
      <c r="BH57" s="44">
        <f t="shared" si="95"/>
        <v>89.072846352927613</v>
      </c>
      <c r="BI57" s="42" t="str">
        <f t="shared" si="101"/>
        <v>15.9499962850831+3934.55975064448i</v>
      </c>
      <c r="BJ57" s="20">
        <f t="shared" si="97"/>
        <v>71.897994267772006</v>
      </c>
      <c r="BK57" s="44">
        <f t="shared" si="102"/>
        <v>89.767734505929354</v>
      </c>
      <c r="BL57">
        <f t="shared" si="99"/>
        <v>62.931668947435526</v>
      </c>
      <c r="BM57" s="44">
        <f t="shared" si="100"/>
        <v>89.072846352927613</v>
      </c>
    </row>
    <row r="58" spans="1:65" x14ac:dyDescent="0.35">
      <c r="A58" t="s">
        <v>225</v>
      </c>
      <c r="B58" s="1">
        <f>-(RFBB*gm_ea)/(RFBB+RFBT)</f>
        <v>-1.6666666666666666E-4</v>
      </c>
      <c r="C58" t="s">
        <v>147</v>
      </c>
      <c r="N58" s="9">
        <v>40</v>
      </c>
      <c r="O58" s="35">
        <f t="shared" si="62"/>
        <v>25.118864315095799</v>
      </c>
      <c r="P58" s="34" t="str">
        <f t="shared" si="50"/>
        <v>16.3709677419355</v>
      </c>
      <c r="Q58" s="4" t="str">
        <f t="shared" si="51"/>
        <v>1+0.0232157659722992i</v>
      </c>
      <c r="R58" s="4">
        <f t="shared" si="63"/>
        <v>1.0002694495932987</v>
      </c>
      <c r="S58" s="4">
        <f t="shared" si="64"/>
        <v>2.3211596439594171E-2</v>
      </c>
      <c r="T58" s="4" t="str">
        <f t="shared" si="52"/>
        <v>1+0.0000252522366716237i</v>
      </c>
      <c r="U58" s="4">
        <f t="shared" si="65"/>
        <v>1.0000000003188378</v>
      </c>
      <c r="V58" s="4">
        <f t="shared" si="66"/>
        <v>2.5252236666256123E-5</v>
      </c>
      <c r="W58" t="str">
        <f t="shared" si="53"/>
        <v>1-0.000330469321748544i</v>
      </c>
      <c r="X58" s="4">
        <f t="shared" si="67"/>
        <v>1.0000000546049848</v>
      </c>
      <c r="Y58" s="4">
        <f t="shared" si="68"/>
        <v>-3.3046930971836295E-4</v>
      </c>
      <c r="Z58" t="str">
        <f t="shared" si="54"/>
        <v>0.999999999454012+0.0000650823179654162i</v>
      </c>
      <c r="AA58" s="4">
        <f t="shared" si="69"/>
        <v>1.0000000015718657</v>
      </c>
      <c r="AB58" s="4">
        <f t="shared" si="70"/>
        <v>6.508231790906047E-5</v>
      </c>
      <c r="AC58" s="48" t="str">
        <f t="shared" si="71"/>
        <v>16.3620080944884-0.385918710327677i</v>
      </c>
      <c r="AD58" s="20">
        <f t="shared" si="72"/>
        <v>24.279147424252926</v>
      </c>
      <c r="AE58" s="44">
        <f t="shared" si="73"/>
        <v>-1.3511431040079731</v>
      </c>
      <c r="AF58" t="str">
        <f t="shared" si="74"/>
        <v>45.9520231294187</v>
      </c>
      <c r="AG58" t="str">
        <f t="shared" si="55"/>
        <v>1+0.0111406926492457i</v>
      </c>
      <c r="AH58">
        <f t="shared" si="75"/>
        <v>1.0000620555909043</v>
      </c>
      <c r="AI58">
        <f t="shared" si="76"/>
        <v>1.1140231774421937E-2</v>
      </c>
      <c r="AJ58" t="str">
        <f t="shared" si="56"/>
        <v>1+0.0000252522366716237i</v>
      </c>
      <c r="AK58">
        <f t="shared" si="77"/>
        <v>1.0000000003188378</v>
      </c>
      <c r="AL58">
        <f t="shared" si="78"/>
        <v>2.5252236666256123E-5</v>
      </c>
      <c r="AM58" t="str">
        <f t="shared" si="57"/>
        <v>1-0.000056497532757954i</v>
      </c>
      <c r="AN58">
        <f t="shared" si="79"/>
        <v>1.0000000015959856</v>
      </c>
      <c r="AO58">
        <f t="shared" si="80"/>
        <v>-5.6497532697841172E-5</v>
      </c>
      <c r="AP58" s="42" t="str">
        <f t="shared" si="81"/>
        <v>45.9463045722486-0.513309442176499i</v>
      </c>
      <c r="AQ58">
        <f t="shared" si="82"/>
        <v>33.24555376180826</v>
      </c>
      <c r="AR58" s="44">
        <f t="shared" si="83"/>
        <v>-0.64007848706416026</v>
      </c>
      <c r="AS58" t="str">
        <f t="shared" si="58"/>
        <v>-0.000166666666666667</v>
      </c>
      <c r="AT58" t="str">
        <f t="shared" si="59"/>
        <v>1.99177016747431E-06i</v>
      </c>
      <c r="AU58">
        <f t="shared" si="84"/>
        <v>1.9917701674743101E-6</v>
      </c>
      <c r="AV58">
        <f t="shared" si="85"/>
        <v>1.5707963267948966</v>
      </c>
      <c r="AW58" t="str">
        <f t="shared" si="60"/>
        <v>1+0.000362875841553008i</v>
      </c>
      <c r="AX58">
        <f t="shared" si="86"/>
        <v>1.0000000658394361</v>
      </c>
      <c r="AY58">
        <f t="shared" si="87"/>
        <v>3.6287582562531494E-4</v>
      </c>
      <c r="AZ58" t="str">
        <f t="shared" si="61"/>
        <v>1+0.00738627922644992i</v>
      </c>
      <c r="BA58">
        <f t="shared" si="88"/>
        <v>1.0000272781883557</v>
      </c>
      <c r="BB58">
        <f t="shared" si="89"/>
        <v>7.3861449061374037E-3</v>
      </c>
      <c r="BC58" s="42" t="str">
        <f t="shared" si="90"/>
        <v>-0.587701882372076+83.6778731596952i</v>
      </c>
      <c r="BD58">
        <f t="shared" si="91"/>
        <v>38.452426887230551</v>
      </c>
      <c r="BE58" s="44">
        <f t="shared" si="92"/>
        <v>90.402403676698071</v>
      </c>
      <c r="BF58" s="42" t="str">
        <f t="shared" si="93"/>
        <v>22.6768739362345+1369.36484312101i</v>
      </c>
      <c r="BG58" s="20">
        <f t="shared" si="94"/>
        <v>62.731574311483492</v>
      </c>
      <c r="BH58" s="44">
        <f t="shared" si="95"/>
        <v>89.051260572690111</v>
      </c>
      <c r="BI58" s="42" t="str">
        <f t="shared" si="101"/>
        <v>15.9499127089678+3844.99071907875i</v>
      </c>
      <c r="BJ58" s="20">
        <f t="shared" si="97"/>
        <v>71.697980649038811</v>
      </c>
      <c r="BK58" s="44">
        <f t="shared" si="102"/>
        <v>89.762325189633913</v>
      </c>
      <c r="BL58">
        <f t="shared" si="99"/>
        <v>62.731574311483492</v>
      </c>
      <c r="BM58" s="44">
        <f t="shared" si="100"/>
        <v>89.051260572690111</v>
      </c>
    </row>
    <row r="59" spans="1:65" x14ac:dyDescent="0.35">
      <c r="A59" t="s">
        <v>224</v>
      </c>
      <c r="B59" s="1">
        <f>1/(RCOMP*CCOMP)</f>
        <v>21367.521367521364</v>
      </c>
      <c r="E59" t="s">
        <v>238</v>
      </c>
      <c r="N59" s="9">
        <v>41</v>
      </c>
      <c r="O59" s="35">
        <f t="shared" si="62"/>
        <v>25.703957827688647</v>
      </c>
      <c r="P59" s="34" t="str">
        <f t="shared" si="50"/>
        <v>16.3709677419355</v>
      </c>
      <c r="Q59" s="4" t="str">
        <f t="shared" si="51"/>
        <v>1+0.0237565306298837i</v>
      </c>
      <c r="R59" s="4">
        <f t="shared" si="63"/>
        <v>1.0002821465704408</v>
      </c>
      <c r="S59" s="4">
        <f t="shared" si="64"/>
        <v>2.375206296315566E-2</v>
      </c>
      <c r="T59" s="4" t="str">
        <f t="shared" si="52"/>
        <v>1+0.0000258404368254875i</v>
      </c>
      <c r="U59" s="4">
        <f t="shared" si="65"/>
        <v>1.000000000333864</v>
      </c>
      <c r="V59" s="4">
        <f t="shared" si="66"/>
        <v>2.5840436819736039E-5</v>
      </c>
      <c r="W59" t="str">
        <f t="shared" si="53"/>
        <v>1-0.000338166941109058i</v>
      </c>
      <c r="X59" s="4">
        <f t="shared" si="67"/>
        <v>1.0000000571784384</v>
      </c>
      <c r="Y59" s="4">
        <f t="shared" si="68"/>
        <v>-3.3816692821848682E-4</v>
      </c>
      <c r="Z59" t="str">
        <f t="shared" si="54"/>
        <v>0.99999999942828+0.000066598279895398i</v>
      </c>
      <c r="AA59" s="4">
        <f t="shared" si="69"/>
        <v>1.0000000016459454</v>
      </c>
      <c r="AB59" s="4">
        <f t="shared" si="70"/>
        <v>6.6598279835011759E-5</v>
      </c>
      <c r="AC59" s="48" t="str">
        <f t="shared" si="71"/>
        <v>16.3615860774881-0.39489788620792i</v>
      </c>
      <c r="AD59" s="20">
        <f t="shared" si="72"/>
        <v>24.279037191958427</v>
      </c>
      <c r="AE59" s="44">
        <f t="shared" si="73"/>
        <v>-1.3826037526624644</v>
      </c>
      <c r="AF59" t="str">
        <f t="shared" si="74"/>
        <v>45.9520231294187</v>
      </c>
      <c r="AG59" t="str">
        <f t="shared" si="55"/>
        <v>1+0.0114001927171268i</v>
      </c>
      <c r="AH59">
        <f t="shared" si="75"/>
        <v>1.0000649800857879</v>
      </c>
      <c r="AI59">
        <f t="shared" si="76"/>
        <v>1.1399698882588832E-2</v>
      </c>
      <c r="AJ59" t="str">
        <f t="shared" si="56"/>
        <v>1+0.0000258404368254875i</v>
      </c>
      <c r="AK59">
        <f t="shared" si="77"/>
        <v>1.000000000333864</v>
      </c>
      <c r="AL59">
        <f t="shared" si="78"/>
        <v>2.5840436819736039E-5</v>
      </c>
      <c r="AM59" t="str">
        <f t="shared" si="57"/>
        <v>1-0.0000578135293523665i</v>
      </c>
      <c r="AN59">
        <f t="shared" si="79"/>
        <v>1.0000000016712021</v>
      </c>
      <c r="AO59">
        <f t="shared" si="80"/>
        <v>-5.7813529287954445E-5</v>
      </c>
      <c r="AP59" s="42" t="str">
        <f t="shared" si="81"/>
        <v>45.9460350999742-0.525262883014892i</v>
      </c>
      <c r="AQ59">
        <f t="shared" si="82"/>
        <v>33.24552836236569</v>
      </c>
      <c r="AR59" s="44">
        <f t="shared" si="83"/>
        <v>-0.65498655694875041</v>
      </c>
      <c r="AS59" t="str">
        <f t="shared" si="58"/>
        <v>-0.000166666666666667</v>
      </c>
      <c r="AT59" t="str">
        <f t="shared" si="59"/>
        <v>2.03816445461033E-06i</v>
      </c>
      <c r="AU59">
        <f t="shared" si="84"/>
        <v>2.0381644546103298E-6</v>
      </c>
      <c r="AV59">
        <f t="shared" si="85"/>
        <v>1.5707963267948966</v>
      </c>
      <c r="AW59" t="str">
        <f t="shared" si="60"/>
        <v>1+0.000371328305729173i</v>
      </c>
      <c r="AX59">
        <f t="shared" si="86"/>
        <v>1.0000000689423529</v>
      </c>
      <c r="AY59">
        <f t="shared" si="87"/>
        <v>3.7132828866234244E-4</v>
      </c>
      <c r="AZ59" t="str">
        <f t="shared" si="61"/>
        <v>1+0.00755832777145509i</v>
      </c>
      <c r="BA59">
        <f t="shared" si="88"/>
        <v>1.0000285637514064</v>
      </c>
      <c r="BB59">
        <f t="shared" si="89"/>
        <v>7.5581838448691707E-3</v>
      </c>
      <c r="BC59" s="42" t="str">
        <f t="shared" si="90"/>
        <v>-0.587701878724893+81.7731420440552i</v>
      </c>
      <c r="BD59">
        <f t="shared" si="91"/>
        <v>38.252438026225953</v>
      </c>
      <c r="BE59" s="44">
        <f t="shared" si="92"/>
        <v>90.411776491340788</v>
      </c>
      <c r="BF59" s="42" t="str">
        <f t="shared" si="93"/>
        <v>22.6763060651186+1338.1703846101i</v>
      </c>
      <c r="BG59" s="20">
        <f t="shared" si="94"/>
        <v>62.531475218184383</v>
      </c>
      <c r="BH59" s="44">
        <f t="shared" si="95"/>
        <v>89.029172738678326</v>
      </c>
      <c r="BI59" s="42" t="str">
        <f t="shared" si="101"/>
        <v>15.949825195032+3757.46035257451i</v>
      </c>
      <c r="BJ59" s="20">
        <f t="shared" si="97"/>
        <v>71.497966388591649</v>
      </c>
      <c r="BK59" s="44">
        <f t="shared" si="102"/>
        <v>89.756789934392046</v>
      </c>
      <c r="BL59">
        <f t="shared" si="99"/>
        <v>62.531475218184383</v>
      </c>
      <c r="BM59" s="44">
        <f t="shared" si="100"/>
        <v>89.029172738678326</v>
      </c>
    </row>
    <row r="60" spans="1:65" x14ac:dyDescent="0.35">
      <c r="A60" t="s">
        <v>229</v>
      </c>
      <c r="B60" s="1">
        <f>(CCOMP+CHF)</f>
        <v>1.2620000000000002E-8</v>
      </c>
      <c r="E60" t="s">
        <v>239</v>
      </c>
      <c r="N60" s="9">
        <v>42</v>
      </c>
      <c r="O60" s="35">
        <f t="shared" si="62"/>
        <v>26.302679918953825</v>
      </c>
      <c r="P60" s="34" t="str">
        <f t="shared" si="50"/>
        <v>16.3709677419355</v>
      </c>
      <c r="Q60" s="4" t="str">
        <f t="shared" si="51"/>
        <v>1+0.024309891314463i</v>
      </c>
      <c r="R60" s="4">
        <f t="shared" si="63"/>
        <v>1.0002954417649423</v>
      </c>
      <c r="S60" s="4">
        <f t="shared" si="64"/>
        <v>2.4305104199675406E-2</v>
      </c>
      <c r="T60" s="4" t="str">
        <f t="shared" si="52"/>
        <v>1+0.0000264423379209949i</v>
      </c>
      <c r="U60" s="4">
        <f t="shared" si="65"/>
        <v>1.0000000003495986</v>
      </c>
      <c r="V60" s="4">
        <f t="shared" si="66"/>
        <v>2.6442337914832097E-5</v>
      </c>
      <c r="W60" t="str">
        <f t="shared" si="53"/>
        <v>1-0.000346043861057917i</v>
      </c>
      <c r="X60" s="4">
        <f t="shared" si="67"/>
        <v>1.0000000598731751</v>
      </c>
      <c r="Y60" s="4">
        <f t="shared" si="68"/>
        <v>-3.4604384724542115E-4</v>
      </c>
      <c r="Z60" t="str">
        <f t="shared" si="54"/>
        <v>0.999999999401336+0.0000681495531149129i</v>
      </c>
      <c r="AA60" s="4">
        <f t="shared" si="69"/>
        <v>1.0000000017235167</v>
      </c>
      <c r="AB60" s="4">
        <f t="shared" si="70"/>
        <v>6.8149553050207858E-5</v>
      </c>
      <c r="AC60" s="48" t="str">
        <f t="shared" si="71"/>
        <v>16.3611441944044-0.404085497492642i</v>
      </c>
      <c r="AD60" s="20">
        <f t="shared" si="72"/>
        <v>24.278921767575831</v>
      </c>
      <c r="AE60" s="44">
        <f t="shared" si="73"/>
        <v>-1.4147963906432237</v>
      </c>
      <c r="AF60" t="str">
        <f t="shared" si="74"/>
        <v>45.9520231294187</v>
      </c>
      <c r="AG60" t="str">
        <f t="shared" si="55"/>
        <v>1+0.0116657373180859i</v>
      </c>
      <c r="AH60">
        <f t="shared" si="75"/>
        <v>1.0000680423987034</v>
      </c>
      <c r="AI60">
        <f t="shared" si="76"/>
        <v>1.1665208166789304E-2</v>
      </c>
      <c r="AJ60" t="str">
        <f t="shared" si="56"/>
        <v>1+0.0000264423379209949i</v>
      </c>
      <c r="AK60">
        <f t="shared" si="77"/>
        <v>1.0000000003495986</v>
      </c>
      <c r="AL60">
        <f t="shared" si="78"/>
        <v>2.6442337914832097E-5</v>
      </c>
      <c r="AM60" t="str">
        <f t="shared" si="57"/>
        <v>1-0.0000591601794452942i</v>
      </c>
      <c r="AN60">
        <f t="shared" si="79"/>
        <v>1.0000000017499633</v>
      </c>
      <c r="AO60">
        <f t="shared" si="80"/>
        <v>-5.9160179376275433E-5</v>
      </c>
      <c r="AP60" s="42" t="str">
        <f t="shared" si="81"/>
        <v>45.9457529312409-0.537494535588001i</v>
      </c>
      <c r="AQ60">
        <f t="shared" si="82"/>
        <v>33.245501766043446</v>
      </c>
      <c r="AR60" s="44">
        <f t="shared" si="83"/>
        <v>-0.67024178932908629</v>
      </c>
      <c r="AS60" t="str">
        <f t="shared" si="58"/>
        <v>-0.000166666666666667</v>
      </c>
      <c r="AT60" t="str">
        <f t="shared" si="59"/>
        <v>2.08563940351847E-06i</v>
      </c>
      <c r="AU60">
        <f t="shared" si="84"/>
        <v>2.08563940351847E-6</v>
      </c>
      <c r="AV60">
        <f t="shared" si="85"/>
        <v>1.5707963267948966</v>
      </c>
      <c r="AW60" t="str">
        <f t="shared" si="60"/>
        <v>1+0.000379977653088148i</v>
      </c>
      <c r="AX60">
        <f t="shared" si="86"/>
        <v>1.0000000721915059</v>
      </c>
      <c r="AY60">
        <f t="shared" si="87"/>
        <v>3.7997763480070959E-4</v>
      </c>
      <c r="AZ60" t="str">
        <f t="shared" si="61"/>
        <v>1+0.00773438384189099i</v>
      </c>
      <c r="BA60">
        <f t="shared" si="88"/>
        <v>1.0000299098994059</v>
      </c>
      <c r="BB60">
        <f t="shared" si="89"/>
        <v>7.7342296220247594E-3</v>
      </c>
      <c r="BC60" s="42" t="str">
        <f t="shared" si="90"/>
        <v>-0.587701874905828+79.9117681307228i</v>
      </c>
      <c r="BD60">
        <f t="shared" si="91"/>
        <v>38.052449690155314</v>
      </c>
      <c r="BE60" s="44">
        <f t="shared" si="92"/>
        <v>90.421367600343643</v>
      </c>
      <c r="BF60" s="42" t="str">
        <f t="shared" si="93"/>
        <v>22.6757114619637+1307.68544302106i</v>
      </c>
      <c r="BG60" s="20">
        <f t="shared" si="94"/>
        <v>62.331371457731109</v>
      </c>
      <c r="BH60" s="44">
        <f t="shared" si="95"/>
        <v>89.006571209700411</v>
      </c>
      <c r="BI60" s="42" t="str">
        <f t="shared" si="101"/>
        <v>15.9497335577887+3671.92224137912i</v>
      </c>
      <c r="BJ60" s="20">
        <f t="shared" si="97"/>
        <v>71.297951456198774</v>
      </c>
      <c r="BK60" s="44">
        <f t="shared" si="102"/>
        <v>89.75112581101456</v>
      </c>
      <c r="BL60">
        <f t="shared" si="99"/>
        <v>62.331371457731109</v>
      </c>
      <c r="BM60" s="44">
        <f t="shared" si="100"/>
        <v>89.006571209700411</v>
      </c>
    </row>
    <row r="61" spans="1:65" x14ac:dyDescent="0.35">
      <c r="A61" t="s">
        <v>230</v>
      </c>
      <c r="B61" s="1">
        <f>(CCOMP+CHF)/(RCOMP*CHF*CCOMP)</f>
        <v>434932.4510614833</v>
      </c>
      <c r="E61" t="s">
        <v>240</v>
      </c>
      <c r="N61" s="9">
        <v>43</v>
      </c>
      <c r="O61" s="35">
        <f t="shared" si="62"/>
        <v>26.915348039269158</v>
      </c>
      <c r="P61" s="34" t="str">
        <f t="shared" si="50"/>
        <v>16.3709677419355</v>
      </c>
      <c r="Q61" s="4" t="str">
        <f t="shared" si="51"/>
        <v>1+0.0248761414251968i</v>
      </c>
      <c r="R61" s="4">
        <f t="shared" si="63"/>
        <v>1.0003093633532609</v>
      </c>
      <c r="S61" s="4">
        <f t="shared" si="64"/>
        <v>2.4871012024960469E-2</v>
      </c>
      <c r="T61" s="4" t="str">
        <f t="shared" si="52"/>
        <v>1+0.0000270582590940738i</v>
      </c>
      <c r="U61" s="4">
        <f t="shared" si="65"/>
        <v>1.0000000003660747</v>
      </c>
      <c r="V61" s="4">
        <f t="shared" si="66"/>
        <v>2.7058259087470236E-5</v>
      </c>
      <c r="W61" t="str">
        <f t="shared" si="53"/>
        <v>1-0.000354104258042343i</v>
      </c>
      <c r="X61" s="4">
        <f t="shared" si="67"/>
        <v>1.0000000626949108</v>
      </c>
      <c r="Y61" s="4">
        <f t="shared" si="68"/>
        <v>-3.541042432419871E-4</v>
      </c>
      <c r="Z61" t="str">
        <f t="shared" si="54"/>
        <v>0.999999999373122+0.0000697369601295556i</v>
      </c>
      <c r="AA61" s="4">
        <f t="shared" si="69"/>
        <v>1.0000000018047437</v>
      </c>
      <c r="AB61" s="4">
        <f t="shared" si="70"/>
        <v>6.9736960060222888E-5</v>
      </c>
      <c r="AC61" s="48" t="str">
        <f t="shared" si="71"/>
        <v>16.3606815111912-0.413486348092744i</v>
      </c>
      <c r="AD61" s="20">
        <f t="shared" si="72"/>
        <v>24.278800906698798</v>
      </c>
      <c r="AE61" s="44">
        <f t="shared" si="73"/>
        <v>-1.4477380093356345</v>
      </c>
      <c r="AF61" t="str">
        <f t="shared" si="74"/>
        <v>45.9520231294187</v>
      </c>
      <c r="AG61" t="str">
        <f t="shared" si="55"/>
        <v>1+0.0119374672473855i</v>
      </c>
      <c r="AH61">
        <f t="shared" si="75"/>
        <v>1.0000712490239294</v>
      </c>
      <c r="AI61">
        <f t="shared" si="76"/>
        <v>1.1936900253737472E-2</v>
      </c>
      <c r="AJ61" t="str">
        <f t="shared" si="56"/>
        <v>1+0.0000270582590940738i</v>
      </c>
      <c r="AK61">
        <f t="shared" si="77"/>
        <v>1.0000000003660747</v>
      </c>
      <c r="AL61">
        <f t="shared" si="78"/>
        <v>2.7058259087470236E-5</v>
      </c>
      <c r="AM61" t="str">
        <f t="shared" si="57"/>
        <v>1-0.0000605381970484416i</v>
      </c>
      <c r="AN61">
        <f t="shared" si="79"/>
        <v>1.0000000018324366</v>
      </c>
      <c r="AO61">
        <f t="shared" si="80"/>
        <v>-6.0538196974486657E-5</v>
      </c>
      <c r="AP61" s="42" t="str">
        <f t="shared" si="81"/>
        <v>45.9454574680093-0.550010864573755i</v>
      </c>
      <c r="AQ61">
        <f t="shared" si="82"/>
        <v>33.245473916449761</v>
      </c>
      <c r="AR61" s="44">
        <f t="shared" si="83"/>
        <v>-0.68585226414708467</v>
      </c>
      <c r="AS61" t="str">
        <f t="shared" si="58"/>
        <v>-0.000166666666666667</v>
      </c>
      <c r="AT61" t="str">
        <f t="shared" si="59"/>
        <v>2.13422018604507E-06i</v>
      </c>
      <c r="AU61">
        <f t="shared" si="84"/>
        <v>2.1342201860450702E-6</v>
      </c>
      <c r="AV61">
        <f t="shared" si="85"/>
        <v>1.5707963267948966</v>
      </c>
      <c r="AW61" t="str">
        <f t="shared" si="60"/>
        <v>1+0.00038882846962839i</v>
      </c>
      <c r="AX61">
        <f t="shared" si="86"/>
        <v>1.0000000755937866</v>
      </c>
      <c r="AY61">
        <f t="shared" si="87"/>
        <v>3.8882845003304682E-4</v>
      </c>
      <c r="AZ61" t="str">
        <f t="shared" si="61"/>
        <v>1+0.00791454078501656i</v>
      </c>
      <c r="BA61">
        <f t="shared" si="88"/>
        <v>1.0000313194874637</v>
      </c>
      <c r="BB61">
        <f t="shared" si="89"/>
        <v>7.9143755357321578E-3</v>
      </c>
      <c r="BC61" s="42" t="str">
        <f t="shared" si="90"/>
        <v>-0.587701870906773+78.09276449461i</v>
      </c>
      <c r="BD61">
        <f t="shared" si="91"/>
        <v>37.852461903754943</v>
      </c>
      <c r="BE61" s="44">
        <f t="shared" si="92"/>
        <v>90.431182086537532</v>
      </c>
      <c r="BF61" s="42" t="str">
        <f t="shared" si="93"/>
        <v>22.6750888699061+1277.89385492514i</v>
      </c>
      <c r="BG61" s="20">
        <f t="shared" si="94"/>
        <v>62.13126281045372</v>
      </c>
      <c r="BH61" s="44">
        <f t="shared" si="95"/>
        <v>88.983444077201895</v>
      </c>
      <c r="BI61" s="42" t="str">
        <f t="shared" si="101"/>
        <v>15.9496376030185+3588.3310320605i</v>
      </c>
      <c r="BJ61" s="20">
        <f t="shared" si="97"/>
        <v>71.097935820204697</v>
      </c>
      <c r="BK61" s="44">
        <f t="shared" si="102"/>
        <v>89.74532982239046</v>
      </c>
      <c r="BL61">
        <f t="shared" si="99"/>
        <v>62.13126281045372</v>
      </c>
      <c r="BM61" s="44">
        <f t="shared" si="100"/>
        <v>88.983444077201895</v>
      </c>
    </row>
    <row r="62" spans="1:65" x14ac:dyDescent="0.35">
      <c r="N62" s="9">
        <v>44</v>
      </c>
      <c r="O62" s="35">
        <f t="shared" si="62"/>
        <v>27.542287033381665</v>
      </c>
      <c r="P62" s="34" t="str">
        <f t="shared" si="50"/>
        <v>16.3709677419355</v>
      </c>
      <c r="Q62" s="4" t="str">
        <f t="shared" si="51"/>
        <v>1+0.0254555811953889i</v>
      </c>
      <c r="R62" s="4">
        <f t="shared" si="63"/>
        <v>1.0003239408381641</v>
      </c>
      <c r="S62" s="4">
        <f t="shared" si="64"/>
        <v>2.5450085040136367E-2</v>
      </c>
      <c r="T62" s="4" t="str">
        <f t="shared" si="52"/>
        <v>1+0.0000276885269142827i</v>
      </c>
      <c r="U62" s="4">
        <f t="shared" si="65"/>
        <v>1.0000000003833271</v>
      </c>
      <c r="V62" s="4">
        <f t="shared" si="66"/>
        <v>2.7688526907206854E-5</v>
      </c>
      <c r="W62" t="str">
        <f t="shared" si="53"/>
        <v>1-0.000362352405791506i</v>
      </c>
      <c r="X62" s="4">
        <f t="shared" si="67"/>
        <v>1.0000000656496308</v>
      </c>
      <c r="Y62" s="4">
        <f t="shared" si="68"/>
        <v>-3.6235238993263894E-4</v>
      </c>
      <c r="Z62" t="str">
        <f t="shared" si="54"/>
        <v>0.999999999343578+0.0000713613426035368i</v>
      </c>
      <c r="AA62" s="4">
        <f t="shared" si="69"/>
        <v>1.0000000018897985</v>
      </c>
      <c r="AB62" s="4">
        <f t="shared" si="70"/>
        <v>7.1361342529245483E-5</v>
      </c>
      <c r="AC62" s="48" t="str">
        <f t="shared" si="71"/>
        <v>16.3601970499958-0.423105350165004i</v>
      </c>
      <c r="AD62" s="20">
        <f t="shared" si="72"/>
        <v>24.278674353430524</v>
      </c>
      <c r="AE62" s="44">
        <f t="shared" si="73"/>
        <v>-1.4814459917030578</v>
      </c>
      <c r="AF62" t="str">
        <f t="shared" si="74"/>
        <v>45.9520231294187</v>
      </c>
      <c r="AG62" t="str">
        <f t="shared" si="55"/>
        <v>1+0.0122155265798306i</v>
      </c>
      <c r="AH62">
        <f t="shared" si="75"/>
        <v>1.0000746067617268</v>
      </c>
      <c r="AI62">
        <f t="shared" si="76"/>
        <v>1.221491903763864E-2</v>
      </c>
      <c r="AJ62" t="str">
        <f t="shared" si="56"/>
        <v>1+0.0000276885269142827i</v>
      </c>
      <c r="AK62">
        <f t="shared" si="77"/>
        <v>1.0000000003833271</v>
      </c>
      <c r="AL62">
        <f t="shared" si="78"/>
        <v>2.7688526907206854E-5</v>
      </c>
      <c r="AM62" t="str">
        <f t="shared" si="57"/>
        <v>1-0.0000619483128049819i</v>
      </c>
      <c r="AN62">
        <f t="shared" si="79"/>
        <v>1.0000000019187967</v>
      </c>
      <c r="AO62">
        <f t="shared" si="80"/>
        <v>-6.1948312725737759E-5</v>
      </c>
      <c r="AP62" s="42" t="str">
        <f t="shared" si="81"/>
        <v>45.945148084086-0.562818484109064i</v>
      </c>
      <c r="AQ62">
        <f t="shared" si="82"/>
        <v>33.245444754536557</v>
      </c>
      <c r="AR62" s="44">
        <f t="shared" si="83"/>
        <v>-0.70182624908511948</v>
      </c>
      <c r="AS62" t="str">
        <f t="shared" si="58"/>
        <v>-0.000166666666666667</v>
      </c>
      <c r="AT62" t="str">
        <f t="shared" si="59"/>
        <v>2.18393256036404E-06i</v>
      </c>
      <c r="AU62">
        <f t="shared" si="84"/>
        <v>2.1839325603640398E-6</v>
      </c>
      <c r="AV62">
        <f t="shared" si="85"/>
        <v>1.5707963267948966</v>
      </c>
      <c r="AW62" t="str">
        <f t="shared" si="60"/>
        <v>1+0.000397885448169982i</v>
      </c>
      <c r="AX62">
        <f t="shared" si="86"/>
        <v>1.0000000791564119</v>
      </c>
      <c r="AY62">
        <f t="shared" si="87"/>
        <v>3.9788542717319358E-4</v>
      </c>
      <c r="AZ62" t="str">
        <f t="shared" si="61"/>
        <v>1+0.00809889412242768i</v>
      </c>
      <c r="BA62">
        <f t="shared" si="88"/>
        <v>1.0000327955052306</v>
      </c>
      <c r="BB62">
        <f t="shared" si="89"/>
        <v>8.0987170549428854E-3</v>
      </c>
      <c r="BC62" s="42" t="str">
        <f t="shared" si="90"/>
        <v>-0.587701866719253+76.3151666759125i</v>
      </c>
      <c r="BD62">
        <f t="shared" si="91"/>
        <v>37.652474692926845</v>
      </c>
      <c r="BE62" s="44">
        <f t="shared" si="92"/>
        <v>90.441225151012063</v>
      </c>
      <c r="BF62" s="42" t="str">
        <f t="shared" si="93"/>
        <v>22.6744369731353+1248.77982452531i</v>
      </c>
      <c r="BG62" s="20">
        <f t="shared" si="94"/>
        <v>61.931149046357348</v>
      </c>
      <c r="BH62" s="44">
        <f t="shared" si="95"/>
        <v>88.959779159309008</v>
      </c>
      <c r="BI62" s="42" t="str">
        <f t="shared" si="101"/>
        <v>15.9495371273578+3506.64240346024i</v>
      </c>
      <c r="BJ62" s="20">
        <f t="shared" si="97"/>
        <v>70.897919447463394</v>
      </c>
      <c r="BK62" s="44">
        <f t="shared" si="102"/>
        <v>89.739398901926947</v>
      </c>
      <c r="BL62">
        <f t="shared" si="99"/>
        <v>61.931149046357348</v>
      </c>
      <c r="BM62" s="44">
        <f t="shared" si="100"/>
        <v>88.959779159309008</v>
      </c>
    </row>
    <row r="63" spans="1:65" x14ac:dyDescent="0.35">
      <c r="N63" s="9">
        <v>45</v>
      </c>
      <c r="O63" s="35">
        <f t="shared" si="62"/>
        <v>28.183829312644548</v>
      </c>
      <c r="P63" s="34" t="str">
        <f t="shared" si="50"/>
        <v>16.3709677419355</v>
      </c>
      <c r="Q63" s="4" t="str">
        <f t="shared" si="51"/>
        <v>1+0.0260485178516753i</v>
      </c>
      <c r="R63" s="4">
        <f t="shared" si="63"/>
        <v>1.0003392051110809</v>
      </c>
      <c r="S63" s="4">
        <f t="shared" si="64"/>
        <v>2.6042628723067035E-2</v>
      </c>
      <c r="T63" s="4" t="str">
        <f t="shared" si="52"/>
        <v>1+0.0000283334755579626i</v>
      </c>
      <c r="U63" s="4">
        <f t="shared" si="65"/>
        <v>1.0000000004013929</v>
      </c>
      <c r="V63" s="4">
        <f t="shared" si="66"/>
        <v>2.8333475550380695E-5</v>
      </c>
      <c r="W63" t="str">
        <f t="shared" si="53"/>
        <v>1-0.00037079267758252i</v>
      </c>
      <c r="X63" s="4">
        <f t="shared" si="67"/>
        <v>1.0000000687436026</v>
      </c>
      <c r="Y63" s="4">
        <f t="shared" si="68"/>
        <v>-3.7079266058943786E-4</v>
      </c>
      <c r="Z63" t="str">
        <f t="shared" si="54"/>
        <v>0.999999999312642+0.0000730235618059452i</v>
      </c>
      <c r="AA63" s="4">
        <f t="shared" si="69"/>
        <v>1.0000000019788622</v>
      </c>
      <c r="AB63" s="4">
        <f t="shared" si="70"/>
        <v>7.3023561726340595E-5</v>
      </c>
      <c r="AC63" s="48" t="str">
        <f t="shared" si="71"/>
        <v>16.3596897871139-0.432947526373291i</v>
      </c>
      <c r="AD63" s="20">
        <f t="shared" si="72"/>
        <v>24.278541839844415</v>
      </c>
      <c r="AE63" s="44">
        <f t="shared" si="73"/>
        <v>-1.5159381211080705</v>
      </c>
      <c r="AF63" t="str">
        <f t="shared" si="74"/>
        <v>45.9520231294187</v>
      </c>
      <c r="AG63" t="str">
        <f t="shared" si="55"/>
        <v>1+0.0125000627461599i</v>
      </c>
      <c r="AH63">
        <f t="shared" si="75"/>
        <v>1.0000781227327482</v>
      </c>
      <c r="AI63">
        <f t="shared" si="76"/>
        <v>1.2499411755718974E-2</v>
      </c>
      <c r="AJ63" t="str">
        <f t="shared" si="56"/>
        <v>1+0.0000283334755579626i</v>
      </c>
      <c r="AK63">
        <f t="shared" si="77"/>
        <v>1.0000000004013929</v>
      </c>
      <c r="AL63">
        <f t="shared" si="78"/>
        <v>2.8333475550380695E-5</v>
      </c>
      <c r="AM63" t="str">
        <f t="shared" si="57"/>
        <v>1-0.000063391274376954i</v>
      </c>
      <c r="AN63">
        <f t="shared" si="79"/>
        <v>1.0000000020092268</v>
      </c>
      <c r="AO63">
        <f t="shared" si="80"/>
        <v>-6.3391274292042357E-5</v>
      </c>
      <c r="AP63" s="42" t="str">
        <f t="shared" si="81"/>
        <v>45.944824123801-0.57592416119099i</v>
      </c>
      <c r="AQ63">
        <f t="shared" si="82"/>
        <v>33.245414218474629</v>
      </c>
      <c r="AR63" s="44">
        <f t="shared" si="83"/>
        <v>-0.71817220390581937</v>
      </c>
      <c r="AS63" t="str">
        <f t="shared" si="58"/>
        <v>-0.000166666666666667</v>
      </c>
      <c r="AT63" t="str">
        <f t="shared" si="59"/>
        <v>2.23480288463429E-06i</v>
      </c>
      <c r="AU63">
        <f t="shared" si="84"/>
        <v>2.2348028846342901E-6</v>
      </c>
      <c r="AV63">
        <f t="shared" si="85"/>
        <v>1.5707963267948966</v>
      </c>
      <c r="AW63" t="str">
        <f t="shared" si="60"/>
        <v>1+0.00040715339084283i</v>
      </c>
      <c r="AX63">
        <f t="shared" si="86"/>
        <v>1.0000000828869384</v>
      </c>
      <c r="AY63">
        <f t="shared" si="87"/>
        <v>4.0715336834436596E-4</v>
      </c>
      <c r="AZ63" t="str">
        <f t="shared" si="61"/>
        <v>1+0.00828754160070404i</v>
      </c>
      <c r="BA63">
        <f t="shared" si="88"/>
        <v>1.0000343410832366</v>
      </c>
      <c r="BB63">
        <f t="shared" si="89"/>
        <v>8.2873518698276371E-3</v>
      </c>
      <c r="BC63" s="42" t="str">
        <f t="shared" si="90"/>
        <v>-0.587701862334378+74.5780321687368i</v>
      </c>
      <c r="BD63">
        <f t="shared" si="91"/>
        <v>37.452488084793252</v>
      </c>
      <c r="BE63" s="44">
        <f t="shared" si="92"/>
        <v>90.451502115860293</v>
      </c>
      <c r="BF63" s="42" t="str">
        <f t="shared" si="93"/>
        <v>22.6737543941428+1220.32791528148i</v>
      </c>
      <c r="BG63" s="20">
        <f t="shared" si="94"/>
        <v>61.731029924637681</v>
      </c>
      <c r="BH63" s="44">
        <f t="shared" si="95"/>
        <v>88.935563994752243</v>
      </c>
      <c r="BI63" s="42" t="str">
        <f t="shared" si="101"/>
        <v>15.9494319178711+3426.81304319388i</v>
      </c>
      <c r="BJ63" s="20">
        <f t="shared" si="97"/>
        <v>70.697902303267881</v>
      </c>
      <c r="BK63" s="44">
        <f t="shared" si="102"/>
        <v>89.733329911954485</v>
      </c>
      <c r="BL63">
        <f t="shared" si="99"/>
        <v>61.731029924637681</v>
      </c>
      <c r="BM63" s="44">
        <f t="shared" si="100"/>
        <v>88.935563994752243</v>
      </c>
    </row>
    <row r="64" spans="1:65" x14ac:dyDescent="0.35">
      <c r="N64" s="9">
        <v>46</v>
      </c>
      <c r="O64" s="35">
        <f t="shared" si="62"/>
        <v>28.840315031266066</v>
      </c>
      <c r="P64" s="34" t="str">
        <f t="shared" si="50"/>
        <v>16.3709677419355</v>
      </c>
      <c r="Q64" s="4" t="str">
        <f t="shared" si="51"/>
        <v>1+0.0266552657769194i</v>
      </c>
      <c r="R64" s="4">
        <f t="shared" si="63"/>
        <v>1.0003551885173778</v>
      </c>
      <c r="S64" s="4">
        <f t="shared" si="64"/>
        <v>2.6648955582928246E-2</v>
      </c>
      <c r="T64" s="4" t="str">
        <f t="shared" si="52"/>
        <v>1+0.0000289934469854211i</v>
      </c>
      <c r="U64" s="4">
        <f t="shared" si="65"/>
        <v>1.00000000042031</v>
      </c>
      <c r="V64" s="4">
        <f t="shared" si="66"/>
        <v>2.8993446977296943E-5</v>
      </c>
      <c r="W64" t="str">
        <f t="shared" si="53"/>
        <v>1-0.00037942954855921i</v>
      </c>
      <c r="X64" s="4">
        <f t="shared" si="67"/>
        <v>1.0000000719833886</v>
      </c>
      <c r="Y64" s="4">
        <f t="shared" si="68"/>
        <v>-3.7942953035079451E-4</v>
      </c>
      <c r="Z64" t="str">
        <f t="shared" si="54"/>
        <v>0.999999999280248+0.0000747244990674042i</v>
      </c>
      <c r="AA64" s="4">
        <f t="shared" si="69"/>
        <v>1.0000000020721234</v>
      </c>
      <c r="AB64" s="4">
        <f t="shared" si="70"/>
        <v>7.472449898210631E-5</v>
      </c>
      <c r="AC64" s="48" t="str">
        <f t="shared" si="71"/>
        <v>16.3591586508521-0.443018012183975i</v>
      </c>
      <c r="AD64" s="20">
        <f t="shared" si="72"/>
        <v>24.278403085420539</v>
      </c>
      <c r="AE64" s="44">
        <f t="shared" si="73"/>
        <v>-1.5512325903176811</v>
      </c>
      <c r="AF64" t="str">
        <f t="shared" si="74"/>
        <v>45.9520231294187</v>
      </c>
      <c r="AG64" t="str">
        <f t="shared" si="55"/>
        <v>1+0.0127912266112152i</v>
      </c>
      <c r="AH64">
        <f t="shared" si="75"/>
        <v>1.0000818043931303</v>
      </c>
      <c r="AI64">
        <f t="shared" si="76"/>
        <v>1.2790529065471817E-2</v>
      </c>
      <c r="AJ64" t="str">
        <f t="shared" si="56"/>
        <v>1+0.0000289934469854211i</v>
      </c>
      <c r="AK64">
        <f t="shared" si="77"/>
        <v>1.00000000042031</v>
      </c>
      <c r="AL64">
        <f t="shared" si="78"/>
        <v>2.8993446977296943E-5</v>
      </c>
      <c r="AM64" t="str">
        <f t="shared" si="57"/>
        <v>1-0.0000648678468416836i</v>
      </c>
      <c r="AN64">
        <f t="shared" si="79"/>
        <v>1.0000000021039188</v>
      </c>
      <c r="AO64">
        <f t="shared" si="80"/>
        <v>-6.486784675069914E-5</v>
      </c>
      <c r="AP64" s="42" t="str">
        <f t="shared" si="81"/>
        <v>45.944484900621-0.589334819151347i</v>
      </c>
      <c r="AQ64">
        <f t="shared" si="82"/>
        <v>33.24538224352257</v>
      </c>
      <c r="AR64" s="44">
        <f t="shared" si="83"/>
        <v>-0.73489878489052496</v>
      </c>
      <c r="AS64" t="str">
        <f t="shared" si="58"/>
        <v>-0.000166666666666667</v>
      </c>
      <c r="AT64" t="str">
        <f t="shared" si="59"/>
        <v>2.28685813097508E-06i</v>
      </c>
      <c r="AU64">
        <f t="shared" si="84"/>
        <v>2.2868581309750798E-6</v>
      </c>
      <c r="AV64">
        <f t="shared" si="85"/>
        <v>1.5707963267948966</v>
      </c>
      <c r="AW64" t="str">
        <f t="shared" si="60"/>
        <v>1+0.000416637211632815i</v>
      </c>
      <c r="AX64">
        <f t="shared" si="86"/>
        <v>1.0000000867932792</v>
      </c>
      <c r="AY64">
        <f t="shared" si="87"/>
        <v>4.1663718752527653E-4</v>
      </c>
      <c r="AZ64" t="str">
        <f t="shared" si="61"/>
        <v>1+0.00848058324323566i</v>
      </c>
      <c r="BA64">
        <f t="shared" si="88"/>
        <v>1.0000359594995301</v>
      </c>
      <c r="BB64">
        <f t="shared" si="89"/>
        <v>8.4803799433336158E-3</v>
      </c>
      <c r="BC64" s="42" t="str">
        <f t="shared" si="90"/>
        <v>-0.587701857742851+72.880439921374i</v>
      </c>
      <c r="BD64">
        <f t="shared" si="91"/>
        <v>37.252502107754438</v>
      </c>
      <c r="BE64" s="44">
        <f t="shared" si="92"/>
        <v>90.462018426987015</v>
      </c>
      <c r="BF64" s="42" t="str">
        <f t="shared" si="93"/>
        <v>22.6730396908449+1192.52304172643i</v>
      </c>
      <c r="BG64" s="20">
        <f t="shared" si="94"/>
        <v>61.530905193175016</v>
      </c>
      <c r="BH64" s="44">
        <f t="shared" si="95"/>
        <v>88.910785836669334</v>
      </c>
      <c r="BI64" s="42" t="str">
        <f t="shared" si="101"/>
        <v>15.9493217516002+3348.80062468623i</v>
      </c>
      <c r="BJ64" s="20">
        <f t="shared" si="97"/>
        <v>70.497884351277008</v>
      </c>
      <c r="BK64" s="44">
        <f t="shared" si="102"/>
        <v>89.727119642096483</v>
      </c>
      <c r="BL64">
        <f t="shared" si="99"/>
        <v>61.530905193175016</v>
      </c>
      <c r="BM64" s="44">
        <f t="shared" si="100"/>
        <v>88.910785836669334</v>
      </c>
    </row>
    <row r="65" spans="1:65" x14ac:dyDescent="0.35">
      <c r="A65" s="50" t="s">
        <v>474</v>
      </c>
      <c r="N65" s="9">
        <v>47</v>
      </c>
      <c r="O65" s="35">
        <f t="shared" si="62"/>
        <v>29.512092266663863</v>
      </c>
      <c r="P65" s="34" t="str">
        <f t="shared" si="50"/>
        <v>16.3709677419355</v>
      </c>
      <c r="Q65" s="4" t="str">
        <f t="shared" si="51"/>
        <v>1+0.0272761466769026i</v>
      </c>
      <c r="R65" s="4">
        <f t="shared" si="63"/>
        <v>1.0003719249246952</v>
      </c>
      <c r="S65" s="4">
        <f t="shared" si="64"/>
        <v>2.7269385317983241E-2</v>
      </c>
      <c r="T65" s="4" t="str">
        <f t="shared" si="52"/>
        <v>1+0.000029668791122245i</v>
      </c>
      <c r="U65" s="4">
        <f t="shared" si="65"/>
        <v>1.0000000004401186</v>
      </c>
      <c r="V65" s="4">
        <f t="shared" si="66"/>
        <v>2.9668791113539808E-5</v>
      </c>
      <c r="W65" t="str">
        <f t="shared" si="53"/>
        <v>1-0.000388267598104889i</v>
      </c>
      <c r="X65" s="4">
        <f t="shared" si="67"/>
        <v>1.0000000753758611</v>
      </c>
      <c r="Y65" s="4">
        <f t="shared" si="68"/>
        <v>-3.8826757859422036E-4</v>
      </c>
      <c r="Z65" t="str">
        <f t="shared" si="54"/>
        <v>0.999999999246327+0.0000764650562473644i</v>
      </c>
      <c r="AA65" s="4">
        <f t="shared" si="69"/>
        <v>1.0000000021697792</v>
      </c>
      <c r="AB65" s="4">
        <f t="shared" si="70"/>
        <v>7.6465056155966088E-5</v>
      </c>
      <c r="AC65" s="48" t="str">
        <f t="shared" si="71"/>
        <v>16.3586025192909-0.453322058195035i</v>
      </c>
      <c r="AD65" s="20">
        <f t="shared" si="72"/>
        <v>24.278257796455371</v>
      </c>
      <c r="AE65" s="44">
        <f t="shared" si="73"/>
        <v>-1.5873480106955722</v>
      </c>
      <c r="AF65" t="str">
        <f t="shared" si="74"/>
        <v>45.9520231294187</v>
      </c>
      <c r="AG65" t="str">
        <f t="shared" si="55"/>
        <v>1+0.0130891725539316i</v>
      </c>
      <c r="AH65">
        <f t="shared" si="75"/>
        <v>1.000085659550294</v>
      </c>
      <c r="AI65">
        <f t="shared" si="76"/>
        <v>1.3088425123658851E-2</v>
      </c>
      <c r="AJ65" t="str">
        <f t="shared" si="56"/>
        <v>1+0.000029668791122245i</v>
      </c>
      <c r="AK65">
        <f t="shared" si="77"/>
        <v>1.0000000004401186</v>
      </c>
      <c r="AL65">
        <f t="shared" si="78"/>
        <v>2.9668791113539808E-5</v>
      </c>
      <c r="AM65" t="str">
        <f t="shared" si="57"/>
        <v>1-0.000066378813097436i</v>
      </c>
      <c r="AN65">
        <f t="shared" si="79"/>
        <v>1.0000000022030733</v>
      </c>
      <c r="AO65">
        <f t="shared" si="80"/>
        <v>-6.6378812999944405E-5</v>
      </c>
      <c r="AP65" s="42" t="str">
        <f t="shared" si="81"/>
        <v>45.9441296956989-0.603057541206101i</v>
      </c>
      <c r="AQ65">
        <f t="shared" si="82"/>
        <v>33.245348761889787</v>
      </c>
      <c r="AR65" s="44">
        <f t="shared" si="83"/>
        <v>-0.75201484937856844</v>
      </c>
      <c r="AS65" t="str">
        <f t="shared" si="58"/>
        <v>-0.000166666666666667</v>
      </c>
      <c r="AT65" t="str">
        <f t="shared" si="59"/>
        <v>2.34012589976707E-06i</v>
      </c>
      <c r="AU65">
        <f t="shared" si="84"/>
        <v>2.3401258997670699E-6</v>
      </c>
      <c r="AV65">
        <f t="shared" si="85"/>
        <v>1.5707963267948966</v>
      </c>
      <c r="AW65" t="str">
        <f t="shared" si="60"/>
        <v>1+0.000426341938987253i</v>
      </c>
      <c r="AX65">
        <f t="shared" si="86"/>
        <v>1.0000000908837203</v>
      </c>
      <c r="AY65">
        <f t="shared" si="87"/>
        <v>4.2634191315556028E-4</v>
      </c>
      <c r="AZ65" t="str">
        <f t="shared" si="61"/>
        <v>1+0.00867812140325664i</v>
      </c>
      <c r="BA65">
        <f t="shared" si="88"/>
        <v>1.000037654186626</v>
      </c>
      <c r="BB65">
        <f t="shared" si="89"/>
        <v>8.6779035639298393E-3</v>
      </c>
      <c r="BC65" s="42" t="str">
        <f t="shared" si="90"/>
        <v>-0.587701852934931+71.2214898479435i</v>
      </c>
      <c r="BD65">
        <f t="shared" si="91"/>
        <v>37.052516791548605</v>
      </c>
      <c r="BE65" s="44">
        <f t="shared" si="92"/>
        <v>90.472779656981359</v>
      </c>
      <c r="BF65" s="42" t="str">
        <f t="shared" si="93"/>
        <v>22.6722913535732+1165.3504614678i</v>
      </c>
      <c r="BG65" s="20">
        <f t="shared" si="94"/>
        <v>61.330774588003997</v>
      </c>
      <c r="BH65" s="44">
        <f t="shared" si="95"/>
        <v>88.885431646285809</v>
      </c>
      <c r="BI65" s="42" t="str">
        <f t="shared" si="101"/>
        <v>15.9492063950911+3272.56378472921i</v>
      </c>
      <c r="BJ65" s="20">
        <f t="shared" si="97"/>
        <v>70.297865553438385</v>
      </c>
      <c r="BK65" s="44">
        <f t="shared" si="102"/>
        <v>89.720764807602805</v>
      </c>
      <c r="BL65">
        <f t="shared" si="99"/>
        <v>61.330774588003997</v>
      </c>
      <c r="BM65" s="44">
        <f t="shared" si="100"/>
        <v>88.885431646285809</v>
      </c>
    </row>
    <row r="66" spans="1:65" x14ac:dyDescent="0.35">
      <c r="A66" t="s">
        <v>502</v>
      </c>
      <c r="B66">
        <f>SQRT((2*IOUT*Lm*Fsw*(VOUT-VIN_var)/(VIN_var^2)))</f>
        <v>1.5392815710915402</v>
      </c>
      <c r="E66" t="s">
        <v>503</v>
      </c>
      <c r="N66" s="9">
        <v>48</v>
      </c>
      <c r="O66" s="35">
        <f t="shared" si="62"/>
        <v>30.199517204020164</v>
      </c>
      <c r="P66" s="34" t="str">
        <f t="shared" si="50"/>
        <v>16.3709677419355</v>
      </c>
      <c r="Q66" s="4" t="str">
        <f t="shared" si="51"/>
        <v>1+0.0279114897508964i</v>
      </c>
      <c r="R66" s="4">
        <f t="shared" si="63"/>
        <v>1.0003894497944861</v>
      </c>
      <c r="S66" s="4">
        <f t="shared" si="64"/>
        <v>2.7904244976604632E-2</v>
      </c>
      <c r="T66" s="4" t="str">
        <f t="shared" si="52"/>
        <v>1+0.0000303598660448347i</v>
      </c>
      <c r="U66" s="4">
        <f t="shared" si="65"/>
        <v>1.0000000004608607</v>
      </c>
      <c r="V66" s="4">
        <f t="shared" si="66"/>
        <v>3.0359866035506921E-5</v>
      </c>
      <c r="W66" t="str">
        <f t="shared" si="53"/>
        <v>1-0.000397311512270413i</v>
      </c>
      <c r="X66" s="4">
        <f t="shared" si="67"/>
        <v>1.0000000789282157</v>
      </c>
      <c r="Y66" s="4">
        <f t="shared" si="68"/>
        <v>-3.9731149136435498E-4</v>
      </c>
      <c r="Z66" t="str">
        <f t="shared" si="54"/>
        <v>0.999999999210807+0.0000782461562122817i</v>
      </c>
      <c r="AA66" s="4">
        <f t="shared" si="69"/>
        <v>1.0000000022720372</v>
      </c>
      <c r="AB66" s="4">
        <f t="shared" si="70"/>
        <v>7.8246156114346666E-5</v>
      </c>
      <c r="AC66" s="48" t="str">
        <f t="shared" si="71"/>
        <v>16.3580202179439-0.46386503249818i</v>
      </c>
      <c r="AD66" s="20">
        <f t="shared" si="72"/>
        <v>24.278105665443551</v>
      </c>
      <c r="AE66" s="44">
        <f t="shared" si="73"/>
        <v>-1.6243034215838577</v>
      </c>
      <c r="AF66" t="str">
        <f t="shared" si="74"/>
        <v>45.9520231294187</v>
      </c>
      <c r="AG66" t="str">
        <f t="shared" si="55"/>
        <v>1+0.0133940585491918i</v>
      </c>
      <c r="AH66">
        <f t="shared" si="75"/>
        <v>1.0000896963794894</v>
      </c>
      <c r="AI66">
        <f t="shared" si="76"/>
        <v>1.3393257667104646E-2</v>
      </c>
      <c r="AJ66" t="str">
        <f t="shared" si="56"/>
        <v>1+0.0000303598660448347i</v>
      </c>
      <c r="AK66">
        <f t="shared" si="77"/>
        <v>1.0000000004608607</v>
      </c>
      <c r="AL66">
        <f t="shared" si="78"/>
        <v>3.0359866035506921E-5</v>
      </c>
      <c r="AM66" t="str">
        <f t="shared" si="57"/>
        <v>1-0.0000679249742785202i</v>
      </c>
      <c r="AN66">
        <f t="shared" si="79"/>
        <v>1.0000000023069011</v>
      </c>
      <c r="AO66">
        <f t="shared" si="80"/>
        <v>-6.7924974174056075E-5</v>
      </c>
      <c r="AP66" s="42" t="str">
        <f t="shared" si="81"/>
        <v>45.9437577563547-0.617099574080913i</v>
      </c>
      <c r="AQ66">
        <f t="shared" si="82"/>
        <v>33.245313702592924</v>
      </c>
      <c r="AR66" s="44">
        <f t="shared" si="83"/>
        <v>-0.76952946040961834</v>
      </c>
      <c r="AS66" t="str">
        <f t="shared" si="58"/>
        <v>-0.000166666666666667</v>
      </c>
      <c r="AT66" t="str">
        <f t="shared" si="59"/>
        <v>2.39463443428633E-06i</v>
      </c>
      <c r="AU66">
        <f t="shared" si="84"/>
        <v>2.3946344342863298E-6</v>
      </c>
      <c r="AV66">
        <f t="shared" si="85"/>
        <v>1.5707963267948966</v>
      </c>
      <c r="AW66" t="str">
        <f t="shared" si="60"/>
        <v>1+0.000436272718481044i</v>
      </c>
      <c r="AX66">
        <f t="shared" si="86"/>
        <v>1.0000000951669379</v>
      </c>
      <c r="AY66">
        <f t="shared" si="87"/>
        <v>4.3627269080188669E-4</v>
      </c>
      <c r="AZ66" t="str">
        <f t="shared" si="61"/>
        <v>1+0.00888026081811414i</v>
      </c>
      <c r="BA66">
        <f t="shared" si="88"/>
        <v>1.0000394287387862</v>
      </c>
      <c r="BB66">
        <f t="shared" si="89"/>
        <v>8.880027399567076E-3</v>
      </c>
      <c r="BC66" s="42" t="str">
        <f t="shared" si="90"/>
        <v>-0.587701847900423+69.6003023511585i</v>
      </c>
      <c r="BD66">
        <f t="shared" si="91"/>
        <v>36.852532167315253</v>
      </c>
      <c r="BE66" s="44">
        <f t="shared" si="92"/>
        <v>90.483791508055958</v>
      </c>
      <c r="BF66" s="42" t="str">
        <f t="shared" si="93"/>
        <v>22.6715078019252+1138.79576737203i</v>
      </c>
      <c r="BG66" s="20">
        <f t="shared" si="94"/>
        <v>61.130637832758772</v>
      </c>
      <c r="BH66" s="44">
        <f t="shared" si="95"/>
        <v>88.859488086472098</v>
      </c>
      <c r="BI66" s="42" t="str">
        <f t="shared" si="101"/>
        <v>15.9490856039036+3198.0621015507i</v>
      </c>
      <c r="BJ66" s="20">
        <f t="shared" si="97"/>
        <v>70.097845869908184</v>
      </c>
      <c r="BK66" s="44">
        <f t="shared" si="102"/>
        <v>89.714262047646343</v>
      </c>
      <c r="BL66">
        <f t="shared" si="99"/>
        <v>61.130637832758772</v>
      </c>
      <c r="BM66" s="44">
        <f t="shared" si="100"/>
        <v>88.859488086472098</v>
      </c>
    </row>
    <row r="67" spans="1:65" x14ac:dyDescent="0.35">
      <c r="A67" t="s">
        <v>476</v>
      </c>
      <c r="B67">
        <f>(Fsw*Gcomp)/((R_cs*Acs*(VIN_var/Lm))+((R_sl+Rsl_int)*Isl))</f>
        <v>10.020522833977237</v>
      </c>
      <c r="C67" t="s">
        <v>147</v>
      </c>
      <c r="E67" t="s">
        <v>501</v>
      </c>
      <c r="N67" s="9">
        <v>49</v>
      </c>
      <c r="O67" s="35">
        <f t="shared" si="62"/>
        <v>30.902954325135919</v>
      </c>
      <c r="P67" s="34" t="str">
        <f t="shared" si="50"/>
        <v>16.3709677419355</v>
      </c>
      <c r="Q67" s="4" t="str">
        <f t="shared" si="51"/>
        <v>1+0.0285616318662084i</v>
      </c>
      <c r="R67" s="4">
        <f t="shared" si="63"/>
        <v>1.0004078002569057</v>
      </c>
      <c r="S67" s="4">
        <f t="shared" si="64"/>
        <v>2.8553869121589744E-2</v>
      </c>
      <c r="T67" s="4" t="str">
        <f t="shared" si="52"/>
        <v>1+0.0000310670381702618i</v>
      </c>
      <c r="U67" s="4">
        <f t="shared" si="65"/>
        <v>1.0000000004825804</v>
      </c>
      <c r="V67" s="4">
        <f t="shared" si="66"/>
        <v>3.1067038160266904E-5</v>
      </c>
      <c r="W67" t="str">
        <f t="shared" si="53"/>
        <v>1-0.000406566086258782i</v>
      </c>
      <c r="X67" s="4">
        <f t="shared" si="67"/>
        <v>1.0000000826479878</v>
      </c>
      <c r="Y67" s="4">
        <f t="shared" si="68"/>
        <v>-4.0656606385753734E-4</v>
      </c>
      <c r="Z67" t="str">
        <f t="shared" si="54"/>
        <v>0.999999999173614+0.000080068743324933i</v>
      </c>
      <c r="AA67" s="4">
        <f t="shared" si="69"/>
        <v>1.0000000023791158</v>
      </c>
      <c r="AB67" s="4">
        <f t="shared" si="70"/>
        <v>8.006874321999368E-5</v>
      </c>
      <c r="AC67" s="48" t="str">
        <f t="shared" si="71"/>
        <v>16.357410517311-0.474652423073365i</v>
      </c>
      <c r="AD67" s="20">
        <f t="shared" si="72"/>
        <v>24.277946370431891</v>
      </c>
      <c r="AE67" s="44">
        <f t="shared" si="73"/>
        <v>-1.6621182998771631</v>
      </c>
      <c r="AF67" t="str">
        <f t="shared" si="74"/>
        <v>45.9520231294187</v>
      </c>
      <c r="AG67" t="str">
        <f t="shared" si="55"/>
        <v>1+0.013706046251586i</v>
      </c>
      <c r="AH67">
        <f t="shared" si="75"/>
        <v>1.0000939234411188</v>
      </c>
      <c r="AI67">
        <f t="shared" si="76"/>
        <v>1.3705188095321119E-2</v>
      </c>
      <c r="AJ67" t="str">
        <f t="shared" si="56"/>
        <v>1+0.0000310670381702618i</v>
      </c>
      <c r="AK67">
        <f t="shared" si="77"/>
        <v>1.0000000004825804</v>
      </c>
      <c r="AL67">
        <f t="shared" si="78"/>
        <v>3.1067038160266904E-5</v>
      </c>
      <c r="AM67" t="str">
        <f t="shared" si="57"/>
        <v>1-0.0000695071501800602i</v>
      </c>
      <c r="AN67">
        <f t="shared" si="79"/>
        <v>1.0000000024156219</v>
      </c>
      <c r="AO67">
        <f t="shared" si="80"/>
        <v>-6.9507150068124862E-5</v>
      </c>
      <c r="AP67" s="42" t="str">
        <f t="shared" si="81"/>
        <v>45.9433682944857-0.631468331714043i</v>
      </c>
      <c r="AQ67">
        <f t="shared" si="82"/>
        <v>33.245276991305658</v>
      </c>
      <c r="AR67" s="44">
        <f t="shared" si="83"/>
        <v>-0.78745189147117101</v>
      </c>
      <c r="AS67" t="str">
        <f t="shared" si="58"/>
        <v>-0.000166666666666667</v>
      </c>
      <c r="AT67" t="str">
        <f t="shared" si="59"/>
        <v>2.45041263567939E-06i</v>
      </c>
      <c r="AU67">
        <f t="shared" si="84"/>
        <v>2.4504126356793899E-6</v>
      </c>
      <c r="AV67">
        <f t="shared" si="85"/>
        <v>1.5707963267948966</v>
      </c>
      <c r="AW67" t="str">
        <f t="shared" si="60"/>
        <v>1+0.000446434815544927i</v>
      </c>
      <c r="AX67">
        <f t="shared" si="86"/>
        <v>1.0000000996520173</v>
      </c>
      <c r="AY67">
        <f t="shared" si="87"/>
        <v>4.4643478588617574E-4</v>
      </c>
      <c r="AZ67" t="str">
        <f t="shared" si="61"/>
        <v>1+0.00908710866480155i</v>
      </c>
      <c r="BA67">
        <f t="shared" si="88"/>
        <v>1.0000412869196382</v>
      </c>
      <c r="BB67">
        <f t="shared" si="89"/>
        <v>9.0868585528798614E-3</v>
      </c>
      <c r="BC67" s="42" t="str">
        <f t="shared" si="90"/>
        <v>-0.587701842628645+68.0160178559486i</v>
      </c>
      <c r="BD67">
        <f t="shared" si="91"/>
        <v>36.652548267660812</v>
      </c>
      <c r="BE67" s="44">
        <f t="shared" si="92"/>
        <v>90.495059815053267</v>
      </c>
      <c r="BF67" s="42" t="str">
        <f t="shared" si="93"/>
        <v>22.6706873814704+1112.84487992615i</v>
      </c>
      <c r="BG67" s="20">
        <f t="shared" si="94"/>
        <v>60.930494638092661</v>
      </c>
      <c r="BH67" s="44">
        <f t="shared" si="95"/>
        <v>88.832941515176103</v>
      </c>
      <c r="BI67" s="42" t="str">
        <f t="shared" si="101"/>
        <v>15.9489591220927+3125.25607338227i</v>
      </c>
      <c r="BJ67" s="20">
        <f t="shared" si="97"/>
        <v>69.897825258966463</v>
      </c>
      <c r="BK67" s="44">
        <f t="shared" si="102"/>
        <v>89.707607923582103</v>
      </c>
      <c r="BL67">
        <f t="shared" si="99"/>
        <v>60.930494638092661</v>
      </c>
      <c r="BM67" s="44">
        <f t="shared" si="100"/>
        <v>88.832941515176103</v>
      </c>
    </row>
    <row r="68" spans="1:65" x14ac:dyDescent="0.35">
      <c r="A68" t="s">
        <v>475</v>
      </c>
      <c r="B68">
        <f>(B67*2*VOUT/DC_VIN_var_DCM)*(((VOUT/VIN_var)-1)/((2*VOUT/VIN_var)-1))</f>
        <v>45.952023129418684</v>
      </c>
      <c r="C68" t="s">
        <v>147</v>
      </c>
      <c r="N68" s="9">
        <v>50</v>
      </c>
      <c r="O68" s="35">
        <f t="shared" si="62"/>
        <v>31.622776601683803</v>
      </c>
      <c r="P68" s="34" t="str">
        <f t="shared" si="50"/>
        <v>16.3709677419355</v>
      </c>
      <c r="Q68" s="4" t="str">
        <f t="shared" si="51"/>
        <v>1+0.0292269177367937i</v>
      </c>
      <c r="R68" s="4">
        <f t="shared" si="63"/>
        <v>1.0004270151892107</v>
      </c>
      <c r="S68" s="4">
        <f t="shared" si="64"/>
        <v>2.9218599997812549E-2</v>
      </c>
      <c r="T68" s="4" t="str">
        <f t="shared" si="52"/>
        <v>1+0.0000317906824505475i</v>
      </c>
      <c r="U68" s="4">
        <f t="shared" si="65"/>
        <v>1.0000000005053238</v>
      </c>
      <c r="V68" s="4">
        <f t="shared" si="66"/>
        <v>3.179068243983778E-5</v>
      </c>
      <c r="W68" t="str">
        <f t="shared" si="53"/>
        <v>1-0.000416036226967624i</v>
      </c>
      <c r="X68" s="4">
        <f t="shared" si="67"/>
        <v>1.0000000865430674</v>
      </c>
      <c r="Y68" s="4">
        <f t="shared" si="68"/>
        <v>-4.1603620296425798E-4</v>
      </c>
      <c r="Z68" t="str">
        <f t="shared" si="54"/>
        <v>0.999999999134667+0.0000819337839451303i</v>
      </c>
      <c r="AA68" s="4">
        <f t="shared" si="69"/>
        <v>1.0000000024912392</v>
      </c>
      <c r="AB68" s="4">
        <f t="shared" si="70"/>
        <v>8.1933783832685854E-5</v>
      </c>
      <c r="AC68" s="48" t="str">
        <f t="shared" si="71"/>
        <v>16.3567721303172-0.485689840214744i</v>
      </c>
      <c r="AD68" s="20">
        <f t="shared" si="72"/>
        <v>24.277779574342148</v>
      </c>
      <c r="AE68" s="44">
        <f t="shared" si="73"/>
        <v>-1.7008125697916203</v>
      </c>
      <c r="AF68" t="str">
        <f t="shared" si="74"/>
        <v>45.9520231294187</v>
      </c>
      <c r="AG68" t="str">
        <f t="shared" si="55"/>
        <v>1+0.0140253010811239i</v>
      </c>
      <c r="AH68">
        <f t="shared" si="75"/>
        <v>1.0000983496988765</v>
      </c>
      <c r="AI68">
        <f t="shared" si="76"/>
        <v>1.4024381555002945E-2</v>
      </c>
      <c r="AJ68" t="str">
        <f t="shared" si="56"/>
        <v>1+0.0000317906824505475i</v>
      </c>
      <c r="AK68">
        <f t="shared" si="77"/>
        <v>1.0000000005053238</v>
      </c>
      <c r="AL68">
        <f t="shared" si="78"/>
        <v>3.179068243983778E-5</v>
      </c>
      <c r="AM68" t="str">
        <f t="shared" si="57"/>
        <v>1-0.0000711261796926614i</v>
      </c>
      <c r="AN68">
        <f t="shared" si="79"/>
        <v>1.0000000025294666</v>
      </c>
      <c r="AO68">
        <f t="shared" si="80"/>
        <v>-7.1126179572720527E-5</v>
      </c>
      <c r="AP68" s="42" t="str">
        <f t="shared" si="81"/>
        <v>45.9429604849016-0.646171399037999i</v>
      </c>
      <c r="AQ68">
        <f t="shared" si="82"/>
        <v>33.245238550201385</v>
      </c>
      <c r="AR68" s="44">
        <f t="shared" si="83"/>
        <v>-0.80579163135354948</v>
      </c>
      <c r="AS68" t="str">
        <f t="shared" si="58"/>
        <v>-0.000166666666666667</v>
      </c>
      <c r="AT68" t="str">
        <f t="shared" si="59"/>
        <v>2.50749007828694E-06i</v>
      </c>
      <c r="AU68">
        <f t="shared" si="84"/>
        <v>2.50749007828694E-6</v>
      </c>
      <c r="AV68">
        <f t="shared" si="85"/>
        <v>1.5707963267948966</v>
      </c>
      <c r="AW68" t="str">
        <f t="shared" si="60"/>
        <v>1+0.000456833618257274i</v>
      </c>
      <c r="AX68">
        <f t="shared" si="86"/>
        <v>1.0000001043484719</v>
      </c>
      <c r="AY68">
        <f t="shared" si="87"/>
        <v>4.5683358647734967E-4</v>
      </c>
      <c r="AZ68" t="str">
        <f t="shared" si="61"/>
        <v>1+0.00929877461678514i</v>
      </c>
      <c r="BA68">
        <f t="shared" si="88"/>
        <v>1.0000432326701549</v>
      </c>
      <c r="BB68">
        <f t="shared" si="89"/>
        <v>9.2985066176583149E-3</v>
      </c>
      <c r="BC68" s="42" t="str">
        <f t="shared" si="90"/>
        <v>-0.587701837108413+66.467796353704i</v>
      </c>
      <c r="BD68">
        <f t="shared" si="91"/>
        <v>36.452565126727976</v>
      </c>
      <c r="BE68" s="44">
        <f t="shared" si="92"/>
        <v>90.506590548521302</v>
      </c>
      <c r="BF68" s="42" t="str">
        <f t="shared" si="93"/>
        <v>22.6698283603055+1087.48403977322i</v>
      </c>
      <c r="BG68" s="20">
        <f t="shared" si="94"/>
        <v>60.730344701070095</v>
      </c>
      <c r="BH68" s="44">
        <f t="shared" si="95"/>
        <v>88.805777978729694</v>
      </c>
      <c r="BI68" s="42" t="str">
        <f t="shared" si="101"/>
        <v>15.9488266816698+3054.10709751501i</v>
      </c>
      <c r="BJ68" s="20">
        <f t="shared" si="97"/>
        <v>69.697803676929354</v>
      </c>
      <c r="BK68" s="44">
        <f t="shared" si="102"/>
        <v>89.700798917167774</v>
      </c>
      <c r="BL68">
        <f t="shared" si="99"/>
        <v>60.730344701070095</v>
      </c>
      <c r="BM68" s="44">
        <f t="shared" si="100"/>
        <v>88.805777978729694</v>
      </c>
    </row>
    <row r="69" spans="1:65" x14ac:dyDescent="0.35">
      <c r="A69" t="s">
        <v>505</v>
      </c>
      <c r="B69">
        <f>(IOUT_VAR*((2*VOUT)-VIN_var))/(Cout*VOUT*(VOUT-VIN_var))</f>
        <v>14166.666666666668</v>
      </c>
      <c r="C69" t="s">
        <v>392</v>
      </c>
      <c r="N69" s="9">
        <v>51</v>
      </c>
      <c r="O69" s="35">
        <f t="shared" si="62"/>
        <v>32.359365692962832</v>
      </c>
      <c r="P69" s="34" t="str">
        <f t="shared" si="50"/>
        <v>16.3709677419355</v>
      </c>
      <c r="Q69" s="4" t="str">
        <f t="shared" si="51"/>
        <v>1+0.029907700106027i</v>
      </c>
      <c r="R69" s="4">
        <f t="shared" si="63"/>
        <v>1.0004471352978288</v>
      </c>
      <c r="S69" s="4">
        <f t="shared" si="64"/>
        <v>2.9898787703255793E-2</v>
      </c>
      <c r="T69" s="4" t="str">
        <f t="shared" si="52"/>
        <v>1+0.000032531182571468i</v>
      </c>
      <c r="U69" s="4">
        <f t="shared" si="65"/>
        <v>1.000000000529139</v>
      </c>
      <c r="V69" s="4">
        <f t="shared" si="66"/>
        <v>3.2531182559992321E-5</v>
      </c>
      <c r="W69" t="str">
        <f t="shared" si="53"/>
        <v>1-0.000425726955590895i</v>
      </c>
      <c r="X69" s="4">
        <f t="shared" si="67"/>
        <v>1.0000000906217164</v>
      </c>
      <c r="Y69" s="4">
        <f t="shared" si="68"/>
        <v>-4.2572692987082506E-4</v>
      </c>
      <c r="Z69" t="str">
        <f t="shared" si="54"/>
        <v>0.999999999093885+0.0000838422669420971i</v>
      </c>
      <c r="AA69" s="4">
        <f t="shared" si="69"/>
        <v>1.0000000026086477</v>
      </c>
      <c r="AB69" s="4">
        <f t="shared" si="70"/>
        <v>8.3842266821610719E-5</v>
      </c>
      <c r="AC69" s="48" t="str">
        <f t="shared" si="71"/>
        <v>16.3561037096355-0.496983018987173i</v>
      </c>
      <c r="AD69" s="20">
        <f t="shared" si="72"/>
        <v>24.277604924263251</v>
      </c>
      <c r="AE69" s="44">
        <f t="shared" si="73"/>
        <v>-1.7404066128312941</v>
      </c>
      <c r="AF69" t="str">
        <f t="shared" si="74"/>
        <v>45.9520231294187</v>
      </c>
      <c r="AG69" t="str">
        <f t="shared" si="55"/>
        <v>1+0.0143519923109417i</v>
      </c>
      <c r="AH69">
        <f t="shared" si="75"/>
        <v>1.000102984538739</v>
      </c>
      <c r="AI69">
        <f t="shared" si="76"/>
        <v>1.4351007026431044E-2</v>
      </c>
      <c r="AJ69" t="str">
        <f t="shared" si="56"/>
        <v>1+0.000032531182571468i</v>
      </c>
      <c r="AK69">
        <f t="shared" si="77"/>
        <v>1.000000000529139</v>
      </c>
      <c r="AL69">
        <f t="shared" si="78"/>
        <v>3.2531182559992321E-5</v>
      </c>
      <c r="AM69" t="str">
        <f t="shared" si="57"/>
        <v>1-0.0000727829212472021i</v>
      </c>
      <c r="AN69">
        <f t="shared" si="79"/>
        <v>1.0000000026486768</v>
      </c>
      <c r="AO69">
        <f t="shared" si="80"/>
        <v>-7.2782921118683141E-5</v>
      </c>
      <c r="AP69" s="42" t="str">
        <f t="shared" si="81"/>
        <v>45.9425334635817-0.661216535841133i</v>
      </c>
      <c r="AQ69">
        <f t="shared" si="82"/>
        <v>33.245198297788363</v>
      </c>
      <c r="AR69" s="44">
        <f t="shared" si="83"/>
        <v>-0.82455838911456536</v>
      </c>
      <c r="AS69" t="str">
        <f t="shared" si="58"/>
        <v>-0.000166666666666667</v>
      </c>
      <c r="AT69" t="str">
        <f t="shared" si="59"/>
        <v>2.56589702532454E-06i</v>
      </c>
      <c r="AU69">
        <f t="shared" si="84"/>
        <v>2.5658970253245398E-6</v>
      </c>
      <c r="AV69">
        <f t="shared" si="85"/>
        <v>1.5707963267948966</v>
      </c>
      <c r="AW69" t="str">
        <f t="shared" si="60"/>
        <v>1+0.000467474640200929i</v>
      </c>
      <c r="AX69">
        <f t="shared" si="86"/>
        <v>1.0000001092662636</v>
      </c>
      <c r="AY69">
        <f t="shared" si="87"/>
        <v>4.6747460614812676E-4</v>
      </c>
      <c r="AZ69" t="str">
        <f t="shared" si="61"/>
        <v>1+0.00951537090215437i</v>
      </c>
      <c r="BA69">
        <f t="shared" si="88"/>
        <v>1.0000452701170111</v>
      </c>
      <c r="BB69">
        <f t="shared" si="89"/>
        <v>9.5150837366182722E-3</v>
      </c>
      <c r="BC69" s="42" t="str">
        <f t="shared" si="90"/>
        <v>-0.587701831328023+64.9548169568915i</v>
      </c>
      <c r="BD69">
        <f t="shared" si="91"/>
        <v>36.25258278026805</v>
      </c>
      <c r="BE69" s="44">
        <f t="shared" si="92"/>
        <v>90.518389817859969</v>
      </c>
      <c r="BF69" s="42" t="str">
        <f t="shared" si="93"/>
        <v>22.6689289254513+1062.69980041771i</v>
      </c>
      <c r="BG69" s="20">
        <f t="shared" si="94"/>
        <v>60.530187704531343</v>
      </c>
      <c r="BH69" s="44">
        <f t="shared" si="95"/>
        <v>88.777983205028676</v>
      </c>
      <c r="BI69" s="42" t="str">
        <f t="shared" si="101"/>
        <v>15.9486880020347+2984.57744983183i</v>
      </c>
      <c r="BJ69" s="20">
        <f t="shared" si="97"/>
        <v>69.497781078056406</v>
      </c>
      <c r="BK69" s="44">
        <f t="shared" si="102"/>
        <v>89.693831428745398</v>
      </c>
      <c r="BL69">
        <f t="shared" si="99"/>
        <v>60.530187704531343</v>
      </c>
      <c r="BM69" s="44">
        <f t="shared" si="100"/>
        <v>88.777983205028676</v>
      </c>
    </row>
    <row r="70" spans="1:65" x14ac:dyDescent="0.35">
      <c r="B70">
        <f>B69/(2*PI())</f>
        <v>2254.6950271351843</v>
      </c>
      <c r="C70" t="s">
        <v>67</v>
      </c>
      <c r="N70" s="9">
        <v>52</v>
      </c>
      <c r="O70" s="35">
        <f t="shared" si="62"/>
        <v>33.113112148259127</v>
      </c>
      <c r="P70" s="34" t="str">
        <f t="shared" si="50"/>
        <v>16.3709677419355</v>
      </c>
      <c r="Q70" s="4" t="str">
        <f t="shared" si="51"/>
        <v>1+0.0306043399337319i</v>
      </c>
      <c r="R70" s="4">
        <f t="shared" si="63"/>
        <v>1.0004682032042695</v>
      </c>
      <c r="S70" s="4">
        <f t="shared" si="64"/>
        <v>3.0594790363464304E-2</v>
      </c>
      <c r="T70" s="4" t="str">
        <f t="shared" si="52"/>
        <v>1+0.0000332889311559891i</v>
      </c>
      <c r="U70" s="4">
        <f t="shared" si="65"/>
        <v>1.0000000005540763</v>
      </c>
      <c r="V70" s="4">
        <f t="shared" si="66"/>
        <v>3.3288931143692686E-5</v>
      </c>
      <c r="W70" t="str">
        <f t="shared" si="53"/>
        <v>1-0.000435643410281184i</v>
      </c>
      <c r="X70" s="4">
        <f t="shared" si="67"/>
        <v>1.000000094892586</v>
      </c>
      <c r="Y70" s="4">
        <f t="shared" si="68"/>
        <v>-4.356433827216327E-4</v>
      </c>
      <c r="Z70" t="str">
        <f t="shared" si="54"/>
        <v>0.999999999051182+0.0000857952042187806i</v>
      </c>
      <c r="AA70" s="4">
        <f t="shared" si="69"/>
        <v>1.0000000027315903</v>
      </c>
      <c r="AB70" s="4">
        <f t="shared" si="70"/>
        <v>8.5795204089677044E-5</v>
      </c>
      <c r="AC70" s="48" t="str">
        <f t="shared" si="71"/>
        <v>16.3554038448863-0.508537821712088i</v>
      </c>
      <c r="AD70" s="20">
        <f t="shared" si="72"/>
        <v>24.277422050710221</v>
      </c>
      <c r="AE70" s="44">
        <f t="shared" si="73"/>
        <v>-1.7809212779545507</v>
      </c>
      <c r="AF70" t="str">
        <f t="shared" si="74"/>
        <v>45.9520231294187</v>
      </c>
      <c r="AG70" t="str">
        <f t="shared" si="55"/>
        <v>1+0.014686293157054i</v>
      </c>
      <c r="AH70">
        <f t="shared" si="75"/>
        <v>1.000107837788853</v>
      </c>
      <c r="AI70">
        <f t="shared" si="76"/>
        <v>1.4685237411827826E-2</v>
      </c>
      <c r="AJ70" t="str">
        <f t="shared" si="56"/>
        <v>1+0.0000332889311559891i</v>
      </c>
      <c r="AK70">
        <f t="shared" si="77"/>
        <v>1.0000000005540763</v>
      </c>
      <c r="AL70">
        <f t="shared" si="78"/>
        <v>3.3288931143692686E-5</v>
      </c>
      <c r="AM70" t="str">
        <f t="shared" si="57"/>
        <v>1-0.0000744782532699841i</v>
      </c>
      <c r="AN70">
        <f t="shared" si="79"/>
        <v>1.000000002773505</v>
      </c>
      <c r="AO70">
        <f t="shared" si="80"/>
        <v>-7.4478253132273552E-5</v>
      </c>
      <c r="AP70" s="42" t="str">
        <f t="shared" si="81"/>
        <v>45.9420863258512-0.6766116807106i</v>
      </c>
      <c r="AQ70">
        <f t="shared" si="82"/>
        <v>33.245156148737451</v>
      </c>
      <c r="AR70" s="44">
        <f t="shared" si="83"/>
        <v>-0.84376209915630596</v>
      </c>
      <c r="AS70" t="str">
        <f t="shared" si="58"/>
        <v>-0.000166666666666667</v>
      </c>
      <c r="AT70" t="str">
        <f t="shared" si="59"/>
        <v>2.62566444492864E-06i</v>
      </c>
      <c r="AU70">
        <f t="shared" si="84"/>
        <v>2.6256644449286398E-6</v>
      </c>
      <c r="AV70">
        <f t="shared" si="85"/>
        <v>1.5707963267948966</v>
      </c>
      <c r="AW70" t="str">
        <f t="shared" si="60"/>
        <v>1+0.000478363523386579i</v>
      </c>
      <c r="AX70">
        <f t="shared" si="86"/>
        <v>1.0000001144158237</v>
      </c>
      <c r="AY70">
        <f t="shared" si="87"/>
        <v>4.7836348689834422E-4</v>
      </c>
      <c r="AZ70" t="str">
        <f t="shared" si="61"/>
        <v>1+0.0097370123631268i</v>
      </c>
      <c r="BA70">
        <f t="shared" si="88"/>
        <v>1.00004740358133</v>
      </c>
      <c r="BB70">
        <f t="shared" si="89"/>
        <v>9.7367046604988159E-3</v>
      </c>
      <c r="BC70" s="42" t="str">
        <f t="shared" si="90"/>
        <v>-0.587701825275213+63.4762774638076i</v>
      </c>
      <c r="BD70">
        <f t="shared" si="91"/>
        <v>36.052601265716511</v>
      </c>
      <c r="BE70" s="44">
        <f t="shared" si="92"/>
        <v>90.530463874539507</v>
      </c>
      <c r="BF70" s="42" t="str">
        <f t="shared" si="93"/>
        <v>22.6679871790839+1038.47902109667i</v>
      </c>
      <c r="BG70" s="20">
        <f t="shared" si="94"/>
        <v>60.330023316426733</v>
      </c>
      <c r="BH70" s="44">
        <f t="shared" si="95"/>
        <v>88.749542596584959</v>
      </c>
      <c r="BI70" s="42" t="str">
        <f t="shared" si="101"/>
        <v>15.9485427893851+2916.63026480569i</v>
      </c>
      <c r="BJ70" s="20">
        <f t="shared" si="97"/>
        <v>69.297757414453969</v>
      </c>
      <c r="BK70" s="44">
        <f t="shared" si="102"/>
        <v>89.686701775383199</v>
      </c>
      <c r="BL70">
        <f t="shared" si="99"/>
        <v>60.330023316426733</v>
      </c>
      <c r="BM70" s="44">
        <f t="shared" si="100"/>
        <v>88.749542596584959</v>
      </c>
    </row>
    <row r="71" spans="1:65" x14ac:dyDescent="0.35">
      <c r="A71" t="s">
        <v>478</v>
      </c>
      <c r="B71">
        <f>1/(Cout*Resr)</f>
        <v>6250000.0000000009</v>
      </c>
      <c r="C71" t="s">
        <v>392</v>
      </c>
      <c r="N71" s="9">
        <v>53</v>
      </c>
      <c r="O71" s="35">
        <f t="shared" si="62"/>
        <v>33.884415613920268</v>
      </c>
      <c r="P71" s="34" t="str">
        <f t="shared" si="50"/>
        <v>16.3709677419355</v>
      </c>
      <c r="Q71" s="4" t="str">
        <f t="shared" si="51"/>
        <v>1+0.0313172065875658i</v>
      </c>
      <c r="R71" s="4">
        <f t="shared" si="63"/>
        <v>1.0004902635350572</v>
      </c>
      <c r="S71" s="4">
        <f t="shared" si="64"/>
        <v>3.1306974309458592E-2</v>
      </c>
      <c r="T71" s="4" t="str">
        <f t="shared" si="52"/>
        <v>1+0.00003406432997244i</v>
      </c>
      <c r="U71" s="4">
        <f t="shared" si="65"/>
        <v>1.0000000005801892</v>
      </c>
      <c r="V71" s="4">
        <f t="shared" si="66"/>
        <v>3.406432995926416E-5</v>
      </c>
      <c r="W71" t="str">
        <f t="shared" si="53"/>
        <v>1-0.000445790848874023i</v>
      </c>
      <c r="X71" s="4">
        <f t="shared" si="67"/>
        <v>1.0000000993647356</v>
      </c>
      <c r="Y71" s="4">
        <f t="shared" si="68"/>
        <v>-4.4579081934343186E-4</v>
      </c>
      <c r="Z71" t="str">
        <f t="shared" si="54"/>
        <v>0.999999999006465+0.000087793631248374i</v>
      </c>
      <c r="AA71" s="4">
        <f t="shared" si="69"/>
        <v>1.0000000028603258</v>
      </c>
      <c r="AB71" s="4">
        <f t="shared" si="70"/>
        <v>8.7793631110037078E-5</v>
      </c>
      <c r="AC71" s="48" t="str">
        <f t="shared" si="71"/>
        <v>16.3546710597082-0.520360240481466i</v>
      </c>
      <c r="AD71" s="20">
        <f t="shared" si="72"/>
        <v>24.277230566848456</v>
      </c>
      <c r="AE71" s="44">
        <f t="shared" si="73"/>
        <v>-1.822377891942661</v>
      </c>
      <c r="AF71" t="str">
        <f t="shared" si="74"/>
        <v>45.9520231294187</v>
      </c>
      <c r="AG71" t="str">
        <f t="shared" si="55"/>
        <v>1+0.0150283808701941i</v>
      </c>
      <c r="AH71">
        <f t="shared" si="75"/>
        <v>1.000112919740356</v>
      </c>
      <c r="AI71">
        <f t="shared" si="76"/>
        <v>1.5027249625701079E-2</v>
      </c>
      <c r="AJ71" t="str">
        <f t="shared" si="56"/>
        <v>1+0.00003406432997244i</v>
      </c>
      <c r="AK71">
        <f t="shared" si="77"/>
        <v>1.0000000005801892</v>
      </c>
      <c r="AL71">
        <f t="shared" si="78"/>
        <v>3.406432995926416E-5</v>
      </c>
      <c r="AM71" t="str">
        <f t="shared" si="57"/>
        <v>1-0.0000762130746484856i</v>
      </c>
      <c r="AN71">
        <f t="shared" si="79"/>
        <v>1.0000000029042164</v>
      </c>
      <c r="AO71">
        <f t="shared" si="80"/>
        <v>-7.6213074500926096E-5</v>
      </c>
      <c r="AP71" s="42" t="str">
        <f t="shared" si="81"/>
        <v>45.9416181244711-0.692364955057794i</v>
      </c>
      <c r="AQ71">
        <f t="shared" si="82"/>
        <v>33.245112013701423</v>
      </c>
      <c r="AR71" s="44">
        <f t="shared" si="83"/>
        <v>-0.8634129264162308</v>
      </c>
      <c r="AS71" t="str">
        <f t="shared" si="58"/>
        <v>-0.000166666666666667</v>
      </c>
      <c r="AT71" t="str">
        <f t="shared" si="59"/>
        <v>2.68682402657621E-06i</v>
      </c>
      <c r="AU71">
        <f t="shared" si="84"/>
        <v>2.6868240265762098E-6</v>
      </c>
      <c r="AV71">
        <f t="shared" si="85"/>
        <v>1.5707963267948966</v>
      </c>
      <c r="AW71" t="str">
        <f t="shared" si="60"/>
        <v>1+0.000489506041244215i</v>
      </c>
      <c r="AX71">
        <f t="shared" si="86"/>
        <v>1.000000119808075</v>
      </c>
      <c r="AY71">
        <f t="shared" si="87"/>
        <v>4.895060021463673E-4</v>
      </c>
      <c r="AZ71" t="str">
        <f t="shared" si="61"/>
        <v>1+0.00996381651693868i</v>
      </c>
      <c r="BA71">
        <f t="shared" si="88"/>
        <v>1.0000496375878465</v>
      </c>
      <c r="BB71">
        <f t="shared" si="89"/>
        <v>9.9634868085163811E-3</v>
      </c>
      <c r="BC71" s="42" t="str">
        <f t="shared" si="90"/>
        <v>-0.58770181893714+62.031393933243i</v>
      </c>
      <c r="BD71">
        <f t="shared" si="91"/>
        <v>35.852620622272639</v>
      </c>
      <c r="BE71" s="44">
        <f t="shared" si="92"/>
        <v>90.542819115392945</v>
      </c>
      <c r="BF71" s="42" t="str">
        <f t="shared" si="93"/>
        <v>22.6670011345938+1014.8088598132i</v>
      </c>
      <c r="BG71" s="20">
        <f t="shared" si="94"/>
        <v>60.129851189121084</v>
      </c>
      <c r="BH71" s="44">
        <f t="shared" si="95"/>
        <v>88.720441223450294</v>
      </c>
      <c r="BI71" s="42" t="str">
        <f t="shared" si="101"/>
        <v>15.948390736095+2850.22951595314i</v>
      </c>
      <c r="BJ71" s="20">
        <f t="shared" si="97"/>
        <v>69.097732635974069</v>
      </c>
      <c r="BK71" s="44">
        <f t="shared" si="102"/>
        <v>89.679406188976728</v>
      </c>
      <c r="BL71">
        <f t="shared" si="99"/>
        <v>60.129851189121084</v>
      </c>
      <c r="BM71" s="44">
        <f t="shared" si="100"/>
        <v>88.720441223450294</v>
      </c>
    </row>
    <row r="72" spans="1:65" x14ac:dyDescent="0.35">
      <c r="B72">
        <f>B71/(2*PI())</f>
        <v>994718.39432434598</v>
      </c>
      <c r="C72" t="s">
        <v>67</v>
      </c>
      <c r="N72" s="9">
        <v>54</v>
      </c>
      <c r="O72" s="35">
        <f t="shared" si="62"/>
        <v>34.67368504525318</v>
      </c>
      <c r="P72" s="34" t="str">
        <f t="shared" si="50"/>
        <v>16.3709677419355</v>
      </c>
      <c r="Q72" s="4" t="str">
        <f t="shared" si="51"/>
        <v>1+0.0320466780388648i</v>
      </c>
      <c r="R72" s="4">
        <f t="shared" si="63"/>
        <v>1.0005133630158702</v>
      </c>
      <c r="S72" s="4">
        <f t="shared" si="64"/>
        <v>3.2035714259149535E-2</v>
      </c>
      <c r="T72" s="4" t="str">
        <f t="shared" si="52"/>
        <v>1+0.0000348577901475371i</v>
      </c>
      <c r="U72" s="4">
        <f t="shared" si="65"/>
        <v>1.0000000006075327</v>
      </c>
      <c r="V72" s="4">
        <f t="shared" si="66"/>
        <v>3.4857790133418934E-5</v>
      </c>
      <c r="W72" t="str">
        <f t="shared" si="53"/>
        <v>1-0.000456174651675677i</v>
      </c>
      <c r="X72" s="4">
        <f t="shared" si="67"/>
        <v>1.0000001040476509</v>
      </c>
      <c r="Y72" s="4">
        <f t="shared" si="68"/>
        <v>-4.561746200330787E-4</v>
      </c>
      <c r="Z72" t="str">
        <f t="shared" si="54"/>
        <v>0.999999998959641+0.0000898386076233418i</v>
      </c>
      <c r="AA72" s="4">
        <f t="shared" si="69"/>
        <v>1.0000000029951286</v>
      </c>
      <c r="AB72" s="4">
        <f t="shared" si="70"/>
        <v>8.9838607475111138E-5</v>
      </c>
      <c r="AC72" s="48" t="str">
        <f t="shared" si="71"/>
        <v>16.3539038086957-0.532456399698513i</v>
      </c>
      <c r="AD72" s="20">
        <f t="shared" si="72"/>
        <v>24.277030067682439</v>
      </c>
      <c r="AE72" s="44">
        <f t="shared" si="73"/>
        <v>-1.8647982699730785</v>
      </c>
      <c r="AF72" t="str">
        <f t="shared" si="74"/>
        <v>45.9520231294187</v>
      </c>
      <c r="AG72" t="str">
        <f t="shared" si="55"/>
        <v>1+0.0153784368297958i</v>
      </c>
      <c r="AH72">
        <f t="shared" si="75"/>
        <v>1.0001182411691769</v>
      </c>
      <c r="AI72">
        <f t="shared" si="76"/>
        <v>1.5377224687222418E-2</v>
      </c>
      <c r="AJ72" t="str">
        <f t="shared" si="56"/>
        <v>1+0.0000348577901475371i</v>
      </c>
      <c r="AK72">
        <f t="shared" si="77"/>
        <v>1.0000000006075327</v>
      </c>
      <c r="AL72">
        <f t="shared" si="78"/>
        <v>3.4857790133418934E-5</v>
      </c>
      <c r="AM72" t="str">
        <f t="shared" si="57"/>
        <v>1-0.0000779883052079654i</v>
      </c>
      <c r="AN72">
        <f t="shared" si="79"/>
        <v>1.0000000030410878</v>
      </c>
      <c r="AO72">
        <f t="shared" si="80"/>
        <v>-7.7988305049852538E-5</v>
      </c>
      <c r="AP72" s="42" t="str">
        <f t="shared" si="81"/>
        <v>45.9411278676395-0.708484667227705i</v>
      </c>
      <c r="AQ72">
        <f t="shared" si="82"/>
        <v>33.24506579912601</v>
      </c>
      <c r="AR72" s="44">
        <f t="shared" si="83"/>
        <v>-0.88352127167515826</v>
      </c>
      <c r="AS72" t="str">
        <f t="shared" si="58"/>
        <v>-0.000166666666666667</v>
      </c>
      <c r="AT72" t="str">
        <f t="shared" si="59"/>
        <v>2.74940819788699E-06i</v>
      </c>
      <c r="AU72">
        <f t="shared" si="84"/>
        <v>2.7494081978869899E-6</v>
      </c>
      <c r="AV72">
        <f t="shared" si="85"/>
        <v>1.5707963267948966</v>
      </c>
      <c r="AW72" t="str">
        <f t="shared" si="60"/>
        <v>1+0.0005009081016843i</v>
      </c>
      <c r="AX72">
        <f t="shared" si="86"/>
        <v>1.0000001254544553</v>
      </c>
      <c r="AY72">
        <f t="shared" si="87"/>
        <v>5.0090805979020165E-4</v>
      </c>
      <c r="AZ72" t="str">
        <f t="shared" si="61"/>
        <v>1+0.0101959036181546i</v>
      </c>
      <c r="BA72">
        <f t="shared" si="88"/>
        <v>1.0000519768744975</v>
      </c>
      <c r="BB72">
        <f t="shared" si="89"/>
        <v>1.0195550330206705E-2</v>
      </c>
      <c r="BC72" s="42" t="str">
        <f t="shared" si="90"/>
        <v>-0.587701812300366+60.619400268824i</v>
      </c>
      <c r="BD72">
        <f t="shared" si="91"/>
        <v>35.652640890982219</v>
      </c>
      <c r="BE72" s="44">
        <f t="shared" si="92"/>
        <v>90.55546208598399</v>
      </c>
      <c r="BF72" s="42" t="str">
        <f t="shared" si="93"/>
        <v>22.6659687124648+991.676766528244i</v>
      </c>
      <c r="BG72" s="20">
        <f t="shared" si="94"/>
        <v>59.929670958664659</v>
      </c>
      <c r="BH72" s="44">
        <f t="shared" si="95"/>
        <v>88.690663816010911</v>
      </c>
      <c r="BI72" s="42" t="str">
        <f t="shared" si="101"/>
        <v>15.9482315200662+2785.33999673258i</v>
      </c>
      <c r="BJ72" s="20">
        <f t="shared" si="97"/>
        <v>68.897706690108222</v>
      </c>
      <c r="BK72" s="44">
        <f t="shared" si="102"/>
        <v>89.67194081430884</v>
      </c>
      <c r="BL72">
        <f t="shared" si="99"/>
        <v>59.929670958664659</v>
      </c>
      <c r="BM72" s="44">
        <f t="shared" si="100"/>
        <v>88.690663816010911</v>
      </c>
    </row>
    <row r="73" spans="1:65" x14ac:dyDescent="0.35">
      <c r="A73" t="s">
        <v>479</v>
      </c>
      <c r="B73">
        <f>2*Fsw/(DC_VIN_var_DCM)</f>
        <v>2793510.9993883516</v>
      </c>
      <c r="C73" t="s">
        <v>392</v>
      </c>
      <c r="N73" s="9">
        <v>55</v>
      </c>
      <c r="O73" s="35">
        <f t="shared" si="62"/>
        <v>35.481338923357555</v>
      </c>
      <c r="P73" s="34" t="str">
        <f t="shared" si="50"/>
        <v>16.3709677419355</v>
      </c>
      <c r="Q73" s="4" t="str">
        <f t="shared" si="51"/>
        <v>1+0.0327931410630478i</v>
      </c>
      <c r="R73" s="4">
        <f t="shared" si="63"/>
        <v>1.0005375505700829</v>
      </c>
      <c r="S73" s="4">
        <f t="shared" si="64"/>
        <v>3.2781393502285483E-2</v>
      </c>
      <c r="T73" s="4" t="str">
        <f t="shared" si="52"/>
        <v>1+0.0000356697323843678i</v>
      </c>
      <c r="U73" s="4">
        <f t="shared" si="65"/>
        <v>1.0000000006361649</v>
      </c>
      <c r="V73" s="4">
        <f t="shared" si="66"/>
        <v>3.5669732369239913E-5</v>
      </c>
      <c r="W73" t="str">
        <f t="shared" si="53"/>
        <v>1-0.000466800324315834i</v>
      </c>
      <c r="X73" s="4">
        <f t="shared" si="67"/>
        <v>1.0000001089512653</v>
      </c>
      <c r="Y73" s="4">
        <f t="shared" si="68"/>
        <v>-4.6680029041017927E-4</v>
      </c>
      <c r="Z73" t="str">
        <f t="shared" si="54"/>
        <v>0.999999998910611+0.000091931217617226i</v>
      </c>
      <c r="AA73" s="4">
        <f t="shared" si="69"/>
        <v>1.0000000031362852</v>
      </c>
      <c r="AB73" s="4">
        <f t="shared" si="70"/>
        <v>9.1931217458393927E-5</v>
      </c>
      <c r="AC73" s="48" t="str">
        <f t="shared" si="71"/>
        <v>16.353100474196-0.544832558643321i</v>
      </c>
      <c r="AD73" s="20">
        <f t="shared" si="72"/>
        <v>24.276820129206218</v>
      </c>
      <c r="AE73" s="44">
        <f t="shared" si="73"/>
        <v>-1.9082047263992683</v>
      </c>
      <c r="AF73" t="str">
        <f t="shared" si="74"/>
        <v>45.9520231294187</v>
      </c>
      <c r="AG73" t="str">
        <f t="shared" si="55"/>
        <v>1+0.0157366466401622i</v>
      </c>
      <c r="AH73">
        <f t="shared" si="75"/>
        <v>1.0001238133588648</v>
      </c>
      <c r="AI73">
        <f t="shared" si="76"/>
        <v>1.5735347814678221E-2</v>
      </c>
      <c r="AJ73" t="str">
        <f t="shared" si="56"/>
        <v>1+0.0000356697323843678i</v>
      </c>
      <c r="AK73">
        <f t="shared" si="77"/>
        <v>1.0000000006361649</v>
      </c>
      <c r="AL73">
        <f t="shared" si="78"/>
        <v>3.5669732369239913E-5</v>
      </c>
      <c r="AM73" t="str">
        <f t="shared" si="57"/>
        <v>1-0.0000798048861991636i</v>
      </c>
      <c r="AN73">
        <f t="shared" si="79"/>
        <v>1.0000000031844098</v>
      </c>
      <c r="AO73">
        <f t="shared" si="80"/>
        <v>-7.9804886029742614E-5</v>
      </c>
      <c r="AP73" s="42" t="str">
        <f t="shared" si="81"/>
        <v>45.9406145168984-0.724979316693254i</v>
      </c>
      <c r="AQ73">
        <f t="shared" si="82"/>
        <v>33.245017407051847</v>
      </c>
      <c r="AR73" s="44">
        <f t="shared" si="83"/>
        <v>-0.90409777698437321</v>
      </c>
      <c r="AS73" t="str">
        <f t="shared" si="58"/>
        <v>-0.000166666666666667</v>
      </c>
      <c r="AT73" t="str">
        <f t="shared" si="59"/>
        <v>2.81345014181702E-06i</v>
      </c>
      <c r="AU73">
        <f t="shared" si="84"/>
        <v>2.8134501418170202E-6</v>
      </c>
      <c r="AV73">
        <f t="shared" si="85"/>
        <v>1.5707963267948966</v>
      </c>
      <c r="AW73" t="str">
        <f t="shared" si="60"/>
        <v>1+0.000512575750230199i</v>
      </c>
      <c r="AX73">
        <f t="shared" si="86"/>
        <v>1.0000001313669413</v>
      </c>
      <c r="AY73">
        <f t="shared" si="87"/>
        <v>5.1257570533986413E-4</v>
      </c>
      <c r="AZ73" t="str">
        <f t="shared" si="61"/>
        <v>1+0.0104333967224276i</v>
      </c>
      <c r="BA73">
        <f t="shared" si="88"/>
        <v>1.0000544264024671</v>
      </c>
      <c r="BB73">
        <f t="shared" si="89"/>
        <v>1.0433018168683819E-2</v>
      </c>
      <c r="BC73" s="42" t="str">
        <f t="shared" si="90"/>
        <v>-0.58770180535081+59.2395478128195i</v>
      </c>
      <c r="BD73">
        <f t="shared" si="91"/>
        <v>35.452662114824726</v>
      </c>
      <c r="BE73" s="44">
        <f t="shared" si="92"/>
        <v>90.568399484051966</v>
      </c>
      <c r="BF73" s="42" t="str">
        <f t="shared" si="93"/>
        <v>22.6648877359636+969.070476507304i</v>
      </c>
      <c r="BG73" s="20">
        <f t="shared" si="94"/>
        <v>59.729482244030947</v>
      </c>
      <c r="BH73" s="44">
        <f t="shared" si="95"/>
        <v>88.660194757652718</v>
      </c>
      <c r="BI73" s="42" t="str">
        <f t="shared" si="101"/>
        <v>15.9480648040484+2721.92730187738i</v>
      </c>
      <c r="BJ73" s="20">
        <f t="shared" si="97"/>
        <v>68.697679521876594</v>
      </c>
      <c r="BK73" s="44">
        <f t="shared" si="102"/>
        <v>89.664301707067608</v>
      </c>
      <c r="BL73">
        <f t="shared" si="99"/>
        <v>59.729482244030947</v>
      </c>
      <c r="BM73" s="44">
        <f t="shared" si="100"/>
        <v>88.660194757652718</v>
      </c>
    </row>
    <row r="74" spans="1:65" x14ac:dyDescent="0.35">
      <c r="B74">
        <f>B73/(2*PI())</f>
        <v>444601.08413423679</v>
      </c>
      <c r="C74" t="s">
        <v>67</v>
      </c>
      <c r="N74" s="9">
        <v>56</v>
      </c>
      <c r="O74" s="35">
        <f t="shared" si="62"/>
        <v>36.307805477010156</v>
      </c>
      <c r="P74" s="34" t="str">
        <f t="shared" si="50"/>
        <v>16.3709677419355</v>
      </c>
      <c r="Q74" s="4" t="str">
        <f t="shared" si="51"/>
        <v>1+0.0335569914446912i</v>
      </c>
      <c r="R74" s="4">
        <f t="shared" si="63"/>
        <v>1.0005628774219135</v>
      </c>
      <c r="S74" s="4">
        <f t="shared" si="64"/>
        <v>3.3544404088970185E-2</v>
      </c>
      <c r="T74" s="4" t="str">
        <f t="shared" si="52"/>
        <v>1+0.0000365005871854536i</v>
      </c>
      <c r="U74" s="4">
        <f t="shared" si="65"/>
        <v>1.0000000006661465</v>
      </c>
      <c r="V74" s="4">
        <f t="shared" si="66"/>
        <v>3.6500587169243775E-5</v>
      </c>
      <c r="W74" t="str">
        <f t="shared" si="53"/>
        <v>1-0.000477673500666778i</v>
      </c>
      <c r="X74" s="4">
        <f t="shared" si="67"/>
        <v>1.0000001140859802</v>
      </c>
      <c r="Y74" s="4">
        <f t="shared" si="68"/>
        <v>-4.7767346433621457E-4</v>
      </c>
      <c r="Z74" t="str">
        <f t="shared" si="54"/>
        <v>0.999999998859269+0.0000940725707595446i</v>
      </c>
      <c r="AA74" s="4">
        <f t="shared" si="69"/>
        <v>1.0000000032840932</v>
      </c>
      <c r="AB74" s="4">
        <f t="shared" si="70"/>
        <v>9.4072570589353032E-5</v>
      </c>
      <c r="AC74" s="48" t="str">
        <f t="shared" si="71"/>
        <v>16.3522593629615-0.557495114061853i</v>
      </c>
      <c r="AD74" s="20">
        <f t="shared" si="72"/>
        <v>24.276600307515452</v>
      </c>
      <c r="AE74" s="44">
        <f t="shared" si="73"/>
        <v>-1.9526200857393985</v>
      </c>
      <c r="AF74" t="str">
        <f t="shared" si="74"/>
        <v>45.9520231294187</v>
      </c>
      <c r="AG74" t="str">
        <f t="shared" si="55"/>
        <v>1+0.0161032002288766i</v>
      </c>
      <c r="AH74">
        <f t="shared" si="75"/>
        <v>1.0001296481244877</v>
      </c>
      <c r="AI74">
        <f t="shared" si="76"/>
        <v>1.6101808522039945E-2</v>
      </c>
      <c r="AJ74" t="str">
        <f t="shared" si="56"/>
        <v>1+0.0000365005871854536i</v>
      </c>
      <c r="AK74">
        <f t="shared" si="77"/>
        <v>1.0000000006661465</v>
      </c>
      <c r="AL74">
        <f t="shared" si="78"/>
        <v>3.6500587169243775E-5</v>
      </c>
      <c r="AM74" t="str">
        <f t="shared" si="57"/>
        <v>1-0.0000816637807973674i</v>
      </c>
      <c r="AN74">
        <f t="shared" si="79"/>
        <v>1.0000000033344865</v>
      </c>
      <c r="AO74">
        <f t="shared" si="80"/>
        <v>-8.1663780615829552E-5</v>
      </c>
      <c r="AP74" s="42" t="str">
        <f t="shared" si="81"/>
        <v>45.9400769849441-0.741857598336013i</v>
      </c>
      <c r="AQ74">
        <f t="shared" si="82"/>
        <v>33.244966734907464</v>
      </c>
      <c r="AR74" s="44">
        <f t="shared" si="83"/>
        <v>-0.92515333121449228</v>
      </c>
      <c r="AS74" t="str">
        <f t="shared" si="58"/>
        <v>-0.000166666666666667</v>
      </c>
      <c r="AT74" t="str">
        <f t="shared" si="59"/>
        <v>2.87898381425265E-06i</v>
      </c>
      <c r="AU74">
        <f t="shared" si="84"/>
        <v>2.8789838142526498E-6</v>
      </c>
      <c r="AV74">
        <f t="shared" si="85"/>
        <v>1.5707963267948966</v>
      </c>
      <c r="AW74" t="str">
        <f t="shared" si="60"/>
        <v>1+0.000524515173223615i</v>
      </c>
      <c r="AX74">
        <f t="shared" si="86"/>
        <v>1.000000137558074</v>
      </c>
      <c r="AY74">
        <f t="shared" si="87"/>
        <v>5.2451512512275485E-4</v>
      </c>
      <c r="AZ74" t="str">
        <f t="shared" si="61"/>
        <v>1+0.0106764217517452i</v>
      </c>
      <c r="BA74">
        <f t="shared" si="88"/>
        <v>1.0000569913667026</v>
      </c>
      <c r="BB74">
        <f t="shared" si="89"/>
        <v>1.0676016125349125E-2</v>
      </c>
      <c r="BC74" s="42" t="str">
        <f t="shared" si="90"/>
        <v>-0.587701798073733+57.8911049491933i</v>
      </c>
      <c r="BD74">
        <f t="shared" si="91"/>
        <v>35.252684338804436</v>
      </c>
      <c r="BE74" s="44">
        <f t="shared" si="92"/>
        <v>90.581638163035791</v>
      </c>
      <c r="BF74" s="42" t="str">
        <f t="shared" si="93"/>
        <v>22.6637559266367+946.978003818584i</v>
      </c>
      <c r="BG74" s="20">
        <f t="shared" si="94"/>
        <v>59.529284646319887</v>
      </c>
      <c r="BH74" s="44">
        <f t="shared" si="95"/>
        <v>88.629018077296422</v>
      </c>
      <c r="BI74" s="42" t="str">
        <f t="shared" si="101"/>
        <v>15.9478902349292+2659.95780915388i</v>
      </c>
      <c r="BJ74" s="20">
        <f t="shared" si="97"/>
        <v>68.497651073711921</v>
      </c>
      <c r="BK74" s="44">
        <f t="shared" si="102"/>
        <v>89.656484831821317</v>
      </c>
      <c r="BL74">
        <f t="shared" si="99"/>
        <v>59.529284646319887</v>
      </c>
      <c r="BM74" s="44">
        <f t="shared" si="100"/>
        <v>88.629018077296422</v>
      </c>
    </row>
    <row r="75" spans="1:65" x14ac:dyDescent="0.35">
      <c r="N75" s="9">
        <v>57</v>
      </c>
      <c r="O75" s="35">
        <f t="shared" si="62"/>
        <v>37.15352290971726</v>
      </c>
      <c r="P75" s="34" t="str">
        <f t="shared" si="50"/>
        <v>16.3709677419355</v>
      </c>
      <c r="Q75" s="4" t="str">
        <f t="shared" si="51"/>
        <v>1+0.0343386341873777i</v>
      </c>
      <c r="R75" s="4">
        <f t="shared" si="63"/>
        <v>1.0005893972043951</v>
      </c>
      <c r="S75" s="4">
        <f t="shared" si="64"/>
        <v>3.4325147021777171E-2</v>
      </c>
      <c r="T75" s="4" t="str">
        <f t="shared" si="52"/>
        <v>1+0.0000373507950810074i</v>
      </c>
      <c r="U75" s="4">
        <f t="shared" si="65"/>
        <v>1.0000000006975409</v>
      </c>
      <c r="V75" s="4">
        <f t="shared" si="66"/>
        <v>3.7350795063638257E-5</v>
      </c>
      <c r="W75" t="str">
        <f t="shared" si="53"/>
        <v>1-0.00048879994583053i</v>
      </c>
      <c r="X75" s="4">
        <f t="shared" si="67"/>
        <v>1.0000001194626864</v>
      </c>
      <c r="Y75" s="4">
        <f t="shared" si="68"/>
        <v>-4.8879990690163023E-4</v>
      </c>
      <c r="Z75" t="str">
        <f t="shared" si="54"/>
        <v>0.999999998805508+0.0000962638024240774i</v>
      </c>
      <c r="AA75" s="4">
        <f t="shared" si="69"/>
        <v>1.0000000034388676</v>
      </c>
      <c r="AB75" s="4">
        <f t="shared" si="70"/>
        <v>9.6263802241713852E-5</v>
      </c>
      <c r="AC75" s="48" t="str">
        <f t="shared" si="71"/>
        <v>16.3513787026474-0.570450602776009i</v>
      </c>
      <c r="AD75" s="20">
        <f t="shared" si="72"/>
        <v>24.276370137876924</v>
      </c>
      <c r="AE75" s="44">
        <f t="shared" si="73"/>
        <v>-1.9980676938754658</v>
      </c>
      <c r="AF75" t="str">
        <f t="shared" si="74"/>
        <v>45.9520231294187</v>
      </c>
      <c r="AG75" t="str">
        <f t="shared" si="55"/>
        <v>1+0.0164782919475032i</v>
      </c>
      <c r="AH75">
        <f t="shared" si="75"/>
        <v>1.0001357578376582</v>
      </c>
      <c r="AI75">
        <f t="shared" si="76"/>
        <v>1.6476800717692763E-2</v>
      </c>
      <c r="AJ75" t="str">
        <f t="shared" si="56"/>
        <v>1+0.0000373507950810074i</v>
      </c>
      <c r="AK75">
        <f t="shared" si="77"/>
        <v>1.0000000006975409</v>
      </c>
      <c r="AL75">
        <f t="shared" si="78"/>
        <v>3.7350795063638257E-5</v>
      </c>
      <c r="AM75" t="str">
        <f t="shared" si="57"/>
        <v>1-0.0000835659746130977i</v>
      </c>
      <c r="AN75">
        <f t="shared" si="79"/>
        <v>1.0000000034916361</v>
      </c>
      <c r="AO75">
        <f t="shared" si="80"/>
        <v>-8.3565974418576389E-5</v>
      </c>
      <c r="AP75" s="42" t="str">
        <f t="shared" si="81"/>
        <v>45.9395141333336-0.759128406814309i</v>
      </c>
      <c r="AQ75">
        <f t="shared" si="82"/>
        <v>33.244913675292203</v>
      </c>
      <c r="AR75" s="44">
        <f t="shared" si="83"/>
        <v>-0.94669907572839884</v>
      </c>
      <c r="AS75" t="str">
        <f t="shared" si="58"/>
        <v>-0.000166666666666667</v>
      </c>
      <c r="AT75" t="str">
        <f t="shared" si="59"/>
        <v>2.94604396201445E-06i</v>
      </c>
      <c r="AU75">
        <f t="shared" si="84"/>
        <v>2.9460439620144498E-6</v>
      </c>
      <c r="AV75">
        <f t="shared" si="85"/>
        <v>1.5707963267948966</v>
      </c>
      <c r="AW75" t="str">
        <f t="shared" si="60"/>
        <v>1+0.000536732701104651i</v>
      </c>
      <c r="AX75">
        <f t="shared" si="86"/>
        <v>1.0000001440409858</v>
      </c>
      <c r="AY75">
        <f t="shared" si="87"/>
        <v>5.3673264956365118E-4</v>
      </c>
      <c r="AZ75" t="str">
        <f t="shared" si="61"/>
        <v>1+0.0109251075611946i</v>
      </c>
      <c r="BA75">
        <f t="shared" si="88"/>
        <v>1.0000596772069272</v>
      </c>
      <c r="BB75">
        <f t="shared" si="89"/>
        <v>1.0924672926081274E-2</v>
      </c>
      <c r="BC75" s="42" t="str">
        <f t="shared" si="90"/>
        <v>-0.587701790453693+56.5733567156903i</v>
      </c>
      <c r="BD75">
        <f t="shared" si="91"/>
        <v>35.052707610045587</v>
      </c>
      <c r="BE75" s="44">
        <f t="shared" si="92"/>
        <v>90.595185135678406</v>
      </c>
      <c r="BF75" s="42" t="str">
        <f t="shared" si="93"/>
        <v>22.6625708995955+925.387634978829i</v>
      </c>
      <c r="BG75" s="20">
        <f t="shared" si="94"/>
        <v>59.329077747922511</v>
      </c>
      <c r="BH75" s="44">
        <f t="shared" si="95"/>
        <v>88.597117441802965</v>
      </c>
      <c r="BI75" s="42" t="str">
        <f t="shared" si="101"/>
        <v>15.9477074429867+2599.39866153445i</v>
      </c>
      <c r="BJ75" s="20">
        <f t="shared" si="97"/>
        <v>68.297621285337797</v>
      </c>
      <c r="BK75" s="44">
        <f t="shared" si="102"/>
        <v>89.648486059950017</v>
      </c>
      <c r="BL75">
        <f t="shared" si="99"/>
        <v>59.329077747922511</v>
      </c>
      <c r="BM75" s="44">
        <f t="shared" si="100"/>
        <v>88.597117441802965</v>
      </c>
    </row>
    <row r="76" spans="1:65" x14ac:dyDescent="0.35">
      <c r="N76" s="9">
        <v>58</v>
      </c>
      <c r="O76" s="35">
        <f t="shared" si="62"/>
        <v>38.018939632056139</v>
      </c>
      <c r="P76" s="34" t="str">
        <f t="shared" si="50"/>
        <v>16.3709677419355</v>
      </c>
      <c r="Q76" s="4" t="str">
        <f t="shared" si="51"/>
        <v>1+0.0351384837284359i</v>
      </c>
      <c r="R76" s="4">
        <f t="shared" si="63"/>
        <v>1.0006171660723864</v>
      </c>
      <c r="S76" s="4">
        <f t="shared" si="64"/>
        <v>3.5124032451493904E-2</v>
      </c>
      <c r="T76" s="4" t="str">
        <f t="shared" si="52"/>
        <v>1+0.0000382208068625093i</v>
      </c>
      <c r="U76" s="4">
        <f t="shared" si="65"/>
        <v>1.0000000007304151</v>
      </c>
      <c r="V76" s="4">
        <f t="shared" si="66"/>
        <v>3.8220806843897931E-5</v>
      </c>
      <c r="W76" t="str">
        <f t="shared" si="53"/>
        <v>1-0.000500185559195593i</v>
      </c>
      <c r="X76" s="4">
        <f t="shared" si="67"/>
        <v>1.000000125092789</v>
      </c>
      <c r="Y76" s="4">
        <f t="shared" si="68"/>
        <v>-5.0018551748252558E-4</v>
      </c>
      <c r="Z76" t="str">
        <f t="shared" si="54"/>
        <v>0.999999998749214+0.0000985060744308574i</v>
      </c>
      <c r="AA76" s="4">
        <f t="shared" si="69"/>
        <v>1.0000000036009371</v>
      </c>
      <c r="AB76" s="4">
        <f t="shared" si="70"/>
        <v>9.8506074235451277E-5</v>
      </c>
      <c r="AC76" s="48" t="str">
        <f t="shared" si="71"/>
        <v>16.3504566381533-0.583705704312783i</v>
      </c>
      <c r="AD76" s="20">
        <f t="shared" si="72"/>
        <v>24.276129133756697</v>
      </c>
      <c r="AE76" s="44">
        <f t="shared" si="73"/>
        <v>-2.0445714294648067</v>
      </c>
      <c r="AF76" t="str">
        <f t="shared" si="74"/>
        <v>45.9520231294187</v>
      </c>
      <c r="AG76" t="str">
        <f t="shared" si="55"/>
        <v>1+0.0168621206746364i</v>
      </c>
      <c r="AH76">
        <f t="shared" si="75"/>
        <v>1.0001421554527365</v>
      </c>
      <c r="AI76">
        <f t="shared" si="76"/>
        <v>1.6860522805371959E-2</v>
      </c>
      <c r="AJ76" t="str">
        <f t="shared" si="56"/>
        <v>1+0.0000382208068625093i</v>
      </c>
      <c r="AK76">
        <f t="shared" si="77"/>
        <v>1.0000000007304151</v>
      </c>
      <c r="AL76">
        <f t="shared" si="78"/>
        <v>3.8220806843897931E-5</v>
      </c>
      <c r="AM76" t="str">
        <f t="shared" si="57"/>
        <v>1-0.0000855124762146942i</v>
      </c>
      <c r="AN76">
        <f t="shared" si="79"/>
        <v>1.0000000036561918</v>
      </c>
      <c r="AO76">
        <f t="shared" si="80"/>
        <v>-8.551247600626086E-5</v>
      </c>
      <c r="AP76" s="42" t="str">
        <f t="shared" si="81"/>
        <v>45.9389247700849-0.776800841020115i</v>
      </c>
      <c r="AQ76">
        <f t="shared" si="82"/>
        <v>33.244858115749153</v>
      </c>
      <c r="AR76" s="44">
        <f t="shared" si="83"/>
        <v>-0.96874641018102015</v>
      </c>
      <c r="AS76" t="str">
        <f t="shared" si="58"/>
        <v>-0.000166666666666667</v>
      </c>
      <c r="AT76" t="str">
        <f t="shared" si="59"/>
        <v>3.01466614128042E-06i</v>
      </c>
      <c r="AU76">
        <f t="shared" si="84"/>
        <v>3.01466614128042E-6</v>
      </c>
      <c r="AV76">
        <f t="shared" si="85"/>
        <v>1.5707963267948966</v>
      </c>
      <c r="AW76" t="str">
        <f t="shared" si="60"/>
        <v>1+0.000549234811768309i</v>
      </c>
      <c r="AX76">
        <f t="shared" si="86"/>
        <v>1.0000001508294278</v>
      </c>
      <c r="AY76">
        <f t="shared" si="87"/>
        <v>5.4923475654113324E-4</v>
      </c>
      <c r="AZ76" t="str">
        <f t="shared" si="61"/>
        <v>1+0.0111795860072839i</v>
      </c>
      <c r="BA76">
        <f t="shared" si="88"/>
        <v>1.000062489619171</v>
      </c>
      <c r="BB76">
        <f t="shared" si="89"/>
        <v>1.1179120288940926E-2</v>
      </c>
      <c r="BC76" s="42" t="str">
        <f t="shared" si="90"/>
        <v>-0.587701782474533+55.2856044247543i</v>
      </c>
      <c r="BD76">
        <f t="shared" si="91"/>
        <v>34.852731977892205</v>
      </c>
      <c r="BE76" s="44">
        <f t="shared" si="92"/>
        <v>90.609047577713667</v>
      </c>
      <c r="BF76" s="42" t="str">
        <f t="shared" si="93"/>
        <v>22.6613301585939+904.287922743907i</v>
      </c>
      <c r="BG76" s="20">
        <f t="shared" si="94"/>
        <v>59.128861111648909</v>
      </c>
      <c r="BH76" s="44">
        <f t="shared" si="95"/>
        <v>88.564476148248872</v>
      </c>
      <c r="BI76" s="42" t="str">
        <f t="shared" si="101"/>
        <v>15.9475160411122+2540.21774977636i</v>
      </c>
      <c r="BJ76" s="20">
        <f t="shared" si="97"/>
        <v>68.097590093641372</v>
      </c>
      <c r="BK76" s="44">
        <f t="shared" si="102"/>
        <v>89.64030116753267</v>
      </c>
      <c r="BL76">
        <f t="shared" si="99"/>
        <v>59.128861111648909</v>
      </c>
      <c r="BM76" s="44">
        <f t="shared" si="100"/>
        <v>88.564476148248872</v>
      </c>
    </row>
    <row r="77" spans="1:65" x14ac:dyDescent="0.35">
      <c r="N77" s="9">
        <v>59</v>
      </c>
      <c r="O77" s="35">
        <f t="shared" si="62"/>
        <v>38.904514499428053</v>
      </c>
      <c r="P77" s="34" t="str">
        <f t="shared" si="50"/>
        <v>16.3709677419355</v>
      </c>
      <c r="Q77" s="4" t="str">
        <f t="shared" si="51"/>
        <v>1+0.0359569641586798i</v>
      </c>
      <c r="R77" s="4">
        <f t="shared" si="63"/>
        <v>1.0006462428208625</v>
      </c>
      <c r="S77" s="4">
        <f t="shared" si="64"/>
        <v>3.5941479876515449E-2</v>
      </c>
      <c r="T77" s="4" t="str">
        <f t="shared" si="52"/>
        <v>1+0.0000391110838217219i</v>
      </c>
      <c r="U77" s="4">
        <f t="shared" si="65"/>
        <v>1.0000000007648384</v>
      </c>
      <c r="V77" s="4">
        <f t="shared" si="66"/>
        <v>3.9111083801779459E-5</v>
      </c>
      <c r="W77" t="str">
        <f t="shared" si="53"/>
        <v>1-0.000511836377564881i</v>
      </c>
      <c r="X77" s="4">
        <f t="shared" si="67"/>
        <v>1.00000013098823</v>
      </c>
      <c r="Y77" s="4">
        <f t="shared" si="68"/>
        <v>-5.118363328685243E-4</v>
      </c>
      <c r="Z77" t="str">
        <f t="shared" si="54"/>
        <v>0.999999998690266+0.000100800575662183i</v>
      </c>
      <c r="AA77" s="4">
        <f t="shared" si="69"/>
        <v>1.0000000037706438</v>
      </c>
      <c r="AB77" s="4">
        <f t="shared" si="70"/>
        <v>1.0080057545280159E-4</v>
      </c>
      <c r="AC77" s="48" t="str">
        <f t="shared" si="71"/>
        <v>16.3494912277954-0.597267243549779i</v>
      </c>
      <c r="AD77" s="20">
        <f t="shared" si="72"/>
        <v>24.27587678580139</v>
      </c>
      <c r="AE77" s="44">
        <f t="shared" si="73"/>
        <v>-2.0921557155654367</v>
      </c>
      <c r="AF77" t="str">
        <f t="shared" si="74"/>
        <v>45.9520231294187</v>
      </c>
      <c r="AG77" t="str">
        <f t="shared" si="55"/>
        <v>1+0.0172548899213479i</v>
      </c>
      <c r="AH77">
        <f t="shared" si="75"/>
        <v>1.0001488545342627</v>
      </c>
      <c r="AI77">
        <f t="shared" si="76"/>
        <v>1.7253177787346217E-2</v>
      </c>
      <c r="AJ77" t="str">
        <f t="shared" si="56"/>
        <v>1+0.0000391110838217219i</v>
      </c>
      <c r="AK77">
        <f t="shared" si="77"/>
        <v>1.0000000007648384</v>
      </c>
      <c r="AL77">
        <f t="shared" si="78"/>
        <v>3.9111083801779459E-5</v>
      </c>
      <c r="AM77" t="str">
        <f t="shared" si="57"/>
        <v>1-0.0000875043176630713i</v>
      </c>
      <c r="AN77">
        <f t="shared" si="79"/>
        <v>1.0000000038285028</v>
      </c>
      <c r="AO77">
        <f t="shared" si="80"/>
        <v>-8.7504317439730949E-5</v>
      </c>
      <c r="AP77" s="42" t="str">
        <f t="shared" si="81"/>
        <v>45.9383076471644-0.79488420862562i</v>
      </c>
      <c r="AQ77">
        <f t="shared" si="82"/>
        <v>33.24479993852735</v>
      </c>
      <c r="AR77" s="44">
        <f t="shared" si="83"/>
        <v>-0.9913069984482421</v>
      </c>
      <c r="AS77" t="str">
        <f t="shared" si="58"/>
        <v>-0.000166666666666667</v>
      </c>
      <c r="AT77" t="str">
        <f t="shared" si="59"/>
        <v>3.08488673643831E-06i</v>
      </c>
      <c r="AU77">
        <f t="shared" si="84"/>
        <v>3.08488673643831E-6</v>
      </c>
      <c r="AV77">
        <f t="shared" si="85"/>
        <v>1.5707963267948966</v>
      </c>
      <c r="AW77" t="str">
        <f t="shared" si="60"/>
        <v>1+0.00056202813399915i</v>
      </c>
      <c r="AX77">
        <f t="shared" si="86"/>
        <v>1.0000001579377993</v>
      </c>
      <c r="AY77">
        <f t="shared" si="87"/>
        <v>5.6202807482216551E-4</v>
      </c>
      <c r="AZ77" t="str">
        <f t="shared" si="61"/>
        <v>1+0.0114399920178536i</v>
      </c>
      <c r="BA77">
        <f t="shared" si="88"/>
        <v>1.000065434567843</v>
      </c>
      <c r="BB77">
        <f t="shared" si="89"/>
        <v>1.1439492993421752E-2</v>
      </c>
      <c r="BC77" s="42" t="str">
        <f t="shared" si="90"/>
        <v>-0.587701774119331+54.0271652930756i</v>
      </c>
      <c r="BD77">
        <f t="shared" si="91"/>
        <v>34.652757494012853</v>
      </c>
      <c r="BE77" s="44">
        <f t="shared" si="92"/>
        <v>90.623232831637367</v>
      </c>
      <c r="BF77" s="42" t="str">
        <f t="shared" si="93"/>
        <v>22.6600310908798+883.667680040449i</v>
      </c>
      <c r="BG77" s="20">
        <f t="shared" si="94"/>
        <v>58.928634279814247</v>
      </c>
      <c r="BH77" s="44">
        <f t="shared" si="95"/>
        <v>88.531077116071941</v>
      </c>
      <c r="BI77" s="42" t="str">
        <f t="shared" si="101"/>
        <v>15.9473156239938+2482.38369539714i</v>
      </c>
      <c r="BJ77" s="20">
        <f t="shared" si="97"/>
        <v>67.897557432540211</v>
      </c>
      <c r="BK77" s="44">
        <f t="shared" si="102"/>
        <v>89.631925833189129</v>
      </c>
      <c r="BL77">
        <f t="shared" si="99"/>
        <v>58.928634279814247</v>
      </c>
      <c r="BM77" s="44">
        <f t="shared" si="100"/>
        <v>88.531077116071941</v>
      </c>
    </row>
    <row r="78" spans="1:65" x14ac:dyDescent="0.35">
      <c r="N78" s="9">
        <v>60</v>
      </c>
      <c r="O78" s="35">
        <f t="shared" si="62"/>
        <v>39.810717055349755</v>
      </c>
      <c r="P78" s="34" t="str">
        <f t="shared" si="50"/>
        <v>16.3709677419355</v>
      </c>
      <c r="Q78" s="4" t="str">
        <f t="shared" si="51"/>
        <v>1+0.0367945094472672i</v>
      </c>
      <c r="R78" s="4">
        <f t="shared" si="63"/>
        <v>1.0006766890087253</v>
      </c>
      <c r="S78" s="4">
        <f t="shared" si="64"/>
        <v>3.6777918345911008E-2</v>
      </c>
      <c r="T78" s="4" t="str">
        <f t="shared" si="52"/>
        <v>1+0.0000400220979952731i</v>
      </c>
      <c r="U78" s="4">
        <f t="shared" si="65"/>
        <v>1.000000000800884</v>
      </c>
      <c r="V78" s="4">
        <f t="shared" si="66"/>
        <v>4.0022097973904391E-5</v>
      </c>
      <c r="W78" t="str">
        <f t="shared" si="53"/>
        <v>1-0.000523758578356508i</v>
      </c>
      <c r="X78" s="4">
        <f t="shared" si="67"/>
        <v>1.0000001371615148</v>
      </c>
      <c r="Y78" s="4">
        <f t="shared" si="68"/>
        <v>-5.2375853046349933E-4</v>
      </c>
      <c r="Z78" t="str">
        <f t="shared" si="54"/>
        <v>0.99999999862854+0.000103148522692977i</v>
      </c>
      <c r="AA78" s="4">
        <f t="shared" si="69"/>
        <v>1.0000000039483488</v>
      </c>
      <c r="AB78" s="4">
        <f t="shared" si="70"/>
        <v>1.0314852246862079E-4</v>
      </c>
      <c r="AC78" s="48" t="str">
        <f t="shared" si="71"/>
        <v>16.3484804393086-0.611142193374497i</v>
      </c>
      <c r="AD78" s="20">
        <f t="shared" si="72"/>
        <v>24.27561256077421</v>
      </c>
      <c r="AE78" s="44">
        <f t="shared" si="73"/>
        <v>-2.1408455314763004</v>
      </c>
      <c r="AF78" t="str">
        <f t="shared" si="74"/>
        <v>45.9520231294187</v>
      </c>
      <c r="AG78" t="str">
        <f t="shared" si="55"/>
        <v>1+0.017656807939091i</v>
      </c>
      <c r="AH78">
        <f t="shared" si="75"/>
        <v>1.0001558692856818</v>
      </c>
      <c r="AI78">
        <f t="shared" si="76"/>
        <v>1.7654973369896416E-2</v>
      </c>
      <c r="AJ78" t="str">
        <f t="shared" si="56"/>
        <v>1+0.0000400220979952731i</v>
      </c>
      <c r="AK78">
        <f t="shared" si="77"/>
        <v>1.000000000800884</v>
      </c>
      <c r="AL78">
        <f t="shared" si="78"/>
        <v>4.0022097973904391E-5</v>
      </c>
      <c r="AM78" t="str">
        <f t="shared" si="57"/>
        <v>1-0.0000895425550589297i</v>
      </c>
      <c r="AN78">
        <f t="shared" si="79"/>
        <v>1.0000000040089345</v>
      </c>
      <c r="AO78">
        <f t="shared" si="80"/>
        <v>-8.9542554819616212E-5</v>
      </c>
      <c r="AP78" s="42" t="str">
        <f t="shared" si="81"/>
        <v>45.9376614578577-0.813388030720745i</v>
      </c>
      <c r="AQ78">
        <f t="shared" si="82"/>
        <v>33.244739020332872</v>
      </c>
      <c r="AR78" s="44">
        <f t="shared" si="83"/>
        <v>-1.0143927746877441</v>
      </c>
      <c r="AS78" t="str">
        <f t="shared" si="58"/>
        <v>-0.000166666666666667</v>
      </c>
      <c r="AT78" t="str">
        <f t="shared" si="59"/>
        <v>3.15674297937717E-06i</v>
      </c>
      <c r="AU78">
        <f t="shared" si="84"/>
        <v>3.1567429793771702E-6</v>
      </c>
      <c r="AV78">
        <f t="shared" si="85"/>
        <v>1.5707963267948966</v>
      </c>
      <c r="AW78" t="str">
        <f t="shared" si="60"/>
        <v>1+0.000575119450985958i</v>
      </c>
      <c r="AX78">
        <f t="shared" si="86"/>
        <v>1.0000001653811776</v>
      </c>
      <c r="AY78">
        <f t="shared" si="87"/>
        <v>5.7511938757667726E-4</v>
      </c>
      <c r="AZ78" t="str">
        <f t="shared" si="61"/>
        <v>1+0.0117064636636174i</v>
      </c>
      <c r="BA78">
        <f t="shared" si="88"/>
        <v>1.0000685182983753</v>
      </c>
      <c r="BB78">
        <f t="shared" si="89"/>
        <v>1.1705928951283496E-2</v>
      </c>
      <c r="BC78" s="42" t="str">
        <f t="shared" si="90"/>
        <v>-0.587701765370361+52.7973720795688i</v>
      </c>
      <c r="BD78">
        <f t="shared" si="91"/>
        <v>34.452784212509741</v>
      </c>
      <c r="BE78" s="44">
        <f t="shared" si="92"/>
        <v>90.637748410564257</v>
      </c>
      <c r="BF78" s="42" t="str">
        <f t="shared" si="93"/>
        <v>22.6586709618126+863.515974035667i</v>
      </c>
      <c r="BG78" s="20">
        <f t="shared" si="94"/>
        <v>58.72839677328394</v>
      </c>
      <c r="BH78" s="44">
        <f t="shared" si="95"/>
        <v>88.496902879087955</v>
      </c>
      <c r="BI78" s="42" t="str">
        <f t="shared" si="101"/>
        <v>15.9471057672619+2425.86583403737i</v>
      </c>
      <c r="BJ78" s="20">
        <f t="shared" si="97"/>
        <v>67.697523232842627</v>
      </c>
      <c r="BK78" s="44">
        <f t="shared" si="102"/>
        <v>89.623355635876507</v>
      </c>
      <c r="BL78">
        <f t="shared" si="99"/>
        <v>58.72839677328394</v>
      </c>
      <c r="BM78" s="44">
        <f t="shared" si="100"/>
        <v>88.496902879087955</v>
      </c>
    </row>
    <row r="79" spans="1:65" x14ac:dyDescent="0.35">
      <c r="N79" s="9">
        <v>61</v>
      </c>
      <c r="O79" s="35">
        <f t="shared" si="62"/>
        <v>40.738027780411279</v>
      </c>
      <c r="P79" s="34" t="str">
        <f t="shared" si="50"/>
        <v>16.3709677419355</v>
      </c>
      <c r="Q79" s="4" t="str">
        <f t="shared" si="51"/>
        <v>1+0.0376515636717966i</v>
      </c>
      <c r="R79" s="4">
        <f t="shared" si="63"/>
        <v>1.000708569088389</v>
      </c>
      <c r="S79" s="4">
        <f t="shared" si="64"/>
        <v>3.7633786666180724E-2</v>
      </c>
      <c r="T79" s="4" t="str">
        <f t="shared" si="52"/>
        <v>1+0.0000409543324149366i</v>
      </c>
      <c r="U79" s="4">
        <f t="shared" si="65"/>
        <v>1.0000000008386287</v>
      </c>
      <c r="V79" s="4">
        <f t="shared" si="66"/>
        <v>4.0954332392039614E-5</v>
      </c>
      <c r="W79" t="str">
        <f t="shared" si="53"/>
        <v>1-0.000535958482879145i</v>
      </c>
      <c r="X79" s="4">
        <f t="shared" si="67"/>
        <v>1.0000001436257375</v>
      </c>
      <c r="Y79" s="4">
        <f t="shared" si="68"/>
        <v>-5.3595843156086192E-4</v>
      </c>
      <c r="Z79" t="str">
        <f t="shared" si="54"/>
        <v>0.999999998563905+0.000105551160435836i</v>
      </c>
      <c r="AA79" s="4">
        <f t="shared" si="69"/>
        <v>1.0000000041344286</v>
      </c>
      <c r="AB79" s="4">
        <f t="shared" si="70"/>
        <v>1.0555116019543399E-4</v>
      </c>
      <c r="AC79" s="48" t="str">
        <f t="shared" si="71"/>
        <v>16.3474221456659-0.625337677354266i</v>
      </c>
      <c r="AD79" s="20">
        <f t="shared" si="72"/>
        <v>24.275335900440606</v>
      </c>
      <c r="AE79" s="44">
        <f t="shared" si="73"/>
        <v>-2.1906664247938301</v>
      </c>
      <c r="AF79" t="str">
        <f t="shared" si="74"/>
        <v>45.9520231294187</v>
      </c>
      <c r="AG79" t="str">
        <f t="shared" si="55"/>
        <v>1+0.0180680878301191i</v>
      </c>
      <c r="AH79">
        <f t="shared" si="75"/>
        <v>1.000163214579419</v>
      </c>
      <c r="AI79">
        <f t="shared" si="76"/>
        <v>1.8066122071135463E-2</v>
      </c>
      <c r="AJ79" t="str">
        <f t="shared" si="56"/>
        <v>1+0.0000409543324149366i</v>
      </c>
      <c r="AK79">
        <f t="shared" si="77"/>
        <v>1.0000000008386287</v>
      </c>
      <c r="AL79">
        <f t="shared" si="78"/>
        <v>4.0954332392039614E-5</v>
      </c>
      <c r="AM79" t="str">
        <f t="shared" si="57"/>
        <v>1-0.0000916282691027164i</v>
      </c>
      <c r="AN79">
        <f t="shared" si="79"/>
        <v>1.0000000041978698</v>
      </c>
      <c r="AO79">
        <f t="shared" si="80"/>
        <v>-9.1628268846287366E-5</v>
      </c>
      <c r="AP79" s="42" t="str">
        <f t="shared" si="81"/>
        <v>45.9369848340172-0.832322046542608i</v>
      </c>
      <c r="AQ79">
        <f t="shared" si="82"/>
        <v>33.244675232068239</v>
      </c>
      <c r="AR79" s="44">
        <f t="shared" si="83"/>
        <v>-1.0380159495343511</v>
      </c>
      <c r="AS79" t="str">
        <f t="shared" si="58"/>
        <v>-0.000166666666666667</v>
      </c>
      <c r="AT79" t="str">
        <f t="shared" si="59"/>
        <v>3.23027296922813E-06i</v>
      </c>
      <c r="AU79">
        <f t="shared" si="84"/>
        <v>3.23027296922813E-6</v>
      </c>
      <c r="AV79">
        <f t="shared" si="85"/>
        <v>1.5707963267948966</v>
      </c>
      <c r="AW79" t="str">
        <f t="shared" si="60"/>
        <v>1+0.000588515703918286i</v>
      </c>
      <c r="AX79">
        <f t="shared" si="86"/>
        <v>1.0000001731753518</v>
      </c>
      <c r="AY79">
        <f t="shared" si="87"/>
        <v>5.885156359740182E-4</v>
      </c>
      <c r="AZ79" t="str">
        <f t="shared" si="61"/>
        <v>1+0.0119791422313689i</v>
      </c>
      <c r="BA79">
        <f t="shared" si="88"/>
        <v>1.0000717473504586</v>
      </c>
      <c r="BB79">
        <f t="shared" si="89"/>
        <v>1.1978569279000387E-2</v>
      </c>
      <c r="BC79" s="42" t="str">
        <f t="shared" si="90"/>
        <v>-0.58770175620906+51.5955727315938i</v>
      </c>
      <c r="BD79">
        <f t="shared" si="91"/>
        <v>34.252812190033531</v>
      </c>
      <c r="BE79" s="44">
        <f t="shared" si="92"/>
        <v>90.652602002173012</v>
      </c>
      <c r="BF79" s="42" t="str">
        <f t="shared" si="93"/>
        <v>22.6572469092392+843.822120341977i</v>
      </c>
      <c r="BG79" s="20">
        <f t="shared" si="94"/>
        <v>58.528148090474133</v>
      </c>
      <c r="BH79" s="44">
        <f t="shared" si="95"/>
        <v>88.461935577379194</v>
      </c>
      <c r="BI79" s="42" t="str">
        <f t="shared" si="101"/>
        <v>15.9468860265973+2370.63419920214i</v>
      </c>
      <c r="BJ79" s="20">
        <f t="shared" si="97"/>
        <v>67.49748742210177</v>
      </c>
      <c r="BK79" s="44">
        <f t="shared" si="102"/>
        <v>89.614586052638671</v>
      </c>
      <c r="BL79">
        <f t="shared" si="99"/>
        <v>58.528148090474133</v>
      </c>
      <c r="BM79" s="44">
        <f t="shared" si="100"/>
        <v>88.461935577379194</v>
      </c>
    </row>
    <row r="80" spans="1:65" x14ac:dyDescent="0.35">
      <c r="N80" s="9">
        <v>62</v>
      </c>
      <c r="O80" s="35">
        <f t="shared" si="62"/>
        <v>41.686938347033561</v>
      </c>
      <c r="P80" s="34" t="str">
        <f t="shared" si="50"/>
        <v>16.3709677419355</v>
      </c>
      <c r="Q80" s="4" t="str">
        <f t="shared" si="51"/>
        <v>1+0.0385285812537621i</v>
      </c>
      <c r="R80" s="4">
        <f t="shared" si="63"/>
        <v>1.000741950541411</v>
      </c>
      <c r="S80" s="4">
        <f t="shared" si="64"/>
        <v>3.8509533611712742E-2</v>
      </c>
      <c r="T80" s="4" t="str">
        <f t="shared" si="52"/>
        <v>1+0.0000419082813637413i</v>
      </c>
      <c r="U80" s="4">
        <f t="shared" si="65"/>
        <v>1.000000000878152</v>
      </c>
      <c r="V80" s="4">
        <f t="shared" si="66"/>
        <v>4.1908281339206739E-5</v>
      </c>
      <c r="W80" t="str">
        <f t="shared" si="53"/>
        <v>1-0.000548442559683655i</v>
      </c>
      <c r="X80" s="4">
        <f t="shared" si="67"/>
        <v>1.0000001503946094</v>
      </c>
      <c r="Y80" s="4">
        <f t="shared" si="68"/>
        <v>-5.4844250469512446E-4</v>
      </c>
      <c r="Z80" t="str">
        <f t="shared" si="54"/>
        <v>0.999999998496224+0.000108009762801093i</v>
      </c>
      <c r="AA80" s="4">
        <f t="shared" si="69"/>
        <v>1.0000000043292785</v>
      </c>
      <c r="AB80" s="4">
        <f t="shared" si="70"/>
        <v>1.080097625434976E-4</v>
      </c>
      <c r="AC80" s="48" t="str">
        <f t="shared" si="71"/>
        <v>16.3463141207103-0.639860972413556i</v>
      </c>
      <c r="AD80" s="20">
        <f t="shared" si="72"/>
        <v>24.27504622040319</v>
      </c>
      <c r="AE80" s="44">
        <f t="shared" si="73"/>
        <v>-2.2416445236855074</v>
      </c>
      <c r="AF80" t="str">
        <f t="shared" si="74"/>
        <v>45.9520231294187</v>
      </c>
      <c r="AG80" t="str">
        <f t="shared" si="55"/>
        <v>1+0.018488947660474i</v>
      </c>
      <c r="AH80">
        <f t="shared" si="75"/>
        <v>1.0001709059883674</v>
      </c>
      <c r="AI80">
        <f t="shared" si="76"/>
        <v>1.8486841331212315E-2</v>
      </c>
      <c r="AJ80" t="str">
        <f t="shared" si="56"/>
        <v>1+0.0000419082813637413i</v>
      </c>
      <c r="AK80">
        <f t="shared" si="77"/>
        <v>1.000000000878152</v>
      </c>
      <c r="AL80">
        <f t="shared" si="78"/>
        <v>4.1908281339206739E-5</v>
      </c>
      <c r="AM80" t="str">
        <f t="shared" si="57"/>
        <v>1-0.000093762565667625i</v>
      </c>
      <c r="AN80">
        <f t="shared" si="79"/>
        <v>1.0000000043957094</v>
      </c>
      <c r="AO80">
        <f t="shared" si="80"/>
        <v>-9.3762565392856354E-5</v>
      </c>
      <c r="AP80" s="42" t="str">
        <f t="shared" si="81"/>
        <v>45.9362763431812-0.851696218297838i</v>
      </c>
      <c r="AQ80">
        <f t="shared" si="82"/>
        <v>33.244608438559567</v>
      </c>
      <c r="AR80" s="44">
        <f t="shared" si="83"/>
        <v>-1.0621890164324239</v>
      </c>
      <c r="AS80" t="str">
        <f t="shared" si="58"/>
        <v>-0.000166666666666667</v>
      </c>
      <c r="AT80" t="str">
        <f t="shared" si="59"/>
        <v>3.30551569256509E-06i</v>
      </c>
      <c r="AU80">
        <f t="shared" si="84"/>
        <v>3.3055156925650901E-6</v>
      </c>
      <c r="AV80">
        <f t="shared" si="85"/>
        <v>1.5707963267948966</v>
      </c>
      <c r="AW80" t="str">
        <f t="shared" si="60"/>
        <v>1+0.000602223995666758i</v>
      </c>
      <c r="AX80">
        <f t="shared" si="86"/>
        <v>1.000000181336854</v>
      </c>
      <c r="AY80">
        <f t="shared" si="87"/>
        <v>6.0222392286316396E-4</v>
      </c>
      <c r="AZ80" t="str">
        <f t="shared" si="61"/>
        <v>1+0.0122581722988943i</v>
      </c>
      <c r="BA80">
        <f t="shared" si="88"/>
        <v>1.0000751285719036</v>
      </c>
      <c r="BB80">
        <f t="shared" si="89"/>
        <v>1.225755837186133E-2</v>
      </c>
      <c r="BC80" s="42" t="str">
        <f t="shared" si="90"/>
        <v>-0.587701746616006+50.4211300392289i</v>
      </c>
      <c r="BD80">
        <f t="shared" si="91"/>
        <v>34.052841485903322</v>
      </c>
      <c r="BE80" s="44">
        <f t="shared" si="92"/>
        <v>90.667801472741019</v>
      </c>
      <c r="BF80" s="42" t="str">
        <f t="shared" si="93"/>
        <v>22.655755937616+824.575677353497i</v>
      </c>
      <c r="BG80" s="20">
        <f t="shared" si="94"/>
        <v>58.327887706306512</v>
      </c>
      <c r="BH80" s="44">
        <f t="shared" si="95"/>
        <v>88.426156949055539</v>
      </c>
      <c r="BI80" s="42" t="str">
        <f t="shared" si="101"/>
        <v>15.9466559367917+2316.65950637257i</v>
      </c>
      <c r="BJ80" s="20">
        <f t="shared" si="97"/>
        <v>67.297449924462867</v>
      </c>
      <c r="BK80" s="44">
        <f t="shared" si="102"/>
        <v>89.605612456308606</v>
      </c>
      <c r="BL80">
        <f t="shared" si="99"/>
        <v>58.327887706306512</v>
      </c>
      <c r="BM80" s="44">
        <f t="shared" si="100"/>
        <v>88.426156949055539</v>
      </c>
    </row>
    <row r="81" spans="14:65" x14ac:dyDescent="0.35">
      <c r="N81" s="9">
        <v>63</v>
      </c>
      <c r="O81" s="35">
        <f t="shared" si="62"/>
        <v>42.657951880159267</v>
      </c>
      <c r="P81" s="34" t="str">
        <f t="shared" si="50"/>
        <v>16.3709677419355</v>
      </c>
      <c r="Q81" s="4" t="str">
        <f t="shared" si="51"/>
        <v>1+0.0394260271994944i</v>
      </c>
      <c r="R81" s="4">
        <f t="shared" si="63"/>
        <v>1.0007769040204393</v>
      </c>
      <c r="S81" s="4">
        <f t="shared" si="64"/>
        <v>3.9405618138951423E-2</v>
      </c>
      <c r="T81" s="4" t="str">
        <f t="shared" si="52"/>
        <v>1+0.0000428844506380466i</v>
      </c>
      <c r="U81" s="4">
        <f t="shared" si="65"/>
        <v>1.000000000919538</v>
      </c>
      <c r="V81" s="4">
        <f t="shared" si="66"/>
        <v>4.2884450611757344E-5</v>
      </c>
      <c r="W81" t="str">
        <f t="shared" si="53"/>
        <v>1-0.000561217427992803i</v>
      </c>
      <c r="X81" s="4">
        <f t="shared" si="67"/>
        <v>1.0000001574824884</v>
      </c>
      <c r="Y81" s="4">
        <f t="shared" si="68"/>
        <v>-5.6121736907153151E-4</v>
      </c>
      <c r="Z81" t="str">
        <f t="shared" si="54"/>
        <v>0.999999998425353+0.000110525633372265i</v>
      </c>
      <c r="AA81" s="4">
        <f t="shared" si="69"/>
        <v>1.0000000045333106</v>
      </c>
      <c r="AB81" s="4">
        <f t="shared" si="70"/>
        <v>1.1052563309624659E-4</v>
      </c>
      <c r="AC81" s="48" t="str">
        <f t="shared" si="71"/>
        <v>16.3451540345892-0.654719511514936i</v>
      </c>
      <c r="AD81" s="20">
        <f t="shared" si="72"/>
        <v>24.274742908882363</v>
      </c>
      <c r="AE81" s="44">
        <f t="shared" si="73"/>
        <v>-2.2938065493809519</v>
      </c>
      <c r="AF81" t="str">
        <f t="shared" si="74"/>
        <v>45.9520231294187</v>
      </c>
      <c r="AG81" t="str">
        <f t="shared" si="55"/>
        <v>1+0.0189196105756087i</v>
      </c>
      <c r="AH81">
        <f t="shared" si="75"/>
        <v>1.000178959818858</v>
      </c>
      <c r="AI81">
        <f t="shared" si="76"/>
        <v>1.8917353624951731E-2</v>
      </c>
      <c r="AJ81" t="str">
        <f t="shared" si="56"/>
        <v>1+0.0000428844506380466i</v>
      </c>
      <c r="AK81">
        <f t="shared" si="77"/>
        <v>1.000000000919538</v>
      </c>
      <c r="AL81">
        <f t="shared" si="78"/>
        <v>4.2884450611757344E-5</v>
      </c>
      <c r="AM81" t="str">
        <f t="shared" si="57"/>
        <v>1-0.0000959465763859447i</v>
      </c>
      <c r="AN81">
        <f t="shared" si="79"/>
        <v>1.0000000046028727</v>
      </c>
      <c r="AO81">
        <f t="shared" si="80"/>
        <v>-9.5946576091524778E-5</v>
      </c>
      <c r="AP81" s="42" t="str">
        <f t="shared" si="81"/>
        <v>45.9355344855584-0.871520736078873i</v>
      </c>
      <c r="AQ81">
        <f t="shared" si="82"/>
        <v>33.244538498270842</v>
      </c>
      <c r="AR81" s="44">
        <f t="shared" si="83"/>
        <v>-1.0869247581082282</v>
      </c>
      <c r="AS81" t="str">
        <f t="shared" si="58"/>
        <v>-0.000166666666666667</v>
      </c>
      <c r="AT81" t="str">
        <f t="shared" si="59"/>
        <v>3.38251104407592E-06i</v>
      </c>
      <c r="AU81">
        <f t="shared" si="84"/>
        <v>3.38251104407592E-6</v>
      </c>
      <c r="AV81">
        <f t="shared" si="85"/>
        <v>1.5707963267948966</v>
      </c>
      <c r="AW81" t="str">
        <f t="shared" si="60"/>
        <v>1+0.000616251594549108i</v>
      </c>
      <c r="AX81">
        <f t="shared" si="86"/>
        <v>1.0000001898829958</v>
      </c>
      <c r="AY81">
        <f t="shared" si="87"/>
        <v>6.1625151653865241E-4</v>
      </c>
      <c r="AZ81" t="str">
        <f t="shared" si="61"/>
        <v>1+0.0125437018116286i</v>
      </c>
      <c r="BA81">
        <f t="shared" si="88"/>
        <v>1.0000786691331534</v>
      </c>
      <c r="BB81">
        <f t="shared" si="89"/>
        <v>1.2543043979755543E-2</v>
      </c>
      <c r="BC81" s="42" t="str">
        <f t="shared" si="90"/>
        <v>-0.587701736570843+49.2734212974128i</v>
      </c>
      <c r="BD81">
        <f t="shared" si="91"/>
        <v>33.852872162232089</v>
      </c>
      <c r="BE81" s="44">
        <f t="shared" si="92"/>
        <v>90.683354871270751</v>
      </c>
      <c r="BF81" s="42" t="str">
        <f t="shared" si="93"/>
        <v>22.6541949118658+805.766440711304i</v>
      </c>
      <c r="BG81" s="20">
        <f t="shared" si="94"/>
        <v>58.127615071114448</v>
      </c>
      <c r="BH81" s="44">
        <f t="shared" si="95"/>
        <v>88.389548321889805</v>
      </c>
      <c r="BI81" s="42" t="str">
        <f t="shared" si="101"/>
        <v>15.9464150107731+2263.9131374788i</v>
      </c>
      <c r="BJ81" s="20">
        <f t="shared" si="97"/>
        <v>67.097410660502902</v>
      </c>
      <c r="BK81" s="44">
        <f t="shared" si="102"/>
        <v>89.59643011316254</v>
      </c>
      <c r="BL81">
        <f t="shared" si="99"/>
        <v>58.127615071114448</v>
      </c>
      <c r="BM81" s="44">
        <f t="shared" si="100"/>
        <v>88.389548321889805</v>
      </c>
    </row>
    <row r="82" spans="14:65" x14ac:dyDescent="0.35">
      <c r="N82" s="9">
        <v>64</v>
      </c>
      <c r="O82" s="35">
        <f t="shared" si="62"/>
        <v>43.651583224016633</v>
      </c>
      <c r="P82" s="34" t="str">
        <f t="shared" si="50"/>
        <v>16.3709677419355</v>
      </c>
      <c r="Q82" s="4" t="str">
        <f t="shared" si="51"/>
        <v>1+0.040344377346713i</v>
      </c>
      <c r="R82" s="4">
        <f t="shared" si="63"/>
        <v>1.0008135034977765</v>
      </c>
      <c r="S82" s="4">
        <f t="shared" si="64"/>
        <v>4.0322509604276448E-2</v>
      </c>
      <c r="T82" s="4" t="str">
        <f t="shared" si="52"/>
        <v>1+0.0000438833578157229i</v>
      </c>
      <c r="U82" s="4">
        <f t="shared" si="65"/>
        <v>1.0000000009628744</v>
      </c>
      <c r="V82" s="4">
        <f t="shared" si="66"/>
        <v>4.3883357787553457E-5</v>
      </c>
      <c r="W82" t="str">
        <f t="shared" si="53"/>
        <v>1-0.000574289861210863i</v>
      </c>
      <c r="X82" s="4">
        <f t="shared" si="67"/>
        <v>1.0000001649044088</v>
      </c>
      <c r="Y82" s="4">
        <f t="shared" si="68"/>
        <v>-5.7428979807558366E-4</v>
      </c>
      <c r="Z82" t="str">
        <f t="shared" si="54"/>
        <v>0.999999998351143+0.00011310010609723i</v>
      </c>
      <c r="AA82" s="4">
        <f t="shared" si="69"/>
        <v>1.0000000047469599</v>
      </c>
      <c r="AB82" s="4">
        <f t="shared" si="70"/>
        <v>1.1310010580147085E-4</v>
      </c>
      <c r="AC82" s="48" t="str">
        <f t="shared" si="71"/>
        <v>16.3439394489853-0.669920886339742i</v>
      </c>
      <c r="AD82" s="20">
        <f t="shared" si="72"/>
        <v>24.27442532544163</v>
      </c>
      <c r="AE82" s="44">
        <f t="shared" si="73"/>
        <v>-2.3471798288807384</v>
      </c>
      <c r="AF82" t="str">
        <f t="shared" si="74"/>
        <v>45.9520231294187</v>
      </c>
      <c r="AG82" t="str">
        <f t="shared" si="55"/>
        <v>1+0.0193603049187012i</v>
      </c>
      <c r="AH82">
        <f t="shared" si="75"/>
        <v>1.000187393145177</v>
      </c>
      <c r="AI82">
        <f t="shared" si="76"/>
        <v>1.9357886576972065E-2</v>
      </c>
      <c r="AJ82" t="str">
        <f t="shared" si="56"/>
        <v>1+0.0000438833578157229i</v>
      </c>
      <c r="AK82">
        <f t="shared" si="77"/>
        <v>1.0000000009628744</v>
      </c>
      <c r="AL82">
        <f t="shared" si="78"/>
        <v>4.3883357787553457E-5</v>
      </c>
      <c r="AM82" t="str">
        <f t="shared" si="57"/>
        <v>1-0.0000981814592490671i</v>
      </c>
      <c r="AN82">
        <f t="shared" si="79"/>
        <v>1.0000000048197994</v>
      </c>
      <c r="AO82">
        <f t="shared" si="80"/>
        <v>-9.8181458933590472E-5</v>
      </c>
      <c r="AP82" s="42" t="str">
        <f t="shared" si="81"/>
        <v>45.9347576908733-0.891806022874911i</v>
      </c>
      <c r="AQ82">
        <f t="shared" si="82"/>
        <v>33.244465263005182</v>
      </c>
      <c r="AR82" s="44">
        <f t="shared" si="83"/>
        <v>-1.1122362531846903</v>
      </c>
      <c r="AS82" t="str">
        <f t="shared" si="58"/>
        <v>-0.000166666666666667</v>
      </c>
      <c r="AT82" t="str">
        <f t="shared" si="59"/>
        <v>3.46129984771515E-06i</v>
      </c>
      <c r="AU82">
        <f t="shared" si="84"/>
        <v>3.4612998477151501E-6</v>
      </c>
      <c r="AV82">
        <f t="shared" si="85"/>
        <v>1.5707963267948966</v>
      </c>
      <c r="AW82" t="str">
        <f t="shared" si="60"/>
        <v>1+0.000630605938183942i</v>
      </c>
      <c r="AX82">
        <f t="shared" si="86"/>
        <v>1.0000001988319047</v>
      </c>
      <c r="AY82">
        <f t="shared" si="87"/>
        <v>6.3060585459423371E-4</v>
      </c>
      <c r="AZ82" t="str">
        <f t="shared" si="61"/>
        <v>1+0.0128358821610989i</v>
      </c>
      <c r="BA82">
        <f t="shared" si="88"/>
        <v>1.0000823765424793</v>
      </c>
      <c r="BB82">
        <f t="shared" si="89"/>
        <v>1.2835177284683077E-2</v>
      </c>
      <c r="BC82" s="42" t="str">
        <f t="shared" si="90"/>
        <v>-0.587701726052265+48.1518379757788i</v>
      </c>
      <c r="BD82">
        <f t="shared" si="91"/>
        <v>33.652904284058309</v>
      </c>
      <c r="BE82" s="44">
        <f t="shared" si="92"/>
        <v>90.699270433710026</v>
      </c>
      <c r="BF82" s="42" t="str">
        <f t="shared" si="93"/>
        <v>22.652560550959+787.3844378947i</v>
      </c>
      <c r="BG82" s="20">
        <f t="shared" si="94"/>
        <v>57.927329609499942</v>
      </c>
      <c r="BH82" s="44">
        <f t="shared" si="95"/>
        <v>88.3520906048293</v>
      </c>
      <c r="BI82" s="42" t="str">
        <f t="shared" si="101"/>
        <v>15.9461627385776+2212.36712572654i</v>
      </c>
      <c r="BJ82" s="20">
        <f t="shared" si="97"/>
        <v>66.897369547063505</v>
      </c>
      <c r="BK82" s="44">
        <f t="shared" si="102"/>
        <v>89.58703418052535</v>
      </c>
      <c r="BL82">
        <f t="shared" si="99"/>
        <v>57.927329609499942</v>
      </c>
      <c r="BM82" s="44">
        <f t="shared" si="100"/>
        <v>88.3520906048293</v>
      </c>
    </row>
    <row r="83" spans="14:65" x14ac:dyDescent="0.35">
      <c r="N83" s="9">
        <v>65</v>
      </c>
      <c r="O83" s="35">
        <f t="shared" si="62"/>
        <v>44.668359215096324</v>
      </c>
      <c r="P83" s="34" t="str">
        <f t="shared" ref="P83:P146" si="103">COMPLEX(Adc,0)</f>
        <v>16.3709677419355</v>
      </c>
      <c r="Q83" s="4" t="str">
        <f t="shared" ref="Q83:Q146" si="104">IMSUM(COMPLEX(1,0),IMDIV(COMPLEX(0,2*PI()*O83),COMPLEX(wp_lf,0)))</f>
        <v>1+0.0412841186168218i</v>
      </c>
      <c r="R83" s="4">
        <f t="shared" si="63"/>
        <v>1.0008518264208581</v>
      </c>
      <c r="S83" s="4">
        <f t="shared" si="64"/>
        <v>4.1260687985590919E-2</v>
      </c>
      <c r="T83" s="4" t="str">
        <f t="shared" ref="T83:T146" si="105">IMSUM(COMPLEX(1,0),IMDIV(COMPLEX(0,2*PI()*O83),COMPLEX(wz_esr,0)))</f>
        <v>1+0.0000449055325305781i</v>
      </c>
      <c r="U83" s="4">
        <f t="shared" si="65"/>
        <v>1.0000000010082535</v>
      </c>
      <c r="V83" s="4">
        <f t="shared" si="66"/>
        <v>4.490553250039399E-5</v>
      </c>
      <c r="W83" t="str">
        <f t="shared" ref="W83:W146" si="106">IMSUB(COMPLEX(1,0),IMDIV(COMPLEX(0,2*PI()*O83),COMPLEX(wz_rhp,0)))</f>
        <v>1-0.000587666790514963i</v>
      </c>
      <c r="X83" s="4">
        <f t="shared" si="67"/>
        <v>1.0000001726761134</v>
      </c>
      <c r="Y83" s="4">
        <f t="shared" si="68"/>
        <v>-5.8766672286429287E-4</v>
      </c>
      <c r="Z83" t="str">
        <f t="shared" ref="Z83:Z146" si="107">IMSUM(COMPLEX(1,0),IMDIV(COMPLEX(0,2*PI()*O83),COMPLEX(Q*(wsl/2),0)),IMDIV(IMPOWER(COMPLEX(0,2*PI()*O83),2),IMPOWER(COMPLEX(wsl/2,0),2)))</f>
        <v>0.999999998273434+0.000115734545995506i</v>
      </c>
      <c r="AA83" s="4">
        <f t="shared" si="69"/>
        <v>1.0000000049706765</v>
      </c>
      <c r="AB83" s="4">
        <f t="shared" si="70"/>
        <v>1.1573454567859445E-4</v>
      </c>
      <c r="AC83" s="48" t="str">
        <f t="shared" si="71"/>
        <v>16.3426678121329-0.685472849964053i</v>
      </c>
      <c r="AD83" s="20">
        <f t="shared" si="72"/>
        <v>24.27409279965374</v>
      </c>
      <c r="AE83" s="44">
        <f t="shared" si="73"/>
        <v>-2.4017923078830963</v>
      </c>
      <c r="AF83" t="str">
        <f t="shared" si="74"/>
        <v>45.9520231294187</v>
      </c>
      <c r="AG83" t="str">
        <f t="shared" ref="AG83:AG146" si="108">IMSUM(COMPLEX(1,0),IMDIV(COMPLEX(0,2*PI()*O83),COMPLEX(wp_lf_DCM,0)))</f>
        <v>1+0.0198112643517256i</v>
      </c>
      <c r="AH83">
        <f t="shared" si="75"/>
        <v>1.0001962238457083</v>
      </c>
      <c r="AI83">
        <f t="shared" si="76"/>
        <v>1.9808673079332154E-2</v>
      </c>
      <c r="AJ83" t="str">
        <f t="shared" ref="AJ83:AJ146" si="109">IMSUM(COMPLEX(1,0),IMDIV(COMPLEX(0,2*PI()*O83),COMPLEX(wz1_dcm,0)))</f>
        <v>1+0.0000449055325305781i</v>
      </c>
      <c r="AK83">
        <f t="shared" si="77"/>
        <v>1.0000000010082535</v>
      </c>
      <c r="AL83">
        <f t="shared" si="78"/>
        <v>4.490553250039399E-5</v>
      </c>
      <c r="AM83" t="str">
        <f t="shared" ref="AM83:AM146" si="110">IMSUB(COMPLEX(1,0),IMDIV(COMPLEX(0,2*PI()*O83),COMPLEX(wz2_dcm,0)))</f>
        <v>1-0.000100468399221469i</v>
      </c>
      <c r="AN83">
        <f t="shared" si="79"/>
        <v>1.0000000050469495</v>
      </c>
      <c r="AO83">
        <f t="shared" si="80"/>
        <v>-1.0046839888342969E-4</v>
      </c>
      <c r="AP83" s="42" t="str">
        <f t="shared" si="81"/>
        <v>45.9339443150619-0.912562739678451i</v>
      </c>
      <c r="AQ83">
        <f t="shared" si="82"/>
        <v>33.244388577591451</v>
      </c>
      <c r="AR83" s="44">
        <f t="shared" si="83"/>
        <v>-1.1381368829415417</v>
      </c>
      <c r="AS83" t="str">
        <f t="shared" ref="AS83:AS146" si="111">COMPLEX(Adc_ea,0)</f>
        <v>-0.000166666666666667</v>
      </c>
      <c r="AT83" t="str">
        <f t="shared" ref="AT83:AT146" si="112">COMPLEX(0,2*PI()*O83*wp0_ea)</f>
        <v>3.54192387834935E-06i</v>
      </c>
      <c r="AU83">
        <f t="shared" si="84"/>
        <v>3.5419238783493502E-6</v>
      </c>
      <c r="AV83">
        <f t="shared" si="85"/>
        <v>1.5707963267948966</v>
      </c>
      <c r="AW83" t="str">
        <f t="shared" ref="AW83:AW146" si="113">IMSUM(COMPLEX(1,0),IMDIV(COMPLEX(0,2*PI()*O83),COMPLEX(wp1_ea,0)))</f>
        <v>1+0.000645294637434258i</v>
      </c>
      <c r="AX83">
        <f t="shared" si="86"/>
        <v>1.0000002082025627</v>
      </c>
      <c r="AY83">
        <f t="shared" si="87"/>
        <v>6.4529454786627278E-4</v>
      </c>
      <c r="AZ83" t="str">
        <f t="shared" ref="AZ83:AZ146" si="114">IMSUM(COMPLEX(1,0),IMDIV(COMPLEX(0,2*PI()*O83),COMPLEX(wz_ea,0)))</f>
        <v>1+0.0131348682651941i</v>
      </c>
      <c r="BA83">
        <f t="shared" si="88"/>
        <v>1.0000862586618937</v>
      </c>
      <c r="BB83">
        <f t="shared" si="89"/>
        <v>1.3134112980025082E-2</v>
      </c>
      <c r="BC83" s="42" t="str">
        <f t="shared" si="90"/>
        <v>-0.587701715037966+47.0557853960038i</v>
      </c>
      <c r="BD83">
        <f t="shared" si="91"/>
        <v>33.452937919483688</v>
      </c>
      <c r="BE83" s="44">
        <f t="shared" si="92"/>
        <v>90.715556587267884</v>
      </c>
      <c r="BF83" s="42" t="str">
        <f t="shared" si="93"/>
        <v>22.6508494212093+769.41992293544i</v>
      </c>
      <c r="BG83" s="20">
        <f t="shared" si="94"/>
        <v>57.727030719137424</v>
      </c>
      <c r="BH83" s="44">
        <f t="shared" si="95"/>
        <v>88.313764279384799</v>
      </c>
      <c r="BI83" s="42" t="str">
        <f t="shared" si="101"/>
        <v>15.9458985862782+2161.99414076873i</v>
      </c>
      <c r="BJ83" s="20">
        <f t="shared" si="97"/>
        <v>66.697326497075139</v>
      </c>
      <c r="BK83" s="44">
        <f t="shared" si="102"/>
        <v>89.577419704326346</v>
      </c>
      <c r="BL83">
        <f t="shared" si="99"/>
        <v>57.727030719137424</v>
      </c>
      <c r="BM83" s="44">
        <f t="shared" si="100"/>
        <v>88.313764279384799</v>
      </c>
    </row>
    <row r="84" spans="14:65" x14ac:dyDescent="0.35">
      <c r="N84" s="9">
        <v>66</v>
      </c>
      <c r="O84" s="35">
        <f t="shared" ref="O84:O118" si="115">10^(1+(N84/100))</f>
        <v>45.70881896148753</v>
      </c>
      <c r="P84" s="34" t="str">
        <f t="shared" si="103"/>
        <v>16.3709677419355</v>
      </c>
      <c r="Q84" s="4" t="str">
        <f t="shared" si="104"/>
        <v>1+0.0422457492730812i</v>
      </c>
      <c r="R84" s="4">
        <f t="shared" ref="R84:R147" si="116">IMABS(Q84)</f>
        <v>1.0008919538749645</v>
      </c>
      <c r="S84" s="4">
        <f t="shared" ref="S84:S147" si="117">IMARGUMENT(Q84)</f>
        <v>4.2220644107607931E-2</v>
      </c>
      <c r="T84" s="4" t="str">
        <f t="shared" si="105"/>
        <v>1+0.000045951516753176i</v>
      </c>
      <c r="U84" s="4">
        <f t="shared" ref="U84:U147" si="118">IMABS(T84)</f>
        <v>1.0000000010557708</v>
      </c>
      <c r="V84" s="4">
        <f t="shared" ref="V84:V147" si="119">IMARGUMENT(T84)</f>
        <v>4.5951516720833148E-5</v>
      </c>
      <c r="W84" t="str">
        <f t="shared" si="106"/>
        <v>1-0.000601355308530083i</v>
      </c>
      <c r="X84" s="4">
        <f t="shared" ref="X84:X147" si="120">IMABS(W84)</f>
        <v>1.0000001808140873</v>
      </c>
      <c r="Y84" s="4">
        <f t="shared" ref="Y84:Y147" si="121">IMARGUMENT(W84)</f>
        <v>-6.0135523604108471E-4</v>
      </c>
      <c r="Z84" t="str">
        <f t="shared" si="107"/>
        <v>0.999999998192064+0.000118430349881995i</v>
      </c>
      <c r="AA84" s="4">
        <f t="shared" ref="AA84:AA147" si="122">IMABS(Z84)</f>
        <v>1.0000000052049378</v>
      </c>
      <c r="AB84" s="4">
        <f t="shared" ref="AB84:AB147" si="123">IMARGUMENT(Z84)</f>
        <v>1.184303495424181E-4</v>
      </c>
      <c r="AC84" s="48" t="str">
        <f t="shared" ref="AC84:AC147" si="124">(IMDIV(IMPRODUCT(P84,T84,W84),IMPRODUCT(Q84,Z84)))</f>
        <v>16.3413364536114-0.701383319525146i</v>
      </c>
      <c r="AD84" s="20">
        <f t="shared" ref="AD84:AD147" si="125">20*LOG(IMABS(AC84))</f>
        <v>24.27374462970548</v>
      </c>
      <c r="AE84" s="44">
        <f t="shared" ref="AE84:AE147" si="126">(180/PI())*IMARGUMENT(AC84)</f>
        <v>-2.4576725639277872</v>
      </c>
      <c r="AF84" t="str">
        <f t="shared" ref="AF84:AF147" si="127">COMPLEX($B$68,0)</f>
        <v>45.9520231294187</v>
      </c>
      <c r="AG84" t="str">
        <f t="shared" si="108"/>
        <v>1+0.0202727279793423i</v>
      </c>
      <c r="AH84">
        <f t="shared" ref="AH84:AH147" si="128">IMABS(AG84)</f>
        <v>1.0002054706407701</v>
      </c>
      <c r="AI84">
        <f t="shared" ref="AI84:AI147" si="129">IMARGUMENT(AG84)</f>
        <v>2.0269951411752921E-2</v>
      </c>
      <c r="AJ84" t="str">
        <f t="shared" si="109"/>
        <v>1+0.000045951516753176i</v>
      </c>
      <c r="AK84">
        <f t="shared" ref="AK84:AK147" si="130">IMABS(AJ84)</f>
        <v>1.0000000010557708</v>
      </c>
      <c r="AL84">
        <f t="shared" ref="AL84:AL147" si="131">IMARGUMENT(AJ84)</f>
        <v>4.5951516720833148E-5</v>
      </c>
      <c r="AM84" t="str">
        <f t="shared" si="110"/>
        <v>1-0.000102808608868994i</v>
      </c>
      <c r="AN84">
        <f t="shared" ref="AN84:AN147" si="132">IMABS(AM84)</f>
        <v>1.000000005284805</v>
      </c>
      <c r="AO84">
        <f t="shared" ref="AO84:AO147" si="133">IMARGUMENT(AM84)</f>
        <v>-1.0280860850677837E-4</v>
      </c>
      <c r="AP84" s="42" t="str">
        <f t="shared" ref="AP84:AP147" si="134">(IMDIV(IMPRODUCT(AF84,AJ84,AM84),IMPRODUCT(AG84)))</f>
        <v>45.9330926368166-0.93380179068809i</v>
      </c>
      <c r="AQ84">
        <f t="shared" ref="AQ84:AQ147" si="135">20*LOG(IMABS(AP84))</f>
        <v>33.244308279556911</v>
      </c>
      <c r="AR84" s="44">
        <f t="shared" ref="AR84:AR147" si="136">(180/PI())*IMARGUMENT(AP84)</f>
        <v>-1.1646403382234083</v>
      </c>
      <c r="AS84" t="str">
        <f t="shared" si="111"/>
        <v>-0.000166666666666667</v>
      </c>
      <c r="AT84" t="str">
        <f t="shared" si="112"/>
        <v>3.62442588390676E-06i</v>
      </c>
      <c r="AU84">
        <f t="shared" ref="AU84:AU147" si="137">IMABS(AT84)</f>
        <v>3.6244258839067602E-6</v>
      </c>
      <c r="AV84">
        <f t="shared" ref="AV84:AV147" si="138">IMARGUMENT(AT84)</f>
        <v>1.5707963267948966</v>
      </c>
      <c r="AW84" t="str">
        <f t="shared" si="113"/>
        <v>1+0.000660325480442827i</v>
      </c>
      <c r="AX84">
        <f t="shared" ref="AX84:AX147" si="139">IMABS(AW84)</f>
        <v>1.0000002180148462</v>
      </c>
      <c r="AY84">
        <f t="shared" ref="AY84:AY147" si="140">IMARGUMENT(AW84)</f>
        <v>6.6032538446900298E-4</v>
      </c>
      <c r="AZ84" t="str">
        <f t="shared" si="114"/>
        <v>1+0.013440818650304i</v>
      </c>
      <c r="BA84">
        <f t="shared" ref="BA84:BA147" si="141">IMABS(AZ84)</f>
        <v>1.0000903237238077</v>
      </c>
      <c r="BB84">
        <f t="shared" ref="BB84:BB147" si="142">IMARGUMENT(AZ84)</f>
        <v>1.3440009351612037E-2</v>
      </c>
      <c r="BC84" s="42" t="str">
        <f t="shared" ref="BC84:BC147" si="143">IMPRODUCT(AS84,IMDIV(AZ84,IMPRODUCT(AT84,AW84)))</f>
        <v>-0.587701703504578+45.9846824165021i</v>
      </c>
      <c r="BD84">
        <f t="shared" ref="BD84:BD147" si="144">20*LOG(IMABS(BC84))</f>
        <v>33.252973139817279</v>
      </c>
      <c r="BE84" s="44">
        <f t="shared" ref="BE84:BE147" si="145">(180/PI())*IMARGUMENT(BC84)</f>
        <v>90.732221954828304</v>
      </c>
      <c r="BF84" s="42" t="str">
        <f t="shared" ref="BF84:BF147" si="146">IMPRODUCT(AC84,BC84)</f>
        <v>22.649057929267+751.863371252224i</v>
      </c>
      <c r="BG84" s="20">
        <f t="shared" ref="BG84:BG147" si="147">20*LOG(IMABS(BF84))</f>
        <v>57.526717769522762</v>
      </c>
      <c r="BH84" s="44">
        <f t="shared" ref="BH84:BH147" si="148">(180/PI())*IMARGUMENT(BF84)</f>
        <v>88.274549390900518</v>
      </c>
      <c r="BI84" s="42" t="str">
        <f t="shared" si="101"/>
        <v>15.9456219948621+2112.76747421491i</v>
      </c>
      <c r="BJ84" s="20">
        <f t="shared" ref="BJ84:BJ147" si="149">20*LOG(IMABS(BI84))</f>
        <v>66.497281419374204</v>
      </c>
      <c r="BK84" s="44">
        <f t="shared" si="102"/>
        <v>89.567581616604897</v>
      </c>
      <c r="BL84">
        <f t="shared" ref="BL84:BL147" si="150">IF($B$31=0,BJ84,BG84)</f>
        <v>57.526717769522762</v>
      </c>
      <c r="BM84" s="44">
        <f t="shared" ref="BM84:BM147" si="151">IF($B$31=0,BK84,BH84)</f>
        <v>88.274549390900518</v>
      </c>
    </row>
    <row r="85" spans="14:65" x14ac:dyDescent="0.35">
      <c r="N85" s="9">
        <v>67</v>
      </c>
      <c r="O85" s="35">
        <f t="shared" si="115"/>
        <v>46.773514128719818</v>
      </c>
      <c r="P85" s="34" t="str">
        <f t="shared" si="103"/>
        <v>16.3709677419355</v>
      </c>
      <c r="Q85" s="4" t="str">
        <f t="shared" si="104"/>
        <v>1+0.0432297791847937i</v>
      </c>
      <c r="R85" s="4">
        <f t="shared" si="116"/>
        <v>1.0009339707534988</v>
      </c>
      <c r="S85" s="4">
        <f t="shared" si="117"/>
        <v>4.3202879870819152E-2</v>
      </c>
      <c r="T85" s="4" t="str">
        <f t="shared" si="105"/>
        <v>1+0.0000470218650781966i</v>
      </c>
      <c r="U85" s="4">
        <f t="shared" si="118"/>
        <v>1.0000000011055279</v>
      </c>
      <c r="V85" s="4">
        <f t="shared" si="119"/>
        <v>4.7021865043540613E-5</v>
      </c>
      <c r="W85" t="str">
        <f t="shared" si="106"/>
        <v>1-0.000615362673089665i</v>
      </c>
      <c r="X85" s="4">
        <f t="shared" si="120"/>
        <v>1.0000001893355919</v>
      </c>
      <c r="Y85" s="4">
        <f t="shared" si="121"/>
        <v>-6.1536259541630474E-4</v>
      </c>
      <c r="Z85" t="str">
        <f t="shared" si="107"/>
        <v>0.999999998106858+0.000121188947107604i</v>
      </c>
      <c r="AA85" s="4">
        <f t="shared" si="122"/>
        <v>1.0000000054502383</v>
      </c>
      <c r="AB85" s="4">
        <f t="shared" si="123"/>
        <v>1.2118894674374086E-4</v>
      </c>
      <c r="AC85" s="48" t="str">
        <f t="shared" si="124"/>
        <v>16.3399425789083-0.71766037887332i</v>
      </c>
      <c r="AD85" s="20">
        <f t="shared" si="125"/>
        <v>24.27338008093923</v>
      </c>
      <c r="AE85" s="44">
        <f t="shared" si="126"/>
        <v>-2.5148498197564351</v>
      </c>
      <c r="AF85" t="str">
        <f t="shared" si="127"/>
        <v>45.9520231294187</v>
      </c>
      <c r="AG85" t="str">
        <f t="shared" si="108"/>
        <v>1+0.0207449404756749i</v>
      </c>
      <c r="AH85">
        <f t="shared" si="128"/>
        <v>1.0002151531322345</v>
      </c>
      <c r="AI85">
        <f t="shared" si="129"/>
        <v>2.0741965364463794E-2</v>
      </c>
      <c r="AJ85" t="str">
        <f t="shared" si="109"/>
        <v>1+0.0000470218650781966i</v>
      </c>
      <c r="AK85">
        <f t="shared" si="130"/>
        <v>1.0000000011055279</v>
      </c>
      <c r="AL85">
        <f t="shared" si="131"/>
        <v>4.7021865043540613E-5</v>
      </c>
      <c r="AM85" t="str">
        <f t="shared" si="110"/>
        <v>1-0.000105203329001775i</v>
      </c>
      <c r="AN85">
        <f t="shared" si="132"/>
        <v>1.0000000055338703</v>
      </c>
      <c r="AO85">
        <f t="shared" si="133"/>
        <v>-1.0520332861365396E-4</v>
      </c>
      <c r="AP85" s="42" t="str">
        <f t="shared" si="134"/>
        <v>45.9322008539674-0.955534328608216i</v>
      </c>
      <c r="AQ85">
        <f t="shared" si="135"/>
        <v>33.244224198783897</v>
      </c>
      <c r="AR85" s="44">
        <f t="shared" si="136"/>
        <v>-1.1917606264987681</v>
      </c>
      <c r="AS85" t="str">
        <f t="shared" si="111"/>
        <v>-0.000166666666666667</v>
      </c>
      <c r="AT85" t="str">
        <f t="shared" si="112"/>
        <v>3.70884960804276E-06i</v>
      </c>
      <c r="AU85">
        <f t="shared" si="137"/>
        <v>3.7088496080427598E-6</v>
      </c>
      <c r="AV85">
        <f t="shared" si="138"/>
        <v>1.5707963267948966</v>
      </c>
      <c r="AW85" t="str">
        <f t="shared" si="113"/>
        <v>1+0.000675706436761566i</v>
      </c>
      <c r="AX85">
        <f t="shared" si="139"/>
        <v>1.0000002282895684</v>
      </c>
      <c r="AY85">
        <f t="shared" si="140"/>
        <v>6.75706333923762E-4</v>
      </c>
      <c r="AZ85" t="str">
        <f t="shared" si="114"/>
        <v>1+0.0137538955353725i</v>
      </c>
      <c r="BA85">
        <f t="shared" si="141"/>
        <v>1.0000945803484778</v>
      </c>
      <c r="BB85">
        <f t="shared" si="142"/>
        <v>1.3753028360629586E-2</v>
      </c>
      <c r="BC85" s="42" t="str">
        <f t="shared" si="143"/>
        <v>-0.587701691427636+44.9379611242963i</v>
      </c>
      <c r="BD85">
        <f t="shared" si="144"/>
        <v>33.053010019726472</v>
      </c>
      <c r="BE85" s="44">
        <f t="shared" si="145"/>
        <v>90.749275359463709</v>
      </c>
      <c r="BF85" s="42" t="str">
        <f t="shared" si="146"/>
        <v>22.6471823148022+734.705474602749i</v>
      </c>
      <c r="BG85" s="20">
        <f t="shared" si="147"/>
        <v>57.326390100665691</v>
      </c>
      <c r="BH85" s="44">
        <f t="shared" si="148"/>
        <v>88.234425539707274</v>
      </c>
      <c r="BI85" s="42" t="str">
        <f t="shared" si="101"/>
        <v>15.945332379056+2064.6610254701i</v>
      </c>
      <c r="BJ85" s="20">
        <f t="shared" si="149"/>
        <v>66.297234218510383</v>
      </c>
      <c r="BK85" s="44">
        <f t="shared" si="102"/>
        <v>89.557514732964947</v>
      </c>
      <c r="BL85">
        <f t="shared" si="150"/>
        <v>57.326390100665691</v>
      </c>
      <c r="BM85" s="44">
        <f t="shared" si="151"/>
        <v>88.234425539707274</v>
      </c>
    </row>
    <row r="86" spans="14:65" x14ac:dyDescent="0.35">
      <c r="N86" s="9">
        <v>68</v>
      </c>
      <c r="O86" s="35">
        <f t="shared" si="115"/>
        <v>47.863009232263877</v>
      </c>
      <c r="P86" s="34" t="str">
        <f t="shared" si="103"/>
        <v>16.3709677419355</v>
      </c>
      <c r="Q86" s="4" t="str">
        <f t="shared" si="104"/>
        <v>1+0.0442367300976438i</v>
      </c>
      <c r="R86" s="4">
        <f t="shared" si="116"/>
        <v>1.0009779659361797</v>
      </c>
      <c r="S86" s="4">
        <f t="shared" si="117"/>
        <v>4.4207908484121899E-2</v>
      </c>
      <c r="T86" s="4" t="str">
        <f t="shared" si="105"/>
        <v>1+0.0000481171450184898i</v>
      </c>
      <c r="U86" s="4">
        <f t="shared" si="118"/>
        <v>1.0000000011576298</v>
      </c>
      <c r="V86" s="4">
        <f t="shared" si="119"/>
        <v>4.8117144981355236E-5</v>
      </c>
      <c r="W86" t="str">
        <f t="shared" si="106"/>
        <v>1-0.000629696311083807i</v>
      </c>
      <c r="X86" s="4">
        <f t="shared" si="120"/>
        <v>1.0000001982587023</v>
      </c>
      <c r="Y86" s="4">
        <f t="shared" si="121"/>
        <v>-6.2969622785530289E-4</v>
      </c>
      <c r="Z86" t="str">
        <f t="shared" si="107"/>
        <v>0.999999998017638+0.000124011800317094i</v>
      </c>
      <c r="AA86" s="4">
        <f t="shared" si="122"/>
        <v>1.0000000057071012</v>
      </c>
      <c r="AB86" s="4">
        <f t="shared" si="123"/>
        <v>1.240117999272075E-4</v>
      </c>
      <c r="AC86" s="48" t="str">
        <f t="shared" si="124"/>
        <v>16.3384832637388-0.734312281203321i</v>
      </c>
      <c r="AD86" s="20">
        <f t="shared" si="125"/>
        <v>24.272998384326719</v>
      </c>
      <c r="AE86" s="44">
        <f t="shared" si="126"/>
        <v>-2.5733539568881802</v>
      </c>
      <c r="AF86" t="str">
        <f t="shared" si="127"/>
        <v>45.9520231294187</v>
      </c>
      <c r="AG86" t="str">
        <f t="shared" si="108"/>
        <v>1+0.0212281522140396i</v>
      </c>
      <c r="AH86">
        <f t="shared" si="128"/>
        <v>1.0002252918450034</v>
      </c>
      <c r="AI86">
        <f t="shared" si="129"/>
        <v>2.1224964363721135E-2</v>
      </c>
      <c r="AJ86" t="str">
        <f t="shared" si="109"/>
        <v>1+0.0000481171450184898i</v>
      </c>
      <c r="AK86">
        <f t="shared" si="130"/>
        <v>1.0000000011576298</v>
      </c>
      <c r="AL86">
        <f t="shared" si="131"/>
        <v>4.8117144981355236E-5</v>
      </c>
      <c r="AM86" t="str">
        <f t="shared" si="110"/>
        <v>1-0.000107653829332123i</v>
      </c>
      <c r="AN86">
        <f t="shared" si="132"/>
        <v>1.0000000057946734</v>
      </c>
      <c r="AO86">
        <f t="shared" si="133"/>
        <v>-1.0765382891624381E-4</v>
      </c>
      <c r="AP86" s="42" t="str">
        <f t="shared" si="134"/>
        <v>45.9312670796971-0.977771760046144i</v>
      </c>
      <c r="AQ86">
        <f t="shared" si="135"/>
        <v>33.244136157150905</v>
      </c>
      <c r="AR86" s="44">
        <f t="shared" si="136"/>
        <v>-1.2195120790724678</v>
      </c>
      <c r="AS86" t="str">
        <f t="shared" si="111"/>
        <v>-0.000166666666666667</v>
      </c>
      <c r="AT86" t="str">
        <f t="shared" si="112"/>
        <v>3.79523981333338E-06i</v>
      </c>
      <c r="AU86">
        <f t="shared" si="137"/>
        <v>3.7952398133333799E-6</v>
      </c>
      <c r="AV86">
        <f t="shared" si="138"/>
        <v>1.5707963267948966</v>
      </c>
      <c r="AW86" t="str">
        <f t="shared" si="113"/>
        <v>1+0.00069144566157711i</v>
      </c>
      <c r="AX86">
        <f t="shared" si="139"/>
        <v>1.000000239048523</v>
      </c>
      <c r="AY86">
        <f t="shared" si="140"/>
        <v>6.9144555138441908E-4</v>
      </c>
      <c r="AZ86" t="str">
        <f t="shared" si="114"/>
        <v>1+0.0140742649179082i</v>
      </c>
      <c r="BA86">
        <f t="shared" si="141"/>
        <v>1.0000990375622703</v>
      </c>
      <c r="BB86">
        <f t="shared" si="142"/>
        <v>1.4073335728399765E-2</v>
      </c>
      <c r="BC86" s="42" t="str">
        <f t="shared" si="143"/>
        <v>-0.587701678781525+43.9150665339019i</v>
      </c>
      <c r="BD86">
        <f t="shared" si="144"/>
        <v>32.853048637394906</v>
      </c>
      <c r="BE86" s="44">
        <f t="shared" si="145"/>
        <v>90.766725829050557</v>
      </c>
      <c r="BF86" s="42" t="str">
        <f t="shared" si="146"/>
        <v>22.645218642862+717.937136150545i</v>
      </c>
      <c r="BG86" s="20">
        <f t="shared" si="147"/>
        <v>57.126047021721618</v>
      </c>
      <c r="BH86" s="44">
        <f t="shared" si="148"/>
        <v>88.193371872162373</v>
      </c>
      <c r="BI86" s="42" t="str">
        <f t="shared" si="101"/>
        <v>15.9450291260962+2017.64928789616i</v>
      </c>
      <c r="BJ86" s="20">
        <f t="shared" si="149"/>
        <v>66.097184794545811</v>
      </c>
      <c r="BK86" s="44">
        <f t="shared" si="102"/>
        <v>89.547213749978084</v>
      </c>
      <c r="BL86">
        <f t="shared" si="150"/>
        <v>57.126047021721618</v>
      </c>
      <c r="BM86" s="44">
        <f t="shared" si="151"/>
        <v>88.193371872162373</v>
      </c>
    </row>
    <row r="87" spans="14:65" x14ac:dyDescent="0.35">
      <c r="N87" s="9">
        <v>69</v>
      </c>
      <c r="O87" s="35">
        <f t="shared" si="115"/>
        <v>48.977881936844632</v>
      </c>
      <c r="P87" s="34" t="str">
        <f t="shared" si="103"/>
        <v>16.3709677419355</v>
      </c>
      <c r="Q87" s="4" t="str">
        <f t="shared" si="104"/>
        <v>1+0.0452671359103341i</v>
      </c>
      <c r="R87" s="4">
        <f t="shared" si="116"/>
        <v>1.0010240324755069</v>
      </c>
      <c r="S87" s="4">
        <f t="shared" si="117"/>
        <v>4.5236254701070823E-2</v>
      </c>
      <c r="T87" s="4" t="str">
        <f t="shared" si="105"/>
        <v>1+0.0000492379373059774i</v>
      </c>
      <c r="U87" s="4">
        <f t="shared" si="118"/>
        <v>1.0000000012121872</v>
      </c>
      <c r="V87" s="4">
        <f t="shared" si="119"/>
        <v>4.9237937266186995E-5</v>
      </c>
      <c r="W87" t="str">
        <f t="shared" si="106"/>
        <v>1-0.000644363822397102i</v>
      </c>
      <c r="X87" s="4">
        <f t="shared" si="120"/>
        <v>1.0000002076023462</v>
      </c>
      <c r="Y87" s="4">
        <f t="shared" si="121"/>
        <v>-6.4436373321615403E-4</v>
      </c>
      <c r="Z87" t="str">
        <f t="shared" si="107"/>
        <v>0.999999997924212+0.000126900406224603i</v>
      </c>
      <c r="AA87" s="4">
        <f t="shared" si="122"/>
        <v>1.0000000059760685</v>
      </c>
      <c r="AB87" s="4">
        <f t="shared" si="123"/>
        <v>1.2690040580683209E-4</v>
      </c>
      <c r="AC87" s="48" t="str">
        <f t="shared" si="124"/>
        <v>16.3369554481152-0.751347451659273i</v>
      </c>
      <c r="AD87" s="20">
        <f t="shared" si="125"/>
        <v>24.272598734873728</v>
      </c>
      <c r="AE87" s="44">
        <f t="shared" si="126"/>
        <v>-2.6332155294087092</v>
      </c>
      <c r="AF87" t="str">
        <f t="shared" si="127"/>
        <v>45.9520231294187</v>
      </c>
      <c r="AG87" t="str">
        <f t="shared" si="108"/>
        <v>1+0.0217226193996959i</v>
      </c>
      <c r="AH87">
        <f t="shared" si="128"/>
        <v>1.000235908270436</v>
      </c>
      <c r="AI87">
        <f t="shared" si="129"/>
        <v>2.1719203600047442E-2</v>
      </c>
      <c r="AJ87" t="str">
        <f t="shared" si="109"/>
        <v>1+0.0000492379373059774i</v>
      </c>
      <c r="AK87">
        <f t="shared" si="130"/>
        <v>1.0000000012121872</v>
      </c>
      <c r="AL87">
        <f t="shared" si="131"/>
        <v>4.9237937266186995E-5</v>
      </c>
      <c r="AM87" t="str">
        <f t="shared" si="110"/>
        <v>1-0.00011016140914775i</v>
      </c>
      <c r="AN87">
        <f t="shared" si="132"/>
        <v>1.0000000060677681</v>
      </c>
      <c r="AO87">
        <f t="shared" si="133"/>
        <v>-1.1016140870212742E-4</v>
      </c>
      <c r="AP87" s="42" t="str">
        <f t="shared" si="134"/>
        <v>45.9302893385793-1.00052575100707i</v>
      </c>
      <c r="AQ87">
        <f t="shared" si="135"/>
        <v>33.244043968156646</v>
      </c>
      <c r="AR87" s="44">
        <f t="shared" si="136"/>
        <v>-1.2479093584546321</v>
      </c>
      <c r="AS87" t="str">
        <f t="shared" si="111"/>
        <v>-0.000166666666666667</v>
      </c>
      <c r="AT87" t="str">
        <f t="shared" si="112"/>
        <v>3.88364230500897E-06i</v>
      </c>
      <c r="AU87">
        <f t="shared" si="137"/>
        <v>3.8836423050089701E-6</v>
      </c>
      <c r="AV87">
        <f t="shared" si="138"/>
        <v>1.5707963267948966</v>
      </c>
      <c r="AW87" t="str">
        <f t="shared" si="113"/>
        <v>1+0.000707551500034787i</v>
      </c>
      <c r="AX87">
        <f t="shared" si="139"/>
        <v>1.0000002503145313</v>
      </c>
      <c r="AY87">
        <f t="shared" si="140"/>
        <v>7.0755138196119298E-4</v>
      </c>
      <c r="AZ87" t="str">
        <f t="shared" si="114"/>
        <v>1+0.0144020966619984i</v>
      </c>
      <c r="BA87">
        <f t="shared" si="141"/>
        <v>1.0001037048167862</v>
      </c>
      <c r="BB87">
        <f t="shared" si="142"/>
        <v>1.4401101023077813E-2</v>
      </c>
      <c r="BC87" s="42" t="str">
        <f t="shared" si="143"/>
        <v>-0.587701665539428+42.9154562930676i</v>
      </c>
      <c r="BD87">
        <f t="shared" si="144"/>
        <v>32.653089074688168</v>
      </c>
      <c r="BE87" s="44">
        <f t="shared" si="145"/>
        <v>90.784582600988855</v>
      </c>
      <c r="BF87" s="42" t="str">
        <f t="shared" si="146"/>
        <v>22.6431627958905+701.549465644119i</v>
      </c>
      <c r="BG87" s="20">
        <f t="shared" si="147"/>
        <v>56.925687809561893</v>
      </c>
      <c r="BH87" s="44">
        <f t="shared" si="148"/>
        <v>88.151367071580168</v>
      </c>
      <c r="BI87" s="42" t="str">
        <f t="shared" si="101"/>
        <v>15.9447115944417+1971.70733528803i</v>
      </c>
      <c r="BJ87" s="20">
        <f t="shared" si="149"/>
        <v>65.897133042844814</v>
      </c>
      <c r="BK87" s="44">
        <f t="shared" si="102"/>
        <v>89.536673242534235</v>
      </c>
      <c r="BL87">
        <f t="shared" si="150"/>
        <v>56.925687809561893</v>
      </c>
      <c r="BM87" s="44">
        <f t="shared" si="151"/>
        <v>88.151367071580168</v>
      </c>
    </row>
    <row r="88" spans="14:65" x14ac:dyDescent="0.35">
      <c r="N88" s="9">
        <v>70</v>
      </c>
      <c r="O88" s="35">
        <f t="shared" si="115"/>
        <v>50.118723362727238</v>
      </c>
      <c r="P88" s="34" t="str">
        <f t="shared" si="103"/>
        <v>16.3709677419355</v>
      </c>
      <c r="Q88" s="4" t="str">
        <f t="shared" si="104"/>
        <v>1+0.0463215429576653i</v>
      </c>
      <c r="R88" s="4">
        <f t="shared" si="116"/>
        <v>1.0010722677918806</v>
      </c>
      <c r="S88" s="4">
        <f t="shared" si="117"/>
        <v>4.6288455059714087E-2</v>
      </c>
      <c r="T88" s="4" t="str">
        <f t="shared" si="105"/>
        <v>1+0.0000503848361995658i</v>
      </c>
      <c r="U88" s="4">
        <f t="shared" si="118"/>
        <v>1.0000000012693158</v>
      </c>
      <c r="V88" s="4">
        <f t="shared" si="119"/>
        <v>5.0384836156929616E-5</v>
      </c>
      <c r="W88" t="str">
        <f t="shared" si="106"/>
        <v>1-0.000659372983938194i</v>
      </c>
      <c r="X88" s="4">
        <f t="shared" si="120"/>
        <v>1.0000002173863425</v>
      </c>
      <c r="Y88" s="4">
        <f t="shared" si="121"/>
        <v>-6.5937288837908772E-4</v>
      </c>
      <c r="Z88" t="str">
        <f t="shared" si="107"/>
        <v>0.999999997826383+0.000129856296407217i</v>
      </c>
      <c r="AA88" s="4">
        <f t="shared" si="122"/>
        <v>1.0000000062577117</v>
      </c>
      <c r="AB88" s="4">
        <f t="shared" si="123"/>
        <v>1.2985629595956743E-4</v>
      </c>
      <c r="AC88" s="48" t="str">
        <f t="shared" si="124"/>
        <v>16.3353559301539-0.768774489906372i</v>
      </c>
      <c r="AD88" s="20">
        <f t="shared" si="125"/>
        <v>24.272180289951617</v>
      </c>
      <c r="AE88" s="44">
        <f t="shared" si="126"/>
        <v>-2.6944657779705086</v>
      </c>
      <c r="AF88" t="str">
        <f t="shared" si="127"/>
        <v>45.9520231294187</v>
      </c>
      <c r="AG88" t="str">
        <f t="shared" si="108"/>
        <v>1+0.0222286042056907i</v>
      </c>
      <c r="AH88">
        <f t="shared" si="128"/>
        <v>1.0002470249118132</v>
      </c>
      <c r="AI88">
        <f t="shared" si="129"/>
        <v>2.222494415924204E-2</v>
      </c>
      <c r="AJ88" t="str">
        <f t="shared" si="109"/>
        <v>1+0.0000503848361995658i</v>
      </c>
      <c r="AK88">
        <f t="shared" si="130"/>
        <v>1.0000000012693158</v>
      </c>
      <c r="AL88">
        <f t="shared" si="131"/>
        <v>5.0384836156929616E-5</v>
      </c>
      <c r="AM88" t="str">
        <f t="shared" si="110"/>
        <v>1-0.000112727398000665i</v>
      </c>
      <c r="AN88">
        <f t="shared" si="132"/>
        <v>1.0000000063537331</v>
      </c>
      <c r="AO88">
        <f t="shared" si="133"/>
        <v>-1.127273975231718E-4</v>
      </c>
      <c r="AP88" s="42" t="str">
        <f t="shared" si="134"/>
        <v>45.9292655624323-1.0238082324872i</v>
      </c>
      <c r="AQ88">
        <f t="shared" si="135"/>
        <v>33.243947436526454</v>
      </c>
      <c r="AR88" s="44">
        <f t="shared" si="136"/>
        <v>-1.2769674658888208</v>
      </c>
      <c r="AS88" t="str">
        <f t="shared" si="111"/>
        <v>-0.000166666666666667</v>
      </c>
      <c r="AT88" t="str">
        <f t="shared" si="112"/>
        <v>3.97410395524075E-06i</v>
      </c>
      <c r="AU88">
        <f t="shared" si="137"/>
        <v>3.9741039552407503E-6</v>
      </c>
      <c r="AV88">
        <f t="shared" si="138"/>
        <v>1.5707963267948966</v>
      </c>
      <c r="AW88" t="str">
        <f t="shared" si="113"/>
        <v>1+0.000724032491663333i</v>
      </c>
      <c r="AX88">
        <f t="shared" si="139"/>
        <v>1.0000002621114901</v>
      </c>
      <c r="AY88">
        <f t="shared" si="140"/>
        <v>7.2403236514519934E-4</v>
      </c>
      <c r="AZ88" t="str">
        <f t="shared" si="114"/>
        <v>1+0.014737564588373i</v>
      </c>
      <c r="BA88">
        <f t="shared" si="141"/>
        <v>1.0001085920088861</v>
      </c>
      <c r="BB88">
        <f t="shared" si="142"/>
        <v>1.4736497748304749E-2</v>
      </c>
      <c r="BC88" s="42" t="str">
        <f t="shared" si="143"/>
        <v>-0.587701651673246+41.9386003952123i</v>
      </c>
      <c r="BD88">
        <f t="shared" si="144"/>
        <v>32.453131417326865</v>
      </c>
      <c r="BE88" s="44">
        <f t="shared" si="145"/>
        <v>90.802855127028209</v>
      </c>
      <c r="BF88" s="42" t="str">
        <f t="shared" si="146"/>
        <v>22.6410104653947+685.533774705768i</v>
      </c>
      <c r="BG88" s="20">
        <f t="shared" si="147"/>
        <v>56.725311707278479</v>
      </c>
      <c r="BH88" s="44">
        <f t="shared" si="148"/>
        <v>88.108389349057703</v>
      </c>
      <c r="BI88" s="42" t="str">
        <f t="shared" si="101"/>
        <v>15.9443791124287+1926.81080865766i</v>
      </c>
      <c r="BJ88" s="20">
        <f t="shared" si="149"/>
        <v>65.697078853853299</v>
      </c>
      <c r="BK88" s="44">
        <f t="shared" si="102"/>
        <v>89.525887661139379</v>
      </c>
      <c r="BL88">
        <f t="shared" si="150"/>
        <v>56.725311707278479</v>
      </c>
      <c r="BM88" s="44">
        <f t="shared" si="151"/>
        <v>88.108389349057703</v>
      </c>
    </row>
    <row r="89" spans="14:65" x14ac:dyDescent="0.35">
      <c r="N89" s="9">
        <v>71</v>
      </c>
      <c r="O89" s="35">
        <f t="shared" si="115"/>
        <v>51.28613839913649</v>
      </c>
      <c r="P89" s="34" t="str">
        <f t="shared" si="103"/>
        <v>16.3709677419355</v>
      </c>
      <c r="Q89" s="4" t="str">
        <f t="shared" si="104"/>
        <v>1+0.0474005103002108i</v>
      </c>
      <c r="R89" s="4">
        <f t="shared" si="116"/>
        <v>1.0011227738777699</v>
      </c>
      <c r="S89" s="4">
        <f t="shared" si="117"/>
        <v>4.7365058125963595E-2</v>
      </c>
      <c r="T89" s="4" t="str">
        <f t="shared" si="105"/>
        <v>1+0.0000515584498002293i</v>
      </c>
      <c r="U89" s="4">
        <f t="shared" si="118"/>
        <v>1.0000000013291368</v>
      </c>
      <c r="V89" s="4">
        <f t="shared" si="119"/>
        <v>5.1558449754543812E-5</v>
      </c>
      <c r="W89" t="str">
        <f t="shared" si="106"/>
        <v>1-0.000674731753763204i</v>
      </c>
      <c r="X89" s="4">
        <f t="shared" si="120"/>
        <v>1.0000002276314439</v>
      </c>
      <c r="Y89" s="4">
        <f t="shared" si="121"/>
        <v>-6.7473165136977813E-4</v>
      </c>
      <c r="Z89" t="str">
        <f t="shared" si="107"/>
        <v>0.999999997723943+0.000132881038117037i</v>
      </c>
      <c r="AA89" s="4">
        <f t="shared" si="122"/>
        <v>1.000000006552628</v>
      </c>
      <c r="AB89" s="4">
        <f t="shared" si="123"/>
        <v>1.3288103763737193E-4</v>
      </c>
      <c r="AC89" s="48" t="str">
        <f t="shared" si="124"/>
        <v>16.3336813596106-0.786602172662174i</v>
      </c>
      <c r="AD89" s="20">
        <f t="shared" si="125"/>
        <v>24.271742167553146</v>
      </c>
      <c r="AE89" s="44">
        <f t="shared" si="126"/>
        <v>-2.7571366440016836</v>
      </c>
      <c r="AF89" t="str">
        <f t="shared" si="127"/>
        <v>45.9520231294187</v>
      </c>
      <c r="AG89" t="str">
        <f t="shared" si="108"/>
        <v>1+0.0227463749118658i</v>
      </c>
      <c r="AH89">
        <f t="shared" si="128"/>
        <v>1.0002586653319385</v>
      </c>
      <c r="AI89">
        <f t="shared" si="129"/>
        <v>2.2742453156210339E-2</v>
      </c>
      <c r="AJ89" t="str">
        <f t="shared" si="109"/>
        <v>1+0.0000515584498002293i</v>
      </c>
      <c r="AK89">
        <f t="shared" si="130"/>
        <v>1.0000000013291368</v>
      </c>
      <c r="AL89">
        <f t="shared" si="131"/>
        <v>5.1558449754543812E-5</v>
      </c>
      <c r="AM89" t="str">
        <f t="shared" si="110"/>
        <v>1-0.000115353156412124i</v>
      </c>
      <c r="AN89">
        <f t="shared" si="132"/>
        <v>1.0000000066531753</v>
      </c>
      <c r="AO89">
        <f t="shared" si="133"/>
        <v>-1.1535315590048082E-4</v>
      </c>
      <c r="AP89" s="42" t="str">
        <f t="shared" si="134"/>
        <v>45.928193585981-1.04763140616524i</v>
      </c>
      <c r="AQ89">
        <f t="shared" si="135"/>
        <v>33.243846357800457</v>
      </c>
      <c r="AR89" s="44">
        <f t="shared" si="136"/>
        <v>-1.3067017490422725</v>
      </c>
      <c r="AS89" t="str">
        <f t="shared" si="111"/>
        <v>-0.000166666666666667</v>
      </c>
      <c r="AT89" t="str">
        <f t="shared" si="112"/>
        <v>4.06667272799309E-06i</v>
      </c>
      <c r="AU89">
        <f t="shared" si="137"/>
        <v>4.0666727279930896E-6</v>
      </c>
      <c r="AV89">
        <f t="shared" si="138"/>
        <v>1.5707963267948966</v>
      </c>
      <c r="AW89" t="str">
        <f t="shared" si="113"/>
        <v>1+0.000740897374902661i</v>
      </c>
      <c r="AX89">
        <f t="shared" si="139"/>
        <v>1.0000002744644223</v>
      </c>
      <c r="AY89">
        <f t="shared" si="140"/>
        <v>7.4089723933604037E-4</v>
      </c>
      <c r="AZ89" t="str">
        <f t="shared" si="114"/>
        <v>1+0.015080846566567i</v>
      </c>
      <c r="BA89">
        <f t="shared" si="141"/>
        <v>1.0001137095016568</v>
      </c>
      <c r="BB89">
        <f t="shared" si="142"/>
        <v>1.5079703433857745E-2</v>
      </c>
      <c r="BC89" s="42" t="str">
        <f t="shared" si="143"/>
        <v>-0.587701637153569+40.9839808984084i</v>
      </c>
      <c r="BD89">
        <f t="shared" si="144"/>
        <v>32.253175755067993</v>
      </c>
      <c r="BE89" s="44">
        <f t="shared" si="145"/>
        <v>90.821553078202129</v>
      </c>
      <c r="BF89" s="42" t="str">
        <f t="shared" si="146"/>
        <v>22.6387571432452+669.881572227632i</v>
      </c>
      <c r="BG89" s="20">
        <f t="shared" si="147"/>
        <v>56.524917922621128</v>
      </c>
      <c r="BH89" s="44">
        <f t="shared" si="148"/>
        <v>88.064416434200453</v>
      </c>
      <c r="BI89" s="42" t="str">
        <f t="shared" si="101"/>
        <v>15.9440309768618+1882.93590331879i</v>
      </c>
      <c r="BJ89" s="20">
        <f t="shared" si="149"/>
        <v>65.497022112868478</v>
      </c>
      <c r="BK89" s="44">
        <f t="shared" si="102"/>
        <v>89.514851329159868</v>
      </c>
      <c r="BL89">
        <f t="shared" si="150"/>
        <v>56.524917922621128</v>
      </c>
      <c r="BM89" s="44">
        <f t="shared" si="151"/>
        <v>88.064416434200453</v>
      </c>
    </row>
    <row r="90" spans="14:65" x14ac:dyDescent="0.35">
      <c r="N90" s="9">
        <v>72</v>
      </c>
      <c r="O90" s="35">
        <f t="shared" si="115"/>
        <v>52.480746024977286</v>
      </c>
      <c r="P90" s="34" t="str">
        <f t="shared" si="103"/>
        <v>16.3709677419355</v>
      </c>
      <c r="Q90" s="4" t="str">
        <f t="shared" si="104"/>
        <v>1+0.0485046100207375i</v>
      </c>
      <c r="R90" s="4">
        <f t="shared" si="116"/>
        <v>1.00117565751134</v>
      </c>
      <c r="S90" s="4">
        <f t="shared" si="117"/>
        <v>4.8466624740435983E-2</v>
      </c>
      <c r="T90" s="4" t="str">
        <f t="shared" si="105"/>
        <v>1+0.0000527594003734338i</v>
      </c>
      <c r="U90" s="4">
        <f t="shared" si="118"/>
        <v>1.0000000013917771</v>
      </c>
      <c r="V90" s="4">
        <f t="shared" si="119"/>
        <v>5.2759400324480916E-5</v>
      </c>
      <c r="W90" t="str">
        <f t="shared" si="106"/>
        <v>1-0.000690448275295191i</v>
      </c>
      <c r="X90" s="4">
        <f t="shared" si="120"/>
        <v>1.000000238359382</v>
      </c>
      <c r="Y90" s="4">
        <f t="shared" si="121"/>
        <v>-6.9044816557865981E-4</v>
      </c>
      <c r="Z90" t="str">
        <f t="shared" si="107"/>
        <v>0.999999997616676+0.000135976235112156i</v>
      </c>
      <c r="AA90" s="4">
        <f t="shared" si="122"/>
        <v>1.0000000068614443</v>
      </c>
      <c r="AB90" s="4">
        <f t="shared" si="123"/>
        <v>1.3597623459818558E-4</v>
      </c>
      <c r="AC90" s="48" t="str">
        <f t="shared" si="124"/>
        <v>16.3319282311303-0.804839456179475i</v>
      </c>
      <c r="AD90" s="20">
        <f t="shared" si="125"/>
        <v>24.271283444468011</v>
      </c>
      <c r="AE90" s="44">
        <f t="shared" si="126"/>
        <v>-2.8212607841198527</v>
      </c>
      <c r="AF90" t="str">
        <f t="shared" si="127"/>
        <v>45.9520231294187</v>
      </c>
      <c r="AG90" t="str">
        <f t="shared" si="108"/>
        <v>1+0.0232762060471031i</v>
      </c>
      <c r="AH90">
        <f t="shared" si="128"/>
        <v>1.0002708542029739</v>
      </c>
      <c r="AI90">
        <f t="shared" si="129"/>
        <v>2.3272003871661333E-2</v>
      </c>
      <c r="AJ90" t="str">
        <f t="shared" si="109"/>
        <v>1+0.0000527594003734338i</v>
      </c>
      <c r="AK90">
        <f t="shared" si="130"/>
        <v>1.0000000013917771</v>
      </c>
      <c r="AL90">
        <f t="shared" si="131"/>
        <v>5.2759400324480916E-5</v>
      </c>
      <c r="AM90" t="str">
        <f t="shared" si="110"/>
        <v>1-0.000118040076593992i</v>
      </c>
      <c r="AN90">
        <f t="shared" si="132"/>
        <v>1.0000000069667299</v>
      </c>
      <c r="AO90">
        <f t="shared" si="133"/>
        <v>-1.1804007604575646E-4</v>
      </c>
      <c r="AP90" s="42" t="str">
        <f t="shared" si="134"/>
        <v>45.9270711423176-1.07200775019214i</v>
      </c>
      <c r="AQ90">
        <f t="shared" si="135"/>
        <v>33.243740517902431</v>
      </c>
      <c r="AR90" s="44">
        <f t="shared" si="136"/>
        <v>-1.337127909860899</v>
      </c>
      <c r="AS90" t="str">
        <f t="shared" si="111"/>
        <v>-0.000166666666666667</v>
      </c>
      <c r="AT90" t="str">
        <f t="shared" si="112"/>
        <v>4.16139770445459E-06i</v>
      </c>
      <c r="AU90">
        <f t="shared" si="137"/>
        <v>4.1613977044545897E-6</v>
      </c>
      <c r="AV90">
        <f t="shared" si="138"/>
        <v>1.5707963267948966</v>
      </c>
      <c r="AW90" t="str">
        <f t="shared" si="113"/>
        <v>1+0.000758155091737101i</v>
      </c>
      <c r="AX90">
        <f t="shared" si="139"/>
        <v>1.0000002873995304</v>
      </c>
      <c r="AY90">
        <f t="shared" si="140"/>
        <v>7.5815494647485208E-4</v>
      </c>
      <c r="AZ90" t="str">
        <f t="shared" si="114"/>
        <v>1+0.0154321246092294i</v>
      </c>
      <c r="BA90">
        <f t="shared" si="141"/>
        <v>1.0001190681463656</v>
      </c>
      <c r="BB90">
        <f t="shared" si="142"/>
        <v>1.5430899728338849E-2</v>
      </c>
      <c r="BC90" s="42" t="str">
        <f t="shared" si="143"/>
        <v>-0.58770162194961+40.0510916507629i</v>
      </c>
      <c r="BD90">
        <f t="shared" si="144"/>
        <v>32.053222181894981</v>
      </c>
      <c r="BE90" s="44">
        <f t="shared" si="145"/>
        <v>90.840686349873408</v>
      </c>
      <c r="BF90" s="42" t="str">
        <f t="shared" si="146"/>
        <v>22.6363981125944+654.584559872487i</v>
      </c>
      <c r="BG90" s="20">
        <f t="shared" si="147"/>
        <v>56.324505626362992</v>
      </c>
      <c r="BH90" s="44">
        <f t="shared" si="148"/>
        <v>88.019425565753565</v>
      </c>
      <c r="BI90" s="42" t="str">
        <f t="shared" si="101"/>
        <v>15.9436664515384+1840.0593562656i</v>
      </c>
      <c r="BJ90" s="20">
        <f t="shared" si="149"/>
        <v>65.296962699797405</v>
      </c>
      <c r="BK90" s="44">
        <f t="shared" si="102"/>
        <v>89.503558440012512</v>
      </c>
      <c r="BL90">
        <f t="shared" si="150"/>
        <v>56.324505626362992</v>
      </c>
      <c r="BM90" s="44">
        <f t="shared" si="151"/>
        <v>88.019425565753565</v>
      </c>
    </row>
    <row r="91" spans="14:65" x14ac:dyDescent="0.35">
      <c r="N91" s="9">
        <v>73</v>
      </c>
      <c r="O91" s="35">
        <f t="shared" si="115"/>
        <v>53.703179637025293</v>
      </c>
      <c r="P91" s="34" t="str">
        <f t="shared" si="103"/>
        <v>16.3709677419355</v>
      </c>
      <c r="Q91" s="4" t="str">
        <f t="shared" si="104"/>
        <v>1+0.0496344275275314i</v>
      </c>
      <c r="R91" s="4">
        <f t="shared" si="116"/>
        <v>1.0012310304799716</v>
      </c>
      <c r="S91" s="4">
        <f t="shared" si="117"/>
        <v>4.9593728268693058E-2</v>
      </c>
      <c r="T91" s="4" t="str">
        <f t="shared" si="105"/>
        <v>1+0.0000539883246790693i</v>
      </c>
      <c r="U91" s="4">
        <f t="shared" si="118"/>
        <v>1.0000000014573696</v>
      </c>
      <c r="V91" s="4">
        <f t="shared" si="119"/>
        <v>5.3988324626615335E-5</v>
      </c>
      <c r="W91" t="str">
        <f t="shared" si="106"/>
        <v>1-0.000706530881641901i</v>
      </c>
      <c r="X91" s="4">
        <f t="shared" si="120"/>
        <v>1.0000002495929121</v>
      </c>
      <c r="Y91" s="4">
        <f t="shared" si="121"/>
        <v>-7.0653076407852129E-4</v>
      </c>
      <c r="Z91" t="str">
        <f t="shared" si="107"/>
        <v>0.999999997504354+0.000139143528506989i</v>
      </c>
      <c r="AA91" s="4">
        <f t="shared" si="122"/>
        <v>1.0000000071848145</v>
      </c>
      <c r="AB91" s="4">
        <f t="shared" si="123"/>
        <v>1.3914352795625968E-4</v>
      </c>
      <c r="AC91" s="48" t="str">
        <f t="shared" si="124"/>
        <v>16.3300928772043-0.823495478672406i</v>
      </c>
      <c r="AD91" s="20">
        <f t="shared" si="125"/>
        <v>24.27080315437648</v>
      </c>
      <c r="AE91" s="44">
        <f t="shared" si="126"/>
        <v>-2.8868715847469657</v>
      </c>
      <c r="AF91" t="str">
        <f t="shared" si="127"/>
        <v>45.9520231294187</v>
      </c>
      <c r="AG91" t="str">
        <f t="shared" si="108"/>
        <v>1+0.0238183785348835i</v>
      </c>
      <c r="AH91">
        <f t="shared" si="128"/>
        <v>1.0002836173586125</v>
      </c>
      <c r="AI91">
        <f t="shared" si="129"/>
        <v>2.3813875891723141E-2</v>
      </c>
      <c r="AJ91" t="str">
        <f t="shared" si="109"/>
        <v>1+0.0000539883246790693i</v>
      </c>
      <c r="AK91">
        <f t="shared" si="130"/>
        <v>1.0000000014573696</v>
      </c>
      <c r="AL91">
        <f t="shared" si="131"/>
        <v>5.3988324626615335E-5</v>
      </c>
      <c r="AM91" t="str">
        <f t="shared" si="110"/>
        <v>1-0.000120789583186916i</v>
      </c>
      <c r="AN91">
        <f t="shared" si="132"/>
        <v>1.0000000072950617</v>
      </c>
      <c r="AO91">
        <f t="shared" si="133"/>
        <v>-1.2078958259947102E-4</v>
      </c>
      <c r="AP91" s="42" t="str">
        <f t="shared" si="134"/>
        <v>45.9258958581511-1.09695002507911i</v>
      </c>
      <c r="AQ91">
        <f t="shared" si="135"/>
        <v>33.243629692688373</v>
      </c>
      <c r="AR91" s="44">
        <f t="shared" si="136"/>
        <v>-1.3682620125920875</v>
      </c>
      <c r="AS91" t="str">
        <f t="shared" si="111"/>
        <v>-0.000166666666666667</v>
      </c>
      <c r="AT91" t="str">
        <f t="shared" si="112"/>
        <v>4.25832910906159E-06i</v>
      </c>
      <c r="AU91">
        <f t="shared" si="137"/>
        <v>4.2583291090615903E-6</v>
      </c>
      <c r="AV91">
        <f t="shared" si="138"/>
        <v>1.5707963267948966</v>
      </c>
      <c r="AW91" t="str">
        <f t="shared" si="113"/>
        <v>1+0.000775814792436547i</v>
      </c>
      <c r="AX91">
        <f t="shared" si="139"/>
        <v>1.0000003009442509</v>
      </c>
      <c r="AY91">
        <f t="shared" si="140"/>
        <v>7.7581463678524551E-4</v>
      </c>
      <c r="AZ91" t="str">
        <f t="shared" si="114"/>
        <v>1+0.0157915849686277i</v>
      </c>
      <c r="BA91">
        <f t="shared" si="141"/>
        <v>1.0001246793054461</v>
      </c>
      <c r="BB91">
        <f t="shared" si="142"/>
        <v>1.5790272493943585E-2</v>
      </c>
      <c r="BC91" s="42" t="str">
        <f t="shared" si="143"/>
        <v>-0.587701606029103+39.1394380220488i</v>
      </c>
      <c r="BD91">
        <f t="shared" si="144"/>
        <v>31.853270796216488</v>
      </c>
      <c r="BE91" s="44">
        <f t="shared" si="145"/>
        <v>90.860265066892211</v>
      </c>
      <c r="BF91" s="42" t="str">
        <f t="shared" si="146"/>
        <v>22.6339284383987+639.634627677012i</v>
      </c>
      <c r="BG91" s="20">
        <f t="shared" si="147"/>
        <v>56.124073950592972</v>
      </c>
      <c r="BH91" s="44">
        <f t="shared" si="148"/>
        <v>87.973393482145241</v>
      </c>
      <c r="BI91" s="42" t="str">
        <f t="shared" si="101"/>
        <v>15.943284765708+1798.15843383865i</v>
      </c>
      <c r="BJ91" s="20">
        <f t="shared" si="149"/>
        <v>65.096900488904893</v>
      </c>
      <c r="BK91" s="44">
        <f t="shared" si="102"/>
        <v>89.492003054300127</v>
      </c>
      <c r="BL91">
        <f t="shared" si="150"/>
        <v>56.124073950592972</v>
      </c>
      <c r="BM91" s="44">
        <f t="shared" si="151"/>
        <v>87.973393482145241</v>
      </c>
    </row>
    <row r="92" spans="14:65" x14ac:dyDescent="0.35">
      <c r="N92" s="9">
        <v>74</v>
      </c>
      <c r="O92" s="35">
        <f t="shared" si="115"/>
        <v>54.95408738576247</v>
      </c>
      <c r="P92" s="34" t="str">
        <f t="shared" si="103"/>
        <v>16.3709677419355</v>
      </c>
      <c r="Q92" s="4" t="str">
        <f t="shared" si="104"/>
        <v>1+0.0507905618647899i</v>
      </c>
      <c r="R92" s="4">
        <f t="shared" si="116"/>
        <v>1.0012890098141201</v>
      </c>
      <c r="S92" s="4">
        <f t="shared" si="117"/>
        <v>5.0746954854797743E-2</v>
      </c>
      <c r="T92" s="4" t="str">
        <f t="shared" si="105"/>
        <v>1+0.0000552458743090698i</v>
      </c>
      <c r="U92" s="4">
        <f t="shared" si="118"/>
        <v>1.0000000015260533</v>
      </c>
      <c r="V92" s="4">
        <f t="shared" si="119"/>
        <v>5.5245874252864368E-5</v>
      </c>
      <c r="W92" t="str">
        <f t="shared" si="106"/>
        <v>1-0.000722988100014101i</v>
      </c>
      <c r="X92" s="4">
        <f t="shared" si="120"/>
        <v>1.0000002613558623</v>
      </c>
      <c r="Y92" s="4">
        <f t="shared" si="121"/>
        <v>-7.2298797404267185E-4</v>
      </c>
      <c r="Z92" t="str">
        <f t="shared" si="107"/>
        <v>0.999999997386737+0.00014238459764242i</v>
      </c>
      <c r="AA92" s="4">
        <f t="shared" si="122"/>
        <v>1.0000000075234237</v>
      </c>
      <c r="AB92" s="4">
        <f t="shared" si="123"/>
        <v>1.4238459705230301E-4</v>
      </c>
      <c r="AC92" s="48" t="str">
        <f t="shared" si="124"/>
        <v>16.3281714608197-0.842579562676537i</v>
      </c>
      <c r="AD92" s="20">
        <f t="shared" si="125"/>
        <v>24.270300285855985</v>
      </c>
      <c r="AE92" s="44">
        <f t="shared" si="126"/>
        <v>-2.9540031769207689</v>
      </c>
      <c r="AF92" t="str">
        <f t="shared" si="127"/>
        <v>45.9520231294187</v>
      </c>
      <c r="AG92" t="str">
        <f t="shared" si="108"/>
        <v>1+0.0243731798422366i</v>
      </c>
      <c r="AH92">
        <f t="shared" si="128"/>
        <v>1.0002969818487017</v>
      </c>
      <c r="AI92">
        <f t="shared" si="129"/>
        <v>2.4368355250525393E-2</v>
      </c>
      <c r="AJ92" t="str">
        <f t="shared" si="109"/>
        <v>1+0.0000552458743090698i</v>
      </c>
      <c r="AK92">
        <f t="shared" si="130"/>
        <v>1.0000000015260533</v>
      </c>
      <c r="AL92">
        <f t="shared" si="131"/>
        <v>5.5245874252864368E-5</v>
      </c>
      <c r="AM92" t="str">
        <f t="shared" si="110"/>
        <v>1-0.000123603134015684i</v>
      </c>
      <c r="AN92">
        <f t="shared" si="132"/>
        <v>1.0000000076388673</v>
      </c>
      <c r="AO92">
        <f t="shared" si="133"/>
        <v>-1.2360313338622539E-4</v>
      </c>
      <c r="AP92" s="42" t="str">
        <f t="shared" si="134"/>
        <v>45.9246652488375-1.12247127968353i</v>
      </c>
      <c r="AQ92">
        <f t="shared" si="135"/>
        <v>33.243513647474138</v>
      </c>
      <c r="AR92" s="44">
        <f t="shared" si="136"/>
        <v>-1.4001204919779864</v>
      </c>
      <c r="AS92" t="str">
        <f t="shared" si="111"/>
        <v>-0.000166666666666667</v>
      </c>
      <c r="AT92" t="str">
        <f t="shared" si="112"/>
        <v>4.35751833612787E-06i</v>
      </c>
      <c r="AU92">
        <f t="shared" si="137"/>
        <v>4.3575183361278696E-6</v>
      </c>
      <c r="AV92">
        <f t="shared" si="138"/>
        <v>1.5707963267948966</v>
      </c>
      <c r="AW92" t="str">
        <f t="shared" si="113"/>
        <v>1+0.000793885840408067i</v>
      </c>
      <c r="AX92">
        <f t="shared" si="139"/>
        <v>1.000000315127314</v>
      </c>
      <c r="AY92">
        <f t="shared" si="140"/>
        <v>7.9388567362469534E-4</v>
      </c>
      <c r="AZ92" t="str">
        <f t="shared" si="114"/>
        <v>1+0.0161594182354029i</v>
      </c>
      <c r="BA92">
        <f t="shared" si="141"/>
        <v>1.0001305548765653</v>
      </c>
      <c r="BB92">
        <f t="shared" si="142"/>
        <v>1.6158011903356046E-2</v>
      </c>
      <c r="BC92" s="42" t="str">
        <f t="shared" si="143"/>
        <v>-0.587701589358293+38.2485366414442i</v>
      </c>
      <c r="BD92">
        <f t="shared" si="144"/>
        <v>31.65332170107423</v>
      </c>
      <c r="BE92" s="44">
        <f t="shared" si="145"/>
        <v>90.880299588869846</v>
      </c>
      <c r="BF92" s="42" t="str">
        <f t="shared" si="146"/>
        <v>22.6313429575271+625.023849755092i</v>
      </c>
      <c r="BG92" s="20">
        <f t="shared" si="147"/>
        <v>55.923621986930229</v>
      </c>
      <c r="BH92" s="44">
        <f t="shared" si="148"/>
        <v>87.926296411949096</v>
      </c>
      <c r="BI92" s="42" t="str">
        <f t="shared" si="101"/>
        <v>15.9428851124549+1757.2109196713i</v>
      </c>
      <c r="BJ92" s="20">
        <f t="shared" si="149"/>
        <v>64.896835348548379</v>
      </c>
      <c r="BK92" s="44">
        <f t="shared" si="102"/>
        <v>89.480179096891874</v>
      </c>
      <c r="BL92">
        <f t="shared" si="150"/>
        <v>55.923621986930229</v>
      </c>
      <c r="BM92" s="44">
        <f t="shared" si="151"/>
        <v>87.926296411949096</v>
      </c>
    </row>
    <row r="93" spans="14:65" x14ac:dyDescent="0.35">
      <c r="N93" s="9">
        <v>75</v>
      </c>
      <c r="O93" s="35">
        <f t="shared" si="115"/>
        <v>56.234132519034915</v>
      </c>
      <c r="P93" s="34" t="str">
        <f t="shared" si="103"/>
        <v>16.3709677419355</v>
      </c>
      <c r="Q93" s="4" t="str">
        <f t="shared" si="104"/>
        <v>1+0.0519736260302416i</v>
      </c>
      <c r="R93" s="4">
        <f t="shared" si="116"/>
        <v>1.0013497180319828</v>
      </c>
      <c r="S93" s="4">
        <f t="shared" si="117"/>
        <v>5.1926903678083738E-2</v>
      </c>
      <c r="T93" s="4" t="str">
        <f t="shared" si="105"/>
        <v>1+0.0000565327160328944i</v>
      </c>
      <c r="U93" s="4">
        <f t="shared" si="118"/>
        <v>1.000000001597974</v>
      </c>
      <c r="V93" s="4">
        <f t="shared" si="119"/>
        <v>5.6532715972669193E-5</v>
      </c>
      <c r="W93" t="str">
        <f t="shared" si="106"/>
        <v>1-0.000739828656246806i</v>
      </c>
      <c r="X93" s="4">
        <f t="shared" si="120"/>
        <v>1.0000002736731828</v>
      </c>
      <c r="Y93" s="4">
        <f t="shared" si="121"/>
        <v>-7.3982852126598978E-4</v>
      </c>
      <c r="Z93" t="str">
        <f t="shared" si="107"/>
        <v>0.999999997263578+0.000145701160976203i</v>
      </c>
      <c r="AA93" s="4">
        <f t="shared" si="122"/>
        <v>1.0000000078779923</v>
      </c>
      <c r="AB93" s="4">
        <f t="shared" si="123"/>
        <v>1.4570116034388122E-4</v>
      </c>
      <c r="AC93" s="48" t="str">
        <f t="shared" si="124"/>
        <v>16.3261599677903-0.862101217332897i</v>
      </c>
      <c r="AD93" s="20">
        <f t="shared" si="125"/>
        <v>24.269773780297506</v>
      </c>
      <c r="AE93" s="44">
        <f t="shared" si="126"/>
        <v>-3.0226904512967163</v>
      </c>
      <c r="AF93" t="str">
        <f t="shared" si="127"/>
        <v>45.9520231294187</v>
      </c>
      <c r="AG93" t="str">
        <f t="shared" si="108"/>
        <v>1+0.0249409041321592i</v>
      </c>
      <c r="AH93">
        <f t="shared" si="128"/>
        <v>1.0003109759964295</v>
      </c>
      <c r="AI93">
        <f t="shared" si="129"/>
        <v>2.4935734575796384E-2</v>
      </c>
      <c r="AJ93" t="str">
        <f t="shared" si="109"/>
        <v>1+0.0000565327160328944i</v>
      </c>
      <c r="AK93">
        <f t="shared" si="130"/>
        <v>1.000000001597974</v>
      </c>
      <c r="AL93">
        <f t="shared" si="131"/>
        <v>5.6532715972669193E-5</v>
      </c>
      <c r="AM93" t="str">
        <f t="shared" si="110"/>
        <v>1-0.000126482220862188i</v>
      </c>
      <c r="AN93">
        <f t="shared" si="132"/>
        <v>1.000000007998876</v>
      </c>
      <c r="AO93">
        <f t="shared" si="133"/>
        <v>-1.2648222018771092E-4</v>
      </c>
      <c r="AP93" s="42" t="str">
        <f t="shared" si="134"/>
        <v>45.9233767131799-1.14858485729226i</v>
      </c>
      <c r="AQ93">
        <f t="shared" si="135"/>
        <v>33.243392136540997</v>
      </c>
      <c r="AR93" s="44">
        <f t="shared" si="136"/>
        <v>-1.4327201616221283</v>
      </c>
      <c r="AS93" t="str">
        <f t="shared" si="111"/>
        <v>-0.000166666666666667</v>
      </c>
      <c r="AT93" t="str">
        <f t="shared" si="112"/>
        <v>4.45901797709455E-06i</v>
      </c>
      <c r="AU93">
        <f t="shared" si="137"/>
        <v>4.4590179770945504E-6</v>
      </c>
      <c r="AV93">
        <f t="shared" si="138"/>
        <v>1.5707963267948966</v>
      </c>
      <c r="AW93" t="str">
        <f t="shared" si="113"/>
        <v>1+0.000812377817160492i</v>
      </c>
      <c r="AX93">
        <f t="shared" si="139"/>
        <v>1.0000003299788045</v>
      </c>
      <c r="AY93">
        <f t="shared" si="140"/>
        <v>8.1237763844889269E-4</v>
      </c>
      <c r="AZ93" t="str">
        <f t="shared" si="114"/>
        <v>1+0.0165358194396216i</v>
      </c>
      <c r="BA93">
        <f t="shared" si="141"/>
        <v>1.0001367073178244</v>
      </c>
      <c r="BB93">
        <f t="shared" si="142"/>
        <v>1.6534312538808226E-2</v>
      </c>
      <c r="BC93" s="42" t="str">
        <f t="shared" si="143"/>
        <v>-0.587701571901808+37.3779151412449i</v>
      </c>
      <c r="BD93">
        <f t="shared" si="144"/>
        <v>31.453375004361416</v>
      </c>
      <c r="BE93" s="44">
        <f t="shared" si="145"/>
        <v>90.900800515570012</v>
      </c>
      <c r="BF93" s="42" t="str">
        <f t="shared" si="146"/>
        <v>22.6286362684422+610.74448009902i</v>
      </c>
      <c r="BG93" s="20">
        <f t="shared" si="147"/>
        <v>55.723148784658918</v>
      </c>
      <c r="BH93" s="44">
        <f t="shared" si="148"/>
        <v>87.878110064273315</v>
      </c>
      <c r="BI93" s="42" t="str">
        <f t="shared" si="101"/>
        <v>15.9424666470143+1717.19510291075i</v>
      </c>
      <c r="BJ93" s="20">
        <f t="shared" si="149"/>
        <v>64.696767140902395</v>
      </c>
      <c r="BK93" s="44">
        <f t="shared" si="102"/>
        <v>89.468080353947897</v>
      </c>
      <c r="BL93">
        <f t="shared" si="150"/>
        <v>55.723148784658918</v>
      </c>
      <c r="BM93" s="44">
        <f t="shared" si="151"/>
        <v>87.878110064273315</v>
      </c>
    </row>
    <row r="94" spans="14:65" x14ac:dyDescent="0.35">
      <c r="N94" s="9">
        <v>76</v>
      </c>
      <c r="O94" s="35">
        <f t="shared" si="115"/>
        <v>57.543993733715695</v>
      </c>
      <c r="P94" s="34" t="str">
        <f t="shared" si="103"/>
        <v>16.3709677419355</v>
      </c>
      <c r="Q94" s="4" t="str">
        <f t="shared" si="104"/>
        <v>1+0.0531842473001669i</v>
      </c>
      <c r="R94" s="4">
        <f t="shared" si="116"/>
        <v>1.0014132833954648</v>
      </c>
      <c r="S94" s="4">
        <f t="shared" si="117"/>
        <v>5.3134187213031057E-2</v>
      </c>
      <c r="T94" s="4" t="str">
        <f t="shared" si="105"/>
        <v>1+0.0000578495321510587i</v>
      </c>
      <c r="U94" s="4">
        <f t="shared" si="118"/>
        <v>1.0000000016732842</v>
      </c>
      <c r="V94" s="4">
        <f t="shared" si="119"/>
        <v>5.7849532086526228E-5</v>
      </c>
      <c r="W94" t="str">
        <f t="shared" si="106"/>
        <v>1-0.000757061479425844i</v>
      </c>
      <c r="X94" s="4">
        <f t="shared" si="120"/>
        <v>1.0000002865710007</v>
      </c>
      <c r="Y94" s="4">
        <f t="shared" si="121"/>
        <v>-7.5706133479129588E-4</v>
      </c>
      <c r="Z94" t="str">
        <f t="shared" si="107"/>
        <v>0.999999997134614+0.000149094976994119i</v>
      </c>
      <c r="AA94" s="4">
        <f t="shared" si="122"/>
        <v>1.0000000082492699</v>
      </c>
      <c r="AB94" s="4">
        <f t="shared" si="123"/>
        <v>1.4909497631657406E-4</v>
      </c>
      <c r="AC94" s="48" t="str">
        <f t="shared" si="124"/>
        <v>16.3240541987567-0.882070140585443i</v>
      </c>
      <c r="AD94" s="20">
        <f t="shared" si="125"/>
        <v>24.269222529727863</v>
      </c>
      <c r="AE94" s="44">
        <f t="shared" si="126"/>
        <v>-3.0929690733349222</v>
      </c>
      <c r="AF94" t="str">
        <f t="shared" si="127"/>
        <v>45.9520231294187</v>
      </c>
      <c r="AG94" t="str">
        <f t="shared" si="108"/>
        <v>1+0.0255218524195847i</v>
      </c>
      <c r="AH94">
        <f t="shared" si="128"/>
        <v>1.0003256294581915</v>
      </c>
      <c r="AI94">
        <f t="shared" si="129"/>
        <v>2.5516313237524749E-2</v>
      </c>
      <c r="AJ94" t="str">
        <f t="shared" si="109"/>
        <v>1+0.0000578495321510587i</v>
      </c>
      <c r="AK94">
        <f t="shared" si="130"/>
        <v>1.0000000016732842</v>
      </c>
      <c r="AL94">
        <f t="shared" si="131"/>
        <v>5.7849532086526228E-5</v>
      </c>
      <c r="AM94" t="str">
        <f t="shared" si="110"/>
        <v>1-0.000129428370256384i</v>
      </c>
      <c r="AN94">
        <f t="shared" si="132"/>
        <v>1.0000000083758516</v>
      </c>
      <c r="AO94">
        <f t="shared" si="133"/>
        <v>-1.2942836953366878E-4</v>
      </c>
      <c r="AP94" s="42" t="str">
        <f t="shared" si="134"/>
        <v>45.9220275279876-1.1753044018016i</v>
      </c>
      <c r="AQ94">
        <f t="shared" si="135"/>
        <v>33.243264902617959</v>
      </c>
      <c r="AR94" s="44">
        <f t="shared" si="136"/>
        <v>-1.4660782225321378</v>
      </c>
      <c r="AS94" t="str">
        <f t="shared" si="111"/>
        <v>-0.000166666666666667</v>
      </c>
      <c r="AT94" t="str">
        <f t="shared" si="112"/>
        <v>4.56288184841475E-06i</v>
      </c>
      <c r="AU94">
        <f t="shared" si="137"/>
        <v>4.5628818484147499E-6</v>
      </c>
      <c r="AV94">
        <f t="shared" si="138"/>
        <v>1.5707963267948966</v>
      </c>
      <c r="AW94" t="str">
        <f t="shared" si="113"/>
        <v>1+0.000831300527384668i</v>
      </c>
      <c r="AX94">
        <f t="shared" si="139"/>
        <v>1.0000003455302238</v>
      </c>
      <c r="AY94">
        <f t="shared" si="140"/>
        <v>8.313003358917429E-4</v>
      </c>
      <c r="AZ94" t="str">
        <f t="shared" si="114"/>
        <v>1+0.0169209881541846i</v>
      </c>
      <c r="BA94">
        <f t="shared" si="141"/>
        <v>1.0001431496741424</v>
      </c>
      <c r="BB94">
        <f t="shared" si="142"/>
        <v>1.6919373493353557E-2</v>
      </c>
      <c r="BC94" s="42" t="str">
        <f t="shared" si="143"/>
        <v>-0.587701553622628+36.5271119064076i</v>
      </c>
      <c r="BD94">
        <f t="shared" si="144"/>
        <v>31.253430819050607</v>
      </c>
      <c r="BE94" s="44">
        <f t="shared" si="145"/>
        <v>90.921778692420261</v>
      </c>
      <c r="BF94" s="42" t="str">
        <f t="shared" si="146"/>
        <v>22.6258027204359+596.788948476275i</v>
      </c>
      <c r="BG94" s="20">
        <f t="shared" si="147"/>
        <v>55.522653348778462</v>
      </c>
      <c r="BH94" s="44">
        <f t="shared" si="148"/>
        <v>87.828809619085348</v>
      </c>
      <c r="BI94" s="42" t="str">
        <f t="shared" si="101"/>
        <v>15.9420284850011+1678.08976670685i</v>
      </c>
      <c r="BJ94" s="20">
        <f t="shared" si="149"/>
        <v>64.496695721668559</v>
      </c>
      <c r="BK94" s="44">
        <f t="shared" si="102"/>
        <v>89.455700469888143</v>
      </c>
      <c r="BL94">
        <f t="shared" si="150"/>
        <v>55.522653348778462</v>
      </c>
      <c r="BM94" s="44">
        <f t="shared" si="151"/>
        <v>87.828809619085348</v>
      </c>
    </row>
    <row r="95" spans="14:65" x14ac:dyDescent="0.35">
      <c r="N95" s="9">
        <v>77</v>
      </c>
      <c r="O95" s="35">
        <f t="shared" si="115"/>
        <v>58.884365535558949</v>
      </c>
      <c r="P95" s="34" t="str">
        <f t="shared" si="103"/>
        <v>16.3709677419355</v>
      </c>
      <c r="Q95" s="4" t="str">
        <f t="shared" si="104"/>
        <v>1+0.0544230675619874i</v>
      </c>
      <c r="R95" s="4">
        <f t="shared" si="116"/>
        <v>1.0014798401779521</v>
      </c>
      <c r="S95" s="4">
        <f t="shared" si="117"/>
        <v>5.4369431492115393E-2</v>
      </c>
      <c r="T95" s="4" t="str">
        <f t="shared" si="105"/>
        <v>1+0.0000591970208568986i</v>
      </c>
      <c r="U95" s="4">
        <f t="shared" si="118"/>
        <v>1.0000000017521435</v>
      </c>
      <c r="V95" s="4">
        <f t="shared" si="119"/>
        <v>5.9197020787750809E-5</v>
      </c>
      <c r="W95" t="str">
        <f t="shared" si="106"/>
        <v>1-0.000774695706622167i</v>
      </c>
      <c r="X95" s="4">
        <f t="shared" si="120"/>
        <v>1.000000300076674</v>
      </c>
      <c r="Y95" s="4">
        <f t="shared" si="121"/>
        <v>-7.7469555164345894E-4</v>
      </c>
      <c r="Z95" t="str">
        <f t="shared" si="107"/>
        <v>0.999999996999573+0.000152567845142342i</v>
      </c>
      <c r="AA95" s="4">
        <f t="shared" si="122"/>
        <v>1.0000000086380467</v>
      </c>
      <c r="AB95" s="4">
        <f t="shared" si="123"/>
        <v>1.5256784441633947E-4</v>
      </c>
      <c r="AC95" s="48" t="str">
        <f t="shared" si="124"/>
        <v>16.3218497608423-0.902496221280156i</v>
      </c>
      <c r="AD95" s="20">
        <f t="shared" si="125"/>
        <v>24.268645374533591</v>
      </c>
      <c r="AE95" s="44">
        <f t="shared" si="126"/>
        <v>-3.1648754986641845</v>
      </c>
      <c r="AF95" t="str">
        <f t="shared" si="127"/>
        <v>45.9520231294187</v>
      </c>
      <c r="AG95" t="str">
        <f t="shared" si="108"/>
        <v>1+0.0261163327309846i</v>
      </c>
      <c r="AH95">
        <f t="shared" si="128"/>
        <v>1.0003409732862667</v>
      </c>
      <c r="AI95">
        <f t="shared" si="129"/>
        <v>2.6110397499732211E-2</v>
      </c>
      <c r="AJ95" t="str">
        <f t="shared" si="109"/>
        <v>1+0.0000591970208568986i</v>
      </c>
      <c r="AK95">
        <f t="shared" si="130"/>
        <v>1.0000000017521435</v>
      </c>
      <c r="AL95">
        <f t="shared" si="131"/>
        <v>5.9197020787750809E-5</v>
      </c>
      <c r="AM95" t="str">
        <f t="shared" si="110"/>
        <v>1-0.000132443144285677i</v>
      </c>
      <c r="AN95">
        <f t="shared" si="132"/>
        <v>1.0000000087705931</v>
      </c>
      <c r="AO95">
        <f t="shared" si="133"/>
        <v>-1.3244314351127371E-4</v>
      </c>
      <c r="AP95" s="42" t="str">
        <f t="shared" si="134"/>
        <v>45.9206148423847-1.20264386399305i</v>
      </c>
      <c r="AQ95">
        <f t="shared" si="135"/>
        <v>33.243131676340212</v>
      </c>
      <c r="AR95" s="44">
        <f t="shared" si="136"/>
        <v>-1.50021227184135</v>
      </c>
      <c r="AS95" t="str">
        <f t="shared" si="111"/>
        <v>-0.000166666666666667</v>
      </c>
      <c r="AT95" t="str">
        <f t="shared" si="112"/>
        <v>4.66916502008787E-06i</v>
      </c>
      <c r="AU95">
        <f t="shared" si="137"/>
        <v>4.6691650200878702E-6</v>
      </c>
      <c r="AV95">
        <f t="shared" si="138"/>
        <v>1.5707963267948966</v>
      </c>
      <c r="AW95" t="str">
        <f t="shared" si="113"/>
        <v>1+0.000850664004152026i</v>
      </c>
      <c r="AX95">
        <f t="shared" si="139"/>
        <v>1.0000003618145585</v>
      </c>
      <c r="AY95">
        <f t="shared" si="140"/>
        <v>8.5066379896366398E-4</v>
      </c>
      <c r="AZ95" t="str">
        <f t="shared" si="114"/>
        <v>1+0.0173151286006428i</v>
      </c>
      <c r="BA95">
        <f t="shared" si="141"/>
        <v>1.0001498956048822</v>
      </c>
      <c r="BB95">
        <f t="shared" si="142"/>
        <v>1.7313398474395208E-2</v>
      </c>
      <c r="BC95" s="42" t="str">
        <f t="shared" si="143"/>
        <v>-0.587701534481978+35.6956758297949i</v>
      </c>
      <c r="BD95">
        <f t="shared" si="144"/>
        <v>31.053489263432471</v>
      </c>
      <c r="BE95" s="44">
        <f t="shared" si="145"/>
        <v>90.943245216145897</v>
      </c>
      <c r="BF95" s="42" t="str">
        <f t="shared" si="146"/>
        <v>22.6228364024+583.149856419753i</v>
      </c>
      <c r="BG95" s="20">
        <f t="shared" si="147"/>
        <v>55.322134637966059</v>
      </c>
      <c r="BH95" s="44">
        <f t="shared" si="148"/>
        <v>87.778369717481709</v>
      </c>
      <c r="BI95" s="42" t="str">
        <f t="shared" si="101"/>
        <v>15.9415697005625+1639.87417696294i</v>
      </c>
      <c r="BJ95" s="20">
        <f t="shared" si="149"/>
        <v>64.296620939772694</v>
      </c>
      <c r="BK95" s="44">
        <f t="shared" si="102"/>
        <v>89.443032944304562</v>
      </c>
      <c r="BL95">
        <f t="shared" si="150"/>
        <v>55.322134637966059</v>
      </c>
      <c r="BM95" s="44">
        <f t="shared" si="151"/>
        <v>87.778369717481709</v>
      </c>
    </row>
    <row r="96" spans="14:65" x14ac:dyDescent="0.35">
      <c r="N96" s="9">
        <v>78</v>
      </c>
      <c r="O96" s="35">
        <f t="shared" si="115"/>
        <v>60.255958607435822</v>
      </c>
      <c r="P96" s="34" t="str">
        <f t="shared" si="103"/>
        <v>16.3709677419355</v>
      </c>
      <c r="Q96" s="4" t="str">
        <f t="shared" si="104"/>
        <v>1+0.0556907436546037i</v>
      </c>
      <c r="R96" s="4">
        <f t="shared" si="116"/>
        <v>1.0015495289444265</v>
      </c>
      <c r="S96" s="4">
        <f t="shared" si="117"/>
        <v>5.5633276371489966E-2</v>
      </c>
      <c r="T96" s="4" t="str">
        <f t="shared" si="105"/>
        <v>1+0.0000605758966067619i</v>
      </c>
      <c r="U96" s="4">
        <f t="shared" si="118"/>
        <v>1.0000000018347195</v>
      </c>
      <c r="V96" s="4">
        <f t="shared" si="119"/>
        <v>6.057589653266871E-5</v>
      </c>
      <c r="W96" t="str">
        <f t="shared" si="106"/>
        <v>1-0.00079274068773645i</v>
      </c>
      <c r="X96" s="4">
        <f t="shared" si="120"/>
        <v>1.0000003142188496</v>
      </c>
      <c r="Y96" s="4">
        <f t="shared" si="121"/>
        <v>-7.9274052167377525E-4</v>
      </c>
      <c r="Z96" t="str">
        <f t="shared" si="107"/>
        <v>0.999999996858167+0.000156121606781534i</v>
      </c>
      <c r="AA96" s="4">
        <f t="shared" si="122"/>
        <v>1.0000000090451451</v>
      </c>
      <c r="AB96" s="4">
        <f t="shared" si="123"/>
        <v>1.561216060036083E-4</v>
      </c>
      <c r="AC96" s="48" t="str">
        <f t="shared" si="124"/>
        <v>16.3195420589533-0.9233895411535i</v>
      </c>
      <c r="AD96" s="20">
        <f t="shared" si="125"/>
        <v>24.268041101082787</v>
      </c>
      <c r="AE96" s="44">
        <f t="shared" si="126"/>
        <v>-3.2384469886154306</v>
      </c>
      <c r="AF96" t="str">
        <f t="shared" si="127"/>
        <v>45.9520231294187</v>
      </c>
      <c r="AG96" t="str">
        <f t="shared" si="108"/>
        <v>1+0.026724660267689i</v>
      </c>
      <c r="AH96">
        <f t="shared" si="128"/>
        <v>1.0003570399944328</v>
      </c>
      <c r="AI96">
        <f t="shared" si="129"/>
        <v>2.6718300675407342E-2</v>
      </c>
      <c r="AJ96" t="str">
        <f t="shared" si="109"/>
        <v>1+0.0000605758966067619i</v>
      </c>
      <c r="AK96">
        <f t="shared" si="130"/>
        <v>1.0000000018347195</v>
      </c>
      <c r="AL96">
        <f t="shared" si="131"/>
        <v>6.057589653266871E-5</v>
      </c>
      <c r="AM96" t="str">
        <f t="shared" si="110"/>
        <v>1-0.000135528141423162i</v>
      </c>
      <c r="AN96">
        <f t="shared" si="132"/>
        <v>1.0000000091839385</v>
      </c>
      <c r="AO96">
        <f t="shared" si="133"/>
        <v>-1.3552814059337393E-4</v>
      </c>
      <c r="AP96" s="42" t="str">
        <f t="shared" si="134"/>
        <v>45.9191356718546-1.23061750790364i</v>
      </c>
      <c r="AQ96">
        <f t="shared" si="135"/>
        <v>33.242992175681898</v>
      </c>
      <c r="AR96" s="44">
        <f t="shared" si="136"/>
        <v>-1.5351403117120928</v>
      </c>
      <c r="AS96" t="str">
        <f t="shared" si="111"/>
        <v>-0.000166666666666667</v>
      </c>
      <c r="AT96" t="str">
        <f t="shared" si="112"/>
        <v>4.77792384485835E-06i</v>
      </c>
      <c r="AU96">
        <f t="shared" si="137"/>
        <v>4.7779238448583503E-6</v>
      </c>
      <c r="AV96">
        <f t="shared" si="138"/>
        <v>1.5707963267948966</v>
      </c>
      <c r="AW96" t="str">
        <f t="shared" si="113"/>
        <v>1+0.000870478514234254i</v>
      </c>
      <c r="AX96">
        <f t="shared" si="139"/>
        <v>1.0000003788663501</v>
      </c>
      <c r="AY96">
        <f t="shared" si="140"/>
        <v>8.7047829437096721E-4</v>
      </c>
      <c r="AZ96" t="str">
        <f t="shared" si="114"/>
        <v>1+0.0177184497574778i</v>
      </c>
      <c r="BA96">
        <f t="shared" si="141"/>
        <v>1.0001569594127755</v>
      </c>
      <c r="BB96">
        <f t="shared" si="142"/>
        <v>1.7716595909515763E-2</v>
      </c>
      <c r="BC96" s="42" t="str">
        <f t="shared" si="143"/>
        <v>-0.587701514439255+34.8831660729937i</v>
      </c>
      <c r="BD96">
        <f t="shared" si="144"/>
        <v>30.853550461366133</v>
      </c>
      <c r="BE96" s="44">
        <f t="shared" si="145"/>
        <v>90.96521144052879</v>
      </c>
      <c r="BF96" s="42" t="str">
        <f t="shared" si="146"/>
        <v>22.619731131121+569.819973309427i</v>
      </c>
      <c r="BG96" s="20">
        <f t="shared" si="147"/>
        <v>55.12159156244892</v>
      </c>
      <c r="BH96" s="44">
        <f t="shared" si="148"/>
        <v>87.726764451913368</v>
      </c>
      <c r="BI96" s="42" t="str">
        <f t="shared" si="101"/>
        <v>15.9410893244458+1602.52807134272i</v>
      </c>
      <c r="BJ96" s="20">
        <f t="shared" si="149"/>
        <v>64.096542637048003</v>
      </c>
      <c r="BK96" s="44">
        <f t="shared" si="102"/>
        <v>89.430071128816692</v>
      </c>
      <c r="BL96">
        <f t="shared" si="150"/>
        <v>55.12159156244892</v>
      </c>
      <c r="BM96" s="44">
        <f t="shared" si="151"/>
        <v>87.726764451913368</v>
      </c>
    </row>
    <row r="97" spans="14:65" x14ac:dyDescent="0.35">
      <c r="N97" s="9">
        <v>79</v>
      </c>
      <c r="O97" s="35">
        <f t="shared" si="115"/>
        <v>61.659500186148257</v>
      </c>
      <c r="P97" s="34" t="str">
        <f t="shared" si="103"/>
        <v>16.3709677419355</v>
      </c>
      <c r="Q97" s="4" t="str">
        <f t="shared" si="104"/>
        <v>1+0.0569879477166599i</v>
      </c>
      <c r="R97" s="4">
        <f t="shared" si="116"/>
        <v>1.0016224968444731</v>
      </c>
      <c r="S97" s="4">
        <f t="shared" si="117"/>
        <v>5.6926375799335183E-2</v>
      </c>
      <c r="T97" s="4" t="str">
        <f t="shared" si="105"/>
        <v>1+0.000061986890498823i</v>
      </c>
      <c r="U97" s="4">
        <f t="shared" si="118"/>
        <v>1.0000000019211872</v>
      </c>
      <c r="V97" s="4">
        <f t="shared" si="119"/>
        <v>6.1986890419430706E-5</v>
      </c>
      <c r="W97" t="str">
        <f t="shared" si="106"/>
        <v>1-0.000811205990456536i</v>
      </c>
      <c r="X97" s="4">
        <f t="shared" si="120"/>
        <v>1.0000003290275254</v>
      </c>
      <c r="Y97" s="4">
        <f t="shared" si="121"/>
        <v>-8.1120581251717719E-4</v>
      </c>
      <c r="Z97" t="str">
        <f t="shared" si="107"/>
        <v>0.999999996710097+0.000159758146163155i</v>
      </c>
      <c r="AA97" s="4">
        <f t="shared" si="122"/>
        <v>1.0000000094714296</v>
      </c>
      <c r="AB97" s="4">
        <f t="shared" si="123"/>
        <v>1.597581453295926E-4</v>
      </c>
      <c r="AC97" s="48" t="str">
        <f t="shared" si="124"/>
        <v>16.3171262867075-0.944760376696697i</v>
      </c>
      <c r="AD97" s="20">
        <f t="shared" si="125"/>
        <v>24.267408439239606</v>
      </c>
      <c r="AE97" s="44">
        <f t="shared" si="126"/>
        <v>-3.3137216259153384</v>
      </c>
      <c r="AF97" t="str">
        <f t="shared" si="127"/>
        <v>45.9520231294187</v>
      </c>
      <c r="AG97" t="str">
        <f t="shared" si="108"/>
        <v>1+0.0273471575730101i</v>
      </c>
      <c r="AH97">
        <f t="shared" si="128"/>
        <v>1.0003738636266559</v>
      </c>
      <c r="AI97">
        <f t="shared" si="129"/>
        <v>2.7340343284644519E-2</v>
      </c>
      <c r="AJ97" t="str">
        <f t="shared" si="109"/>
        <v>1+0.000061986890498823i</v>
      </c>
      <c r="AK97">
        <f t="shared" si="130"/>
        <v>1.0000000019211872</v>
      </c>
      <c r="AL97">
        <f t="shared" si="131"/>
        <v>6.1986890419430706E-5</v>
      </c>
      <c r="AM97" t="str">
        <f t="shared" si="110"/>
        <v>1-0.000138684997375156i</v>
      </c>
      <c r="AN97">
        <f t="shared" si="132"/>
        <v>1.0000000096167643</v>
      </c>
      <c r="AO97">
        <f t="shared" si="133"/>
        <v>-1.3868499648602206E-4</v>
      </c>
      <c r="AP97" s="42" t="str">
        <f t="shared" si="134"/>
        <v>45.9175868920119-1.2592399172894i</v>
      </c>
      <c r="AQ97">
        <f t="shared" si="135"/>
        <v>33.242846105362929</v>
      </c>
      <c r="AR97" s="44">
        <f t="shared" si="136"/>
        <v>-1.5708807584232403</v>
      </c>
      <c r="AS97" t="str">
        <f t="shared" si="111"/>
        <v>-0.000166666666666667</v>
      </c>
      <c r="AT97" t="str">
        <f t="shared" si="112"/>
        <v>4.88921598809466E-06i</v>
      </c>
      <c r="AU97">
        <f t="shared" si="137"/>
        <v>4.8892159880946598E-6</v>
      </c>
      <c r="AV97">
        <f t="shared" si="138"/>
        <v>1.5707963267948966</v>
      </c>
      <c r="AW97" t="str">
        <f t="shared" si="113"/>
        <v>1+0.000890754563546875i</v>
      </c>
      <c r="AX97">
        <f t="shared" si="139"/>
        <v>1.0000003967217677</v>
      </c>
      <c r="AY97">
        <f t="shared" si="140"/>
        <v>8.9075432795912384E-4</v>
      </c>
      <c r="AZ97" t="str">
        <f t="shared" si="114"/>
        <v>1+0.0181311654709057i</v>
      </c>
      <c r="BA97">
        <f t="shared" si="141"/>
        <v>1.0001643560742071</v>
      </c>
      <c r="BB97">
        <f t="shared" si="142"/>
        <v>1.8129179054655036E-2</v>
      </c>
      <c r="BC97" s="42" t="str">
        <f t="shared" si="143"/>
        <v>-0.587701493451955+34.0891518325762i</v>
      </c>
      <c r="BD97">
        <f t="shared" si="144"/>
        <v>30.653614542540847</v>
      </c>
      <c r="BE97" s="44">
        <f t="shared" si="145"/>
        <v>90.987688982293633</v>
      </c>
      <c r="BF97" s="42" t="str">
        <f t="shared" si="146"/>
        <v>22.6164804390734+556.792232543231i</v>
      </c>
      <c r="BG97" s="20">
        <f t="shared" si="147"/>
        <v>54.921022981780453</v>
      </c>
      <c r="BH97" s="44">
        <f t="shared" si="148"/>
        <v>87.673967356378313</v>
      </c>
      <c r="BI97" s="42" t="str">
        <f t="shared" si="101"/>
        <v>15.9405863419737+1566.03164852731i</v>
      </c>
      <c r="BJ97" s="20">
        <f t="shared" si="149"/>
        <v>63.89646064790378</v>
      </c>
      <c r="BK97" s="44">
        <f t="shared" si="102"/>
        <v>89.416808223870405</v>
      </c>
      <c r="BL97">
        <f t="shared" si="150"/>
        <v>54.921022981780453</v>
      </c>
      <c r="BM97" s="44">
        <f t="shared" si="151"/>
        <v>87.673967356378313</v>
      </c>
    </row>
    <row r="98" spans="14:65" x14ac:dyDescent="0.35">
      <c r="N98" s="9">
        <v>80</v>
      </c>
      <c r="O98" s="35">
        <f t="shared" si="115"/>
        <v>63.095734448019364</v>
      </c>
      <c r="P98" s="34" t="str">
        <f t="shared" si="103"/>
        <v>16.3709677419355</v>
      </c>
      <c r="Q98" s="4" t="str">
        <f t="shared" si="104"/>
        <v>1+0.05831536754292i</v>
      </c>
      <c r="R98" s="4">
        <f t="shared" si="116"/>
        <v>1.0016988979187638</v>
      </c>
      <c r="S98" s="4">
        <f t="shared" si="117"/>
        <v>5.8249398086695027E-2</v>
      </c>
      <c r="T98" s="4" t="str">
        <f t="shared" si="105"/>
        <v>1+0.00006343075066072i</v>
      </c>
      <c r="U98" s="4">
        <f t="shared" si="118"/>
        <v>1.0000000020117301</v>
      </c>
      <c r="V98" s="4">
        <f t="shared" si="119"/>
        <v>6.3430750575649641E-5</v>
      </c>
      <c r="W98" t="str">
        <f t="shared" si="106"/>
        <v>1-0.00083010140533034i</v>
      </c>
      <c r="X98" s="4">
        <f t="shared" si="120"/>
        <v>1.0000003445341121</v>
      </c>
      <c r="Y98" s="4">
        <f t="shared" si="121"/>
        <v>-8.3010121466488556E-4</v>
      </c>
      <c r="Z98" t="str">
        <f t="shared" si="107"/>
        <v>0.999999996555049+0.000163479391428521i</v>
      </c>
      <c r="AA98" s="4">
        <f t="shared" si="122"/>
        <v>1.0000000099178048</v>
      </c>
      <c r="AB98" s="4">
        <f t="shared" si="123"/>
        <v>1.6347939053534274E-4</v>
      </c>
      <c r="AC98" s="48" t="str">
        <f t="shared" si="124"/>
        <v>16.3145974169802-0.966619200881438i</v>
      </c>
      <c r="AD98" s="20">
        <f t="shared" si="125"/>
        <v>24.266746059767907</v>
      </c>
      <c r="AE98" s="44">
        <f t="shared" si="126"/>
        <v>-3.3907383305297234</v>
      </c>
      <c r="AF98" t="str">
        <f t="shared" si="127"/>
        <v>45.9520231294187</v>
      </c>
      <c r="AG98" t="str">
        <f t="shared" si="108"/>
        <v>1+0.0279841547032588i</v>
      </c>
      <c r="AH98">
        <f t="shared" si="128"/>
        <v>1.0003914798289997</v>
      </c>
      <c r="AI98">
        <f t="shared" si="129"/>
        <v>2.7976853216035821E-2</v>
      </c>
      <c r="AJ98" t="str">
        <f t="shared" si="109"/>
        <v>1+0.00006343075066072i</v>
      </c>
      <c r="AK98">
        <f t="shared" si="130"/>
        <v>1.0000000020117301</v>
      </c>
      <c r="AL98">
        <f t="shared" si="131"/>
        <v>6.3430750575649641E-5</v>
      </c>
      <c r="AM98" t="str">
        <f t="shared" si="110"/>
        <v>1-0.000141915385948472i</v>
      </c>
      <c r="AN98">
        <f t="shared" si="132"/>
        <v>1.0000000100699884</v>
      </c>
      <c r="AO98">
        <f t="shared" si="133"/>
        <v>-1.4191538499574782E-4</v>
      </c>
      <c r="AP98" s="42" t="str">
        <f t="shared" si="134"/>
        <v>45.9159652320854-1.28852600218018i</v>
      </c>
      <c r="AQ98">
        <f t="shared" si="135"/>
        <v>33.242693156227737</v>
      </c>
      <c r="AR98" s="44">
        <f t="shared" si="136"/>
        <v>-1.6074524516447595</v>
      </c>
      <c r="AS98" t="str">
        <f t="shared" si="111"/>
        <v>-0.000166666666666667</v>
      </c>
      <c r="AT98" t="str">
        <f t="shared" si="112"/>
        <v>5.00310045836429E-06i</v>
      </c>
      <c r="AU98">
        <f t="shared" si="137"/>
        <v>5.0031004583642904E-6</v>
      </c>
      <c r="AV98">
        <f t="shared" si="138"/>
        <v>1.5707963267948966</v>
      </c>
      <c r="AW98" t="str">
        <f t="shared" si="113"/>
        <v>1+0.000911502902719618i</v>
      </c>
      <c r="AX98">
        <f t="shared" si="139"/>
        <v>1.0000004154186846</v>
      </c>
      <c r="AY98">
        <f t="shared" si="140"/>
        <v>9.1150265028280028E-4</v>
      </c>
      <c r="AZ98" t="str">
        <f t="shared" si="114"/>
        <v>1+0.0185534945682606i</v>
      </c>
      <c r="BA98">
        <f t="shared" si="141"/>
        <v>1.0001721012709235</v>
      </c>
      <c r="BB98">
        <f t="shared" si="142"/>
        <v>1.8551366104680122E-2</v>
      </c>
      <c r="BC98" s="42" t="str">
        <f t="shared" si="143"/>
        <v>-0.587701471475551+33.3132121116819i</v>
      </c>
      <c r="BD98">
        <f t="shared" si="144"/>
        <v>30.453681642749988</v>
      </c>
      <c r="BE98" s="44">
        <f t="shared" si="145"/>
        <v>91.010689727124031</v>
      </c>
      <c r="BF98" s="42" t="str">
        <f t="shared" si="146"/>
        <v>22.6130775616973+544.059727795273i</v>
      </c>
      <c r="BG98" s="20">
        <f t="shared" si="147"/>
        <v>54.720427702517888</v>
      </c>
      <c r="BH98" s="44">
        <f t="shared" si="148"/>
        <v>87.619951396594303</v>
      </c>
      <c r="BI98" s="42" t="str">
        <f t="shared" si="101"/>
        <v>15.940059690929+1530.36555771659i</v>
      </c>
      <c r="BJ98" s="20">
        <f t="shared" si="149"/>
        <v>63.696374798977743</v>
      </c>
      <c r="BK98" s="44">
        <f t="shared" si="102"/>
        <v>89.40323727547927</v>
      </c>
      <c r="BL98">
        <f t="shared" si="150"/>
        <v>54.720427702517888</v>
      </c>
      <c r="BM98" s="44">
        <f t="shared" si="151"/>
        <v>87.619951396594303</v>
      </c>
    </row>
    <row r="99" spans="14:65" x14ac:dyDescent="0.35">
      <c r="N99" s="9">
        <v>81</v>
      </c>
      <c r="O99" s="35">
        <f t="shared" si="115"/>
        <v>64.565422903465588</v>
      </c>
      <c r="P99" s="34" t="str">
        <f t="shared" si="103"/>
        <v>16.3709677419355</v>
      </c>
      <c r="Q99" s="4" t="str">
        <f t="shared" si="104"/>
        <v>1+0.0596737069489465i</v>
      </c>
      <c r="R99" s="4">
        <f t="shared" si="116"/>
        <v>1.0017788934196152</v>
      </c>
      <c r="S99" s="4">
        <f t="shared" si="117"/>
        <v>5.9603026180599088E-2</v>
      </c>
      <c r="T99" s="4" t="str">
        <f t="shared" si="105"/>
        <v>1+0.0000649082426462226i</v>
      </c>
      <c r="U99" s="4">
        <f t="shared" si="118"/>
        <v>1.0000000021065398</v>
      </c>
      <c r="V99" s="4">
        <f t="shared" si="119"/>
        <v>6.4908242555068054E-5</v>
      </c>
      <c r="W99" t="str">
        <f t="shared" si="106"/>
        <v>1-0.000849436950956943i</v>
      </c>
      <c r="X99" s="4">
        <f t="shared" si="120"/>
        <v>1.0000003607715018</v>
      </c>
      <c r="Y99" s="4">
        <f t="shared" si="121"/>
        <v>-8.4943674665523164E-4</v>
      </c>
      <c r="Z99" t="str">
        <f t="shared" si="107"/>
        <v>0.999999996392693+0.000167287315631128i</v>
      </c>
      <c r="AA99" s="4">
        <f t="shared" si="122"/>
        <v>1.000000010385216</v>
      </c>
      <c r="AB99" s="4">
        <f t="shared" si="123"/>
        <v>1.6728731467407032E-4</v>
      </c>
      <c r="AC99" s="48" t="str">
        <f t="shared" si="124"/>
        <v>16.3119501920515-0.988976684731518i</v>
      </c>
      <c r="AD99" s="20">
        <f t="shared" si="125"/>
        <v>24.266052571618488</v>
      </c>
      <c r="AE99" s="44">
        <f t="shared" si="126"/>
        <v>-3.4695368756456211</v>
      </c>
      <c r="AF99" t="str">
        <f t="shared" si="127"/>
        <v>45.9520231294187</v>
      </c>
      <c r="AG99" t="str">
        <f t="shared" si="108"/>
        <v>1+0.0286359894027452i</v>
      </c>
      <c r="AH99">
        <f t="shared" si="128"/>
        <v>1.0004099259249051</v>
      </c>
      <c r="AI99">
        <f t="shared" si="129"/>
        <v>2.8628165891361051E-2</v>
      </c>
      <c r="AJ99" t="str">
        <f t="shared" si="109"/>
        <v>1+0.0000649082426462226i</v>
      </c>
      <c r="AK99">
        <f t="shared" si="130"/>
        <v>1.0000000021065398</v>
      </c>
      <c r="AL99">
        <f t="shared" si="131"/>
        <v>6.4908242555068054E-5</v>
      </c>
      <c r="AM99" t="str">
        <f t="shared" si="110"/>
        <v>1-0.00014522101993789i</v>
      </c>
      <c r="AN99">
        <f t="shared" si="132"/>
        <v>1.0000000105445723</v>
      </c>
      <c r="AO99">
        <f t="shared" si="133"/>
        <v>-1.4522101891702765E-4</v>
      </c>
      <c r="AP99" s="42" t="str">
        <f t="shared" si="134"/>
        <v>45.9142672681026-1.31849100552389i</v>
      </c>
      <c r="AQ99">
        <f t="shared" si="135"/>
        <v>33.242533004595352</v>
      </c>
      <c r="AR99" s="44">
        <f t="shared" si="136"/>
        <v>-1.6448746639018834</v>
      </c>
      <c r="AS99" t="str">
        <f t="shared" si="111"/>
        <v>-0.000166666666666667</v>
      </c>
      <c r="AT99" t="str">
        <f t="shared" si="112"/>
        <v>5.11963763872081E-06i</v>
      </c>
      <c r="AU99">
        <f t="shared" si="137"/>
        <v>5.1196376387208102E-6</v>
      </c>
      <c r="AV99">
        <f t="shared" si="138"/>
        <v>1.5707963267948966</v>
      </c>
      <c r="AW99" t="str">
        <f t="shared" si="113"/>
        <v>1+0.000932734532796551i</v>
      </c>
      <c r="AX99">
        <f t="shared" si="139"/>
        <v>1.0000004349967597</v>
      </c>
      <c r="AY99">
        <f t="shared" si="140"/>
        <v>9.3273426230563365E-4</v>
      </c>
      <c r="AZ99" t="str">
        <f t="shared" si="114"/>
        <v>1+0.0189856609740201i</v>
      </c>
      <c r="BA99">
        <f t="shared" si="141"/>
        <v>1.0001802114232317</v>
      </c>
      <c r="BB99">
        <f t="shared" si="142"/>
        <v>1.8983380306396538E-2</v>
      </c>
      <c r="BC99" s="42" t="str">
        <f t="shared" si="143"/>
        <v>-0.587701448463435+32.5549354967997i</v>
      </c>
      <c r="BD99">
        <f t="shared" si="144"/>
        <v>30.253751904178007</v>
      </c>
      <c r="BE99" s="44">
        <f t="shared" si="145"/>
        <v>91.034225835810915</v>
      </c>
      <c r="BF99" s="42" t="str">
        <f t="shared" si="146"/>
        <v>22.6095154241413+531.615709359359i</v>
      </c>
      <c r="BG99" s="20">
        <f t="shared" si="147"/>
        <v>54.519804475796477</v>
      </c>
      <c r="BH99" s="44">
        <f t="shared" si="148"/>
        <v>87.564688960165313</v>
      </c>
      <c r="BI99" s="42" t="str">
        <f t="shared" si="101"/>
        <v>15.9395082593396+1495.51088836963i</v>
      </c>
      <c r="BJ99" s="20">
        <f t="shared" si="149"/>
        <v>63.496284908773326</v>
      </c>
      <c r="BK99" s="44">
        <f t="shared" si="102"/>
        <v>89.389351171909041</v>
      </c>
      <c r="BL99">
        <f t="shared" si="150"/>
        <v>54.519804475796477</v>
      </c>
      <c r="BM99" s="44">
        <f t="shared" si="151"/>
        <v>87.564688960165313</v>
      </c>
    </row>
    <row r="100" spans="14:65" x14ac:dyDescent="0.35">
      <c r="N100" s="9">
        <v>82</v>
      </c>
      <c r="O100" s="35">
        <f t="shared" si="115"/>
        <v>66.069344800759623</v>
      </c>
      <c r="P100" s="34" t="str">
        <f t="shared" si="103"/>
        <v>16.3709677419355</v>
      </c>
      <c r="Q100" s="4" t="str">
        <f t="shared" si="104"/>
        <v>1+0.0610636861442724i</v>
      </c>
      <c r="R100" s="4">
        <f t="shared" si="116"/>
        <v>1.0018626521462541</v>
      </c>
      <c r="S100" s="4">
        <f t="shared" si="117"/>
        <v>6.098795793924322E-2</v>
      </c>
      <c r="T100" s="4" t="str">
        <f t="shared" si="105"/>
        <v>1+0.0000664201498411384i</v>
      </c>
      <c r="U100" s="4">
        <f t="shared" si="118"/>
        <v>1.0000000022058182</v>
      </c>
      <c r="V100" s="4">
        <f t="shared" si="119"/>
        <v>6.6420149743464554E-5</v>
      </c>
      <c r="W100" t="str">
        <f t="shared" si="106"/>
        <v>1-0.000869222879298571i</v>
      </c>
      <c r="X100" s="4">
        <f t="shared" si="120"/>
        <v>1.0000003777741355</v>
      </c>
      <c r="Y100" s="4">
        <f t="shared" si="121"/>
        <v>-8.6922266038534765E-4</v>
      </c>
      <c r="Z100" t="str">
        <f t="shared" si="107"/>
        <v>0.999999996222686+0.000171183937782792i</v>
      </c>
      <c r="AA100" s="4">
        <f t="shared" si="122"/>
        <v>1.0000000108746563</v>
      </c>
      <c r="AB100" s="4">
        <f t="shared" si="123"/>
        <v>1.7118393675728621E-4</v>
      </c>
      <c r="AC100" s="48" t="str">
        <f t="shared" si="124"/>
        <v>16.3091791133422-1.01184369872367i</v>
      </c>
      <c r="AD100" s="20">
        <f t="shared" si="125"/>
        <v>24.265326519095701</v>
      </c>
      <c r="AE100" s="44">
        <f t="shared" si="126"/>
        <v>-3.550157903778921</v>
      </c>
      <c r="AF100" t="str">
        <f t="shared" si="127"/>
        <v>45.9520231294187</v>
      </c>
      <c r="AG100" t="str">
        <f t="shared" si="108"/>
        <v>1+0.0293030072828551i</v>
      </c>
      <c r="AH100">
        <f t="shared" si="128"/>
        <v>1.0004292409939941</v>
      </c>
      <c r="AI100">
        <f t="shared" si="129"/>
        <v>2.9294624433619305E-2</v>
      </c>
      <c r="AJ100" t="str">
        <f t="shared" si="109"/>
        <v>1+0.0000664201498411384i</v>
      </c>
      <c r="AK100">
        <f t="shared" si="130"/>
        <v>1.0000000022058182</v>
      </c>
      <c r="AL100">
        <f t="shared" si="131"/>
        <v>6.6420149743464554E-5</v>
      </c>
      <c r="AM100" t="str">
        <f t="shared" si="110"/>
        <v>1-0.000148603652034307i</v>
      </c>
      <c r="AN100">
        <f t="shared" si="132"/>
        <v>1.0000000110415226</v>
      </c>
      <c r="AO100">
        <f t="shared" si="133"/>
        <v>-1.4860365094043328E-4</v>
      </c>
      <c r="AP100" s="42" t="str">
        <f t="shared" si="134"/>
        <v>45.9124894157601-1.34915050991766i</v>
      </c>
      <c r="AQ100">
        <f t="shared" si="135"/>
        <v>33.242365311579043</v>
      </c>
      <c r="AR100" s="44">
        <f t="shared" si="136"/>
        <v>-1.6831671102313968</v>
      </c>
      <c r="AS100" t="str">
        <f t="shared" si="111"/>
        <v>-0.000166666666666667</v>
      </c>
      <c r="AT100" t="str">
        <f t="shared" si="112"/>
        <v>5.23888931871979E-06i</v>
      </c>
      <c r="AU100">
        <f t="shared" si="137"/>
        <v>5.2388893187197903E-6</v>
      </c>
      <c r="AV100">
        <f t="shared" si="138"/>
        <v>1.5707963267948966</v>
      </c>
      <c r="AW100" t="str">
        <f t="shared" si="113"/>
        <v>1+0.000954460711068974i</v>
      </c>
      <c r="AX100">
        <f t="shared" si="139"/>
        <v>1.0000004554975208</v>
      </c>
      <c r="AY100">
        <f t="shared" si="140"/>
        <v>9.5446042123274136E-4</v>
      </c>
      <c r="AZ100" t="str">
        <f t="shared" si="114"/>
        <v>1+0.019427893828533i</v>
      </c>
      <c r="BA100">
        <f t="shared" si="141"/>
        <v>1.0001887037247585</v>
      </c>
      <c r="BB100">
        <f t="shared" si="142"/>
        <v>1.9425450074046353E-2</v>
      </c>
      <c r="BC100" s="42" t="str">
        <f t="shared" si="143"/>
        <v>-0.587701424366793+31.8139199396314i</v>
      </c>
      <c r="BD100">
        <f t="shared" si="144"/>
        <v>30.053825475700901</v>
      </c>
      <c r="BE100" s="44">
        <f t="shared" si="145"/>
        <v>91.058309750536026</v>
      </c>
      <c r="BF100" s="42" t="str">
        <f t="shared" si="146"/>
        <v>22.605786627451+519.453580575954i</v>
      </c>
      <c r="BG100" s="20">
        <f t="shared" si="147"/>
        <v>54.319151994796606</v>
      </c>
      <c r="BH100" s="44">
        <f t="shared" si="148"/>
        <v>87.508151846757116</v>
      </c>
      <c r="BI100" s="42" t="str">
        <f t="shared" si="101"/>
        <v>15.9389308831658+1461.44916017853i</v>
      </c>
      <c r="BJ100" s="20">
        <f t="shared" si="149"/>
        <v>63.296190787279947</v>
      </c>
      <c r="BK100" s="44">
        <f t="shared" si="102"/>
        <v>89.375142640304645</v>
      </c>
      <c r="BL100">
        <f t="shared" si="150"/>
        <v>54.319151994796606</v>
      </c>
      <c r="BM100" s="44">
        <f t="shared" si="151"/>
        <v>87.508151846757116</v>
      </c>
    </row>
    <row r="101" spans="14:65" x14ac:dyDescent="0.35">
      <c r="N101" s="9">
        <v>83</v>
      </c>
      <c r="O101" s="35">
        <f t="shared" si="115"/>
        <v>67.60829753919819</v>
      </c>
      <c r="P101" s="34" t="str">
        <f t="shared" si="103"/>
        <v>16.3709677419355</v>
      </c>
      <c r="Q101" s="4" t="str">
        <f t="shared" si="104"/>
        <v>1+0.0624860421142653i</v>
      </c>
      <c r="R101" s="4">
        <f t="shared" si="116"/>
        <v>1.0019503507954404</v>
      </c>
      <c r="S101" s="4">
        <f t="shared" si="117"/>
        <v>6.240490640898113E-2</v>
      </c>
      <c r="T101" s="4" t="str">
        <f t="shared" si="105"/>
        <v>1+0.0000679672738786746i</v>
      </c>
      <c r="U101" s="4">
        <f t="shared" si="118"/>
        <v>1.000000002309775</v>
      </c>
      <c r="V101" s="4">
        <f t="shared" si="119"/>
        <v>6.7967273774015185E-5</v>
      </c>
      <c r="W101" t="str">
        <f t="shared" si="106"/>
        <v>1-0.000889469681116327i</v>
      </c>
      <c r="X101" s="4">
        <f t="shared" si="120"/>
        <v>1.0000003955780785</v>
      </c>
      <c r="Y101" s="4">
        <f t="shared" si="121"/>
        <v>-8.8946944654658708E-4</v>
      </c>
      <c r="Z101" t="str">
        <f t="shared" si="107"/>
        <v>0.999999996044667+0.000175171323924155i</v>
      </c>
      <c r="AA101" s="4">
        <f t="shared" si="122"/>
        <v>1.0000000113871634</v>
      </c>
      <c r="AB101" s="4">
        <f t="shared" si="123"/>
        <v>1.7517132282530567E-4</v>
      </c>
      <c r="AC101" s="48" t="str">
        <f t="shared" si="124"/>
        <v>16.3062784307224-1.03523131399972i</v>
      </c>
      <c r="AD101" s="20">
        <f t="shared" si="125"/>
        <v>24.264566378897861</v>
      </c>
      <c r="AE101" s="44">
        <f t="shared" si="126"/>
        <v>-3.632642942993844</v>
      </c>
      <c r="AF101" t="str">
        <f t="shared" si="127"/>
        <v>45.9520231294187</v>
      </c>
      <c r="AG101" t="str">
        <f t="shared" si="108"/>
        <v>1+0.0299855620052975i</v>
      </c>
      <c r="AH101">
        <f t="shared" si="128"/>
        <v>1.0004494659545646</v>
      </c>
      <c r="AI101">
        <f t="shared" si="129"/>
        <v>2.9976579838444938E-2</v>
      </c>
      <c r="AJ101" t="str">
        <f t="shared" si="109"/>
        <v>1+0.0000679672738786746i</v>
      </c>
      <c r="AK101">
        <f t="shared" si="130"/>
        <v>1.000000002309775</v>
      </c>
      <c r="AL101">
        <f t="shared" si="131"/>
        <v>6.7967273774015185E-5</v>
      </c>
      <c r="AM101" t="str">
        <f t="shared" si="110"/>
        <v>1-0.000152065075754034i</v>
      </c>
      <c r="AN101">
        <f t="shared" si="132"/>
        <v>1.0000000115618937</v>
      </c>
      <c r="AO101">
        <f t="shared" si="133"/>
        <v>-1.520650745819272E-4</v>
      </c>
      <c r="AP101" s="42" t="str">
        <f t="shared" si="134"/>
        <v>45.9106279229677-1.3805204444232i</v>
      </c>
      <c r="AQ101">
        <f t="shared" si="135"/>
        <v>33.242189722374548</v>
      </c>
      <c r="AR101" s="44">
        <f t="shared" si="136"/>
        <v>-1.7223499580324746</v>
      </c>
      <c r="AS101" t="str">
        <f t="shared" si="111"/>
        <v>-0.000166666666666667</v>
      </c>
      <c r="AT101" t="str">
        <f t="shared" si="112"/>
        <v>5.36091872718045E-06i</v>
      </c>
      <c r="AU101">
        <f t="shared" si="137"/>
        <v>5.3609187271804498E-6</v>
      </c>
      <c r="AV101">
        <f t="shared" si="138"/>
        <v>1.5707963267948966</v>
      </c>
      <c r="AW101" t="str">
        <f t="shared" si="113"/>
        <v>1+0.000976692957044187i</v>
      </c>
      <c r="AX101">
        <f t="shared" si="139"/>
        <v>1.0000004769644524</v>
      </c>
      <c r="AY101">
        <f t="shared" si="140"/>
        <v>9.7669264647907658E-4</v>
      </c>
      <c r="AZ101" t="str">
        <f t="shared" si="114"/>
        <v>1+0.0198804276095123i</v>
      </c>
      <c r="BA101">
        <f t="shared" si="141"/>
        <v>1.0001975961788436</v>
      </c>
      <c r="BB101">
        <f t="shared" si="142"/>
        <v>1.9877809107341091E-2</v>
      </c>
      <c r="BC101" s="42" t="str">
        <f t="shared" si="143"/>
        <v>-0.587701399134513+31.0897725439199i</v>
      </c>
      <c r="BD101">
        <f t="shared" si="144"/>
        <v>29.853902513200566</v>
      </c>
      <c r="BE101" s="44">
        <f t="shared" si="145"/>
        <v>91.082954201292637</v>
      </c>
      <c r="BF101" s="42" t="str">
        <f t="shared" si="146"/>
        <v>22.6018834341821+507.566894340652i</v>
      </c>
      <c r="BG101" s="20">
        <f t="shared" si="147"/>
        <v>54.118468892098434</v>
      </c>
      <c r="BH101" s="44">
        <f t="shared" si="148"/>
        <v>87.450311258298797</v>
      </c>
      <c r="BI101" s="42" t="str">
        <f t="shared" si="101"/>
        <v>15.9383263438763+1428.16231327032i</v>
      </c>
      <c r="BJ101" s="20">
        <f t="shared" si="149"/>
        <v>63.096092235575085</v>
      </c>
      <c r="BK101" s="44">
        <f t="shared" si="102"/>
        <v>89.36060424326017</v>
      </c>
      <c r="BL101">
        <f t="shared" si="150"/>
        <v>54.118468892098434</v>
      </c>
      <c r="BM101" s="44">
        <f t="shared" si="151"/>
        <v>87.450311258298797</v>
      </c>
    </row>
    <row r="102" spans="14:65" x14ac:dyDescent="0.35">
      <c r="N102" s="9">
        <v>84</v>
      </c>
      <c r="O102" s="35">
        <f t="shared" si="115"/>
        <v>69.183097091893657</v>
      </c>
      <c r="P102" s="34" t="str">
        <f t="shared" si="103"/>
        <v>16.3709677419355</v>
      </c>
      <c r="Q102" s="4" t="str">
        <f t="shared" si="104"/>
        <v>1+0.0639415290108877i</v>
      </c>
      <c r="R102" s="4">
        <f t="shared" si="116"/>
        <v>1.0020421743281318</v>
      </c>
      <c r="S102" s="4">
        <f t="shared" si="117"/>
        <v>6.3854600102854125E-2</v>
      </c>
      <c r="T102" s="4" t="str">
        <f t="shared" si="105"/>
        <v>1+0.0000695504350644744i</v>
      </c>
      <c r="U102" s="4">
        <f t="shared" si="118"/>
        <v>1.0000000024186315</v>
      </c>
      <c r="V102" s="4">
        <f t="shared" si="119"/>
        <v>6.9550434952329819E-5</v>
      </c>
      <c r="W102" t="str">
        <f t="shared" si="106"/>
        <v>1-0.000910188091532534i</v>
      </c>
      <c r="X102" s="4">
        <f t="shared" si="120"/>
        <v>1.0000004142210952</v>
      </c>
      <c r="Y102" s="4">
        <f t="shared" si="121"/>
        <v>-9.1018784018653473E-4</v>
      </c>
      <c r="Z102" t="str">
        <f t="shared" si="107"/>
        <v>0.999999995858258+0.00017925158822013i</v>
      </c>
      <c r="AA102" s="4">
        <f t="shared" si="122"/>
        <v>1.0000000119238239</v>
      </c>
      <c r="AB102" s="4">
        <f t="shared" si="123"/>
        <v>1.792515870426917E-4</v>
      </c>
      <c r="AC102" s="48" t="str">
        <f t="shared" si="124"/>
        <v>16.3032421313792-1.05915080337084i</v>
      </c>
      <c r="AD102" s="20">
        <f t="shared" si="125"/>
        <v>24.263770557026653</v>
      </c>
      <c r="AE102" s="44">
        <f t="shared" si="126"/>
        <v>-3.7170344232184864</v>
      </c>
      <c r="AF102" t="str">
        <f t="shared" si="127"/>
        <v>45.9520231294187</v>
      </c>
      <c r="AG102" t="str">
        <f t="shared" si="108"/>
        <v>1+0.030684015469621i</v>
      </c>
      <c r="AH102">
        <f t="shared" si="128"/>
        <v>1.0004706436499473</v>
      </c>
      <c r="AI102">
        <f t="shared" si="129"/>
        <v>3.0674391148949924E-2</v>
      </c>
      <c r="AJ102" t="str">
        <f t="shared" si="109"/>
        <v>1+0.0000695504350644744i</v>
      </c>
      <c r="AK102">
        <f t="shared" si="130"/>
        <v>1.0000000024186315</v>
      </c>
      <c r="AL102">
        <f t="shared" si="131"/>
        <v>6.9550434952329819E-5</v>
      </c>
      <c r="AM102" t="str">
        <f t="shared" si="110"/>
        <v>1-0.000155607126389745i</v>
      </c>
      <c r="AN102">
        <f t="shared" si="132"/>
        <v>1.0000000121067889</v>
      </c>
      <c r="AO102">
        <f t="shared" si="133"/>
        <v>-1.5560712513380993E-4</v>
      </c>
      <c r="AP102" s="42" t="str">
        <f t="shared" si="134"/>
        <v>45.9086788620494-1.41261709146321i</v>
      </c>
      <c r="AQ102">
        <f t="shared" si="135"/>
        <v>33.242005865514919</v>
      </c>
      <c r="AR102" s="44">
        <f t="shared" si="136"/>
        <v>-1.7624438371145466</v>
      </c>
      <c r="AS102" t="str">
        <f t="shared" si="111"/>
        <v>-0.000166666666666667</v>
      </c>
      <c r="AT102" t="str">
        <f t="shared" si="112"/>
        <v>5.48579056571042E-06i</v>
      </c>
      <c r="AU102">
        <f t="shared" si="137"/>
        <v>5.4857905657104197E-6</v>
      </c>
      <c r="AV102">
        <f t="shared" si="138"/>
        <v>1.5707963267948966</v>
      </c>
      <c r="AW102" t="str">
        <f t="shared" si="113"/>
        <v>1+0.000999443058553284i</v>
      </c>
      <c r="AX102">
        <f t="shared" si="139"/>
        <v>1.0000004994430889</v>
      </c>
      <c r="AY102">
        <f t="shared" si="140"/>
        <v>9.9944272577678146E-4</v>
      </c>
      <c r="AZ102" t="str">
        <f t="shared" si="114"/>
        <v>1+0.0203435022563587i</v>
      </c>
      <c r="BA102">
        <f t="shared" si="141"/>
        <v>1.0002069076366422</v>
      </c>
      <c r="BB102">
        <f t="shared" si="142"/>
        <v>2.0340696512078135E-2</v>
      </c>
      <c r="BC102" s="42" t="str">
        <f t="shared" si="143"/>
        <v>-0.587701372713071+30.3821093571307i</v>
      </c>
      <c r="BD102">
        <f t="shared" si="144"/>
        <v>29.653983179894034</v>
      </c>
      <c r="BE102" s="44">
        <f t="shared" si="145"/>
        <v>91.10817221244649</v>
      </c>
      <c r="BF102" s="42" t="str">
        <f t="shared" si="146"/>
        <v>22.5977977534206+495.949349692395i</v>
      </c>
      <c r="BG102" s="20">
        <f t="shared" si="147"/>
        <v>53.917753736920695</v>
      </c>
      <c r="BH102" s="44">
        <f t="shared" si="148"/>
        <v>87.391137789228011</v>
      </c>
      <c r="BI102" s="42" t="str">
        <f t="shared" si="101"/>
        <v>15.9376933659172+1395.63269863195i</v>
      </c>
      <c r="BJ102" s="20">
        <f t="shared" si="149"/>
        <v>62.895989045408953</v>
      </c>
      <c r="BK102" s="44">
        <f t="shared" si="102"/>
        <v>89.345728375331944</v>
      </c>
      <c r="BL102">
        <f t="shared" si="150"/>
        <v>53.917753736920695</v>
      </c>
      <c r="BM102" s="44">
        <f t="shared" si="151"/>
        <v>87.391137789228011</v>
      </c>
    </row>
    <row r="103" spans="14:65" x14ac:dyDescent="0.35">
      <c r="N103" s="9">
        <v>85</v>
      </c>
      <c r="O103" s="35">
        <f t="shared" si="115"/>
        <v>70.794578438413865</v>
      </c>
      <c r="P103" s="34" t="str">
        <f t="shared" si="103"/>
        <v>16.3709677419355</v>
      </c>
      <c r="Q103" s="4" t="str">
        <f t="shared" si="104"/>
        <v>1+0.0654309185525581i</v>
      </c>
      <c r="R103" s="4">
        <f t="shared" si="116"/>
        <v>1.0021383163529032</v>
      </c>
      <c r="S103" s="4">
        <f t="shared" si="117"/>
        <v>6.5337783280354542E-2</v>
      </c>
      <c r="T103" s="4" t="str">
        <f t="shared" si="105"/>
        <v>1+0.0000711704728115544i</v>
      </c>
      <c r="U103" s="4">
        <f t="shared" si="118"/>
        <v>1.0000000025326181</v>
      </c>
      <c r="V103" s="4">
        <f t="shared" si="119"/>
        <v>7.1170472691389324E-5</v>
      </c>
      <c r="W103" t="str">
        <f t="shared" si="106"/>
        <v>1-0.000931389095722637i</v>
      </c>
      <c r="X103" s="4">
        <f t="shared" si="120"/>
        <v>1.0000004337427297</v>
      </c>
      <c r="Y103" s="4">
        <f t="shared" si="121"/>
        <v>-9.3138882640055281E-4</v>
      </c>
      <c r="Z103" t="str">
        <f t="shared" si="107"/>
        <v>0.999999995663063+0.000183426894080855i</v>
      </c>
      <c r="AA103" s="4">
        <f t="shared" si="122"/>
        <v>1.0000000124857757</v>
      </c>
      <c r="AB103" s="4">
        <f t="shared" si="123"/>
        <v>1.8342689281920728E-4</v>
      </c>
      <c r="AC103" s="48" t="str">
        <f t="shared" si="124"/>
        <v>16.3000639282282-1.08361364209341i</v>
      </c>
      <c r="AD103" s="20">
        <f t="shared" si="125"/>
        <v>24.262937385560036</v>
      </c>
      <c r="AE103" s="44">
        <f t="shared" si="126"/>
        <v>-3.8033756926397277</v>
      </c>
      <c r="AF103" t="str">
        <f t="shared" si="127"/>
        <v>45.9520231294187</v>
      </c>
      <c r="AG103" t="str">
        <f t="shared" si="108"/>
        <v>1+0.0313987380050975i</v>
      </c>
      <c r="AH103">
        <f t="shared" si="128"/>
        <v>1.0004928189389031</v>
      </c>
      <c r="AI103">
        <f t="shared" si="129"/>
        <v>3.1388425634031221E-2</v>
      </c>
      <c r="AJ103" t="str">
        <f t="shared" si="109"/>
        <v>1+0.0000711704728115544i</v>
      </c>
      <c r="AK103">
        <f t="shared" si="130"/>
        <v>1.0000000025326181</v>
      </c>
      <c r="AL103">
        <f t="shared" si="131"/>
        <v>7.1170472691389324E-5</v>
      </c>
      <c r="AM103" t="str">
        <f t="shared" si="110"/>
        <v>1-0.000159231681983572i</v>
      </c>
      <c r="AN103">
        <f t="shared" si="132"/>
        <v>1.0000000126773643</v>
      </c>
      <c r="AO103">
        <f t="shared" si="133"/>
        <v>-1.5923168063781333E-4</v>
      </c>
      <c r="AP103" s="42" t="str">
        <f t="shared" si="134"/>
        <v>45.9066381215886-1.44545709379526i</v>
      </c>
      <c r="AQ103">
        <f t="shared" si="135"/>
        <v>33.241813352090965</v>
      </c>
      <c r="AR103" s="44">
        <f t="shared" si="136"/>
        <v>-1.8034698499443897</v>
      </c>
      <c r="AS103" t="str">
        <f t="shared" si="111"/>
        <v>-0.000166666666666667</v>
      </c>
      <c r="AT103" t="str">
        <f t="shared" si="112"/>
        <v>5.61357104301135E-06i</v>
      </c>
      <c r="AU103">
        <f t="shared" si="137"/>
        <v>5.6135710430113503E-6</v>
      </c>
      <c r="AV103">
        <f t="shared" si="138"/>
        <v>1.5707963267948966</v>
      </c>
      <c r="AW103" t="str">
        <f t="shared" si="113"/>
        <v>1+0.00102272307800122i</v>
      </c>
      <c r="AX103">
        <f t="shared" si="139"/>
        <v>1.0000005229811104</v>
      </c>
      <c r="AY103">
        <f t="shared" si="140"/>
        <v>1.0227227214247832E-3</v>
      </c>
      <c r="AZ103" t="str">
        <f t="shared" si="114"/>
        <v>1+0.0208173632973796i</v>
      </c>
      <c r="BA103">
        <f t="shared" si="141"/>
        <v>1.0002166578370184</v>
      </c>
      <c r="BB103">
        <f t="shared" si="142"/>
        <v>2.0814356923388021E-2</v>
      </c>
      <c r="BC103" s="42" t="str">
        <f t="shared" si="143"/>
        <v>-0.587701345046431+29.6905551668749i</v>
      </c>
      <c r="BD103">
        <f t="shared" si="144"/>
        <v>29.454067646677991</v>
      </c>
      <c r="BE103" s="44">
        <f t="shared" si="145"/>
        <v>91.133977109439257</v>
      </c>
      <c r="BF103" s="42" t="str">
        <f t="shared" si="146"/>
        <v>22.5935211251901+484.594788479616i</v>
      </c>
      <c r="BG103" s="20">
        <f t="shared" si="147"/>
        <v>53.717005032238028</v>
      </c>
      <c r="BH103" s="44">
        <f t="shared" si="148"/>
        <v>87.330601416799539</v>
      </c>
      <c r="BI103" s="42" t="str">
        <f t="shared" si="101"/>
        <v>15.9370306140615+1363.84306875302i</v>
      </c>
      <c r="BJ103" s="20">
        <f t="shared" si="149"/>
        <v>62.69588099876897</v>
      </c>
      <c r="BK103" s="44">
        <f t="shared" si="102"/>
        <v>89.33050725949488</v>
      </c>
      <c r="BL103">
        <f t="shared" si="150"/>
        <v>53.717005032238028</v>
      </c>
      <c r="BM103" s="44">
        <f t="shared" si="151"/>
        <v>87.330601416799539</v>
      </c>
    </row>
    <row r="104" spans="14:65" x14ac:dyDescent="0.35">
      <c r="N104" s="9">
        <v>86</v>
      </c>
      <c r="O104" s="35">
        <f t="shared" si="115"/>
        <v>72.443596007499011</v>
      </c>
      <c r="P104" s="34" t="str">
        <f t="shared" si="103"/>
        <v>16.3709677419355</v>
      </c>
      <c r="Q104" s="4" t="str">
        <f t="shared" si="104"/>
        <v>1+0.0669550004333253i</v>
      </c>
      <c r="R104" s="4">
        <f t="shared" si="116"/>
        <v>1.0022389795268525</v>
      </c>
      <c r="S104" s="4">
        <f t="shared" si="117"/>
        <v>6.6855216228091902E-2</v>
      </c>
      <c r="T104" s="4" t="str">
        <f t="shared" si="105"/>
        <v>1+0.0000728282460853714i</v>
      </c>
      <c r="U104" s="4">
        <f t="shared" si="118"/>
        <v>1.0000000026519766</v>
      </c>
      <c r="V104" s="4">
        <f t="shared" si="119"/>
        <v>7.2828245956612188E-5</v>
      </c>
      <c r="W104" t="str">
        <f t="shared" si="106"/>
        <v>1-0.000953083934739681i</v>
      </c>
      <c r="X104" s="4">
        <f t="shared" si="120"/>
        <v>1.0000004541843901</v>
      </c>
      <c r="Y104" s="4">
        <f t="shared" si="121"/>
        <v>-9.5308364615587563E-4</v>
      </c>
      <c r="Z104" t="str">
        <f t="shared" si="107"/>
        <v>0.99999999545867+0.000187699455308762i</v>
      </c>
      <c r="AA104" s="4">
        <f t="shared" si="122"/>
        <v>1.0000000130742128</v>
      </c>
      <c r="AB104" s="4">
        <f t="shared" si="123"/>
        <v>1.8769945395688201E-4</v>
      </c>
      <c r="AC104" s="48" t="str">
        <f t="shared" si="124"/>
        <v>16.2967372478531-1.10863150839413i</v>
      </c>
      <c r="AD104" s="20">
        <f t="shared" si="125"/>
        <v>24.262065119282809</v>
      </c>
      <c r="AE104" s="44">
        <f t="shared" si="126"/>
        <v>-3.8917110341578636</v>
      </c>
      <c r="AF104" t="str">
        <f t="shared" si="127"/>
        <v>45.9520231294187</v>
      </c>
      <c r="AG104" t="str">
        <f t="shared" si="108"/>
        <v>1+0.0321301085670755i</v>
      </c>
      <c r="AH104">
        <f t="shared" si="128"/>
        <v>1.0005160387902494</v>
      </c>
      <c r="AI104">
        <f t="shared" si="129"/>
        <v>3.2119058970181476E-2</v>
      </c>
      <c r="AJ104" t="str">
        <f t="shared" si="109"/>
        <v>1+0.0000728282460853714i</v>
      </c>
      <c r="AK104">
        <f t="shared" si="130"/>
        <v>1.0000000026519766</v>
      </c>
      <c r="AL104">
        <f t="shared" si="131"/>
        <v>7.2828245956612188E-5</v>
      </c>
      <c r="AM104" t="str">
        <f t="shared" si="110"/>
        <v>1-0.000162940664322866i</v>
      </c>
      <c r="AN104">
        <f t="shared" si="132"/>
        <v>1.0000000132748299</v>
      </c>
      <c r="AO104">
        <f t="shared" si="133"/>
        <v>-1.6294066288085961E-4</v>
      </c>
      <c r="AP104" s="42" t="str">
        <f t="shared" si="134"/>
        <v>45.9045013979-1.47905746155909i</v>
      </c>
      <c r="AQ104">
        <f t="shared" si="135"/>
        <v>33.2416117749355</v>
      </c>
      <c r="AR104" s="44">
        <f t="shared" si="136"/>
        <v>-1.845449582094685</v>
      </c>
      <c r="AS104" t="str">
        <f t="shared" si="111"/>
        <v>-0.000166666666666667</v>
      </c>
      <c r="AT104" t="str">
        <f t="shared" si="112"/>
        <v>5.74432790998367E-06i</v>
      </c>
      <c r="AU104">
        <f t="shared" si="137"/>
        <v>5.7443279099836701E-6</v>
      </c>
      <c r="AV104">
        <f t="shared" si="138"/>
        <v>1.5707963267948966</v>
      </c>
      <c r="AW104" t="str">
        <f t="shared" si="113"/>
        <v>1+0.00104654535876245i</v>
      </c>
      <c r="AX104">
        <f t="shared" si="139"/>
        <v>1.0000005476284441</v>
      </c>
      <c r="AY104">
        <f t="shared" si="140"/>
        <v>1.0465449766839255E-3</v>
      </c>
      <c r="AZ104" t="str">
        <f t="shared" si="114"/>
        <v>1+0.0213022619799711i</v>
      </c>
      <c r="BA104">
        <f t="shared" si="141"/>
        <v>1.0002268674483121</v>
      </c>
      <c r="BB104">
        <f t="shared" si="142"/>
        <v>2.1299040631661308E-2</v>
      </c>
      <c r="BC104" s="42" t="str">
        <f t="shared" si="143"/>
        <v>-0.587701316075906+29.0147433019669i</v>
      </c>
      <c r="BD104">
        <f t="shared" si="144"/>
        <v>29.254156092489584</v>
      </c>
      <c r="BE104" s="44">
        <f t="shared" si="145"/>
        <v>91.160382525637246</v>
      </c>
      <c r="BF104" s="42" t="str">
        <f t="shared" si="146"/>
        <v>22.5890447042215+473.497192102587i</v>
      </c>
      <c r="BG104" s="20">
        <f t="shared" si="147"/>
        <v>53.516221211772397</v>
      </c>
      <c r="BH104" s="44">
        <f t="shared" si="148"/>
        <v>87.268671491479395</v>
      </c>
      <c r="BI104" s="42" t="str">
        <f t="shared" si="101"/>
        <v>15.9363366906417+1332.77656848156i</v>
      </c>
      <c r="BJ104" s="20">
        <f t="shared" si="149"/>
        <v>62.495767867425087</v>
      </c>
      <c r="BK104" s="44">
        <f t="shared" si="102"/>
        <v>89.314932943542559</v>
      </c>
      <c r="BL104">
        <f t="shared" si="150"/>
        <v>53.516221211772397</v>
      </c>
      <c r="BM104" s="44">
        <f t="shared" si="151"/>
        <v>87.268671491479395</v>
      </c>
    </row>
    <row r="105" spans="14:65" x14ac:dyDescent="0.35">
      <c r="N105" s="9">
        <v>87</v>
      </c>
      <c r="O105" s="35">
        <f t="shared" si="115"/>
        <v>74.131024130091816</v>
      </c>
      <c r="P105" s="34" t="str">
        <f t="shared" si="103"/>
        <v>16.3709677419355</v>
      </c>
      <c r="Q105" s="4" t="str">
        <f t="shared" si="104"/>
        <v>1+0.0685145827415767i</v>
      </c>
      <c r="R105" s="4">
        <f t="shared" si="116"/>
        <v>1.0023443759747706</v>
      </c>
      <c r="S105" s="4">
        <f t="shared" si="117"/>
        <v>6.8407675541002411E-2</v>
      </c>
      <c r="T105" s="4" t="str">
        <f t="shared" si="105"/>
        <v>1+0.0000745246338592589i</v>
      </c>
      <c r="U105" s="4">
        <f t="shared" si="118"/>
        <v>1.0000000027769604</v>
      </c>
      <c r="V105" s="4">
        <f t="shared" si="119"/>
        <v>7.4524633721290918E-5</v>
      </c>
      <c r="W105" t="str">
        <f t="shared" si="106"/>
        <v>1-0.000975284111474484i</v>
      </c>
      <c r="X105" s="4">
        <f t="shared" si="120"/>
        <v>1.0000004755894361</v>
      </c>
      <c r="Y105" s="4">
        <f t="shared" si="121"/>
        <v>-9.7528380225137337E-4</v>
      </c>
      <c r="Z105" t="str">
        <f t="shared" si="107"/>
        <v>0.999999995244644+0.000192071537272371i</v>
      </c>
      <c r="AA105" s="4">
        <f t="shared" si="122"/>
        <v>1.0000000136903817</v>
      </c>
      <c r="AB105" s="4">
        <f t="shared" si="123"/>
        <v>1.9207153582380542E-4</v>
      </c>
      <c r="AC105" s="48" t="str">
        <f t="shared" si="124"/>
        <v>16.293255217959-1.13421628372115i</v>
      </c>
      <c r="AD105" s="20">
        <f t="shared" si="125"/>
        <v>24.261151932169419</v>
      </c>
      <c r="AE105" s="44">
        <f t="shared" si="126"/>
        <v>-3.9820856818815433</v>
      </c>
      <c r="AF105" t="str">
        <f t="shared" si="127"/>
        <v>45.9520231294187</v>
      </c>
      <c r="AG105" t="str">
        <f t="shared" si="108"/>
        <v>1+0.0328785149379083i</v>
      </c>
      <c r="AH105">
        <f t="shared" si="128"/>
        <v>1.0005403523819127</v>
      </c>
      <c r="AI105">
        <f t="shared" si="129"/>
        <v>3.286667542683968E-2</v>
      </c>
      <c r="AJ105" t="str">
        <f t="shared" si="109"/>
        <v>1+0.0000745246338592589i</v>
      </c>
      <c r="AK105">
        <f t="shared" si="130"/>
        <v>1.0000000027769604</v>
      </c>
      <c r="AL105">
        <f t="shared" si="131"/>
        <v>7.4524633721290918E-5</v>
      </c>
      <c r="AM105" t="str">
        <f t="shared" si="110"/>
        <v>1-0.00016673603995916i</v>
      </c>
      <c r="AN105">
        <f t="shared" si="132"/>
        <v>1.0000000139004535</v>
      </c>
      <c r="AO105">
        <f t="shared" si="133"/>
        <v>-1.667360384140223E-4</v>
      </c>
      <c r="AP105" s="42" t="str">
        <f t="shared" si="134"/>
        <v>45.9022641861113-1.51343557939277i</v>
      </c>
      <c r="AQ105">
        <f t="shared" si="135"/>
        <v>33.241400707769479</v>
      </c>
      <c r="AR105" s="44">
        <f t="shared" si="136"/>
        <v>-1.8884051128961103</v>
      </c>
      <c r="AS105" t="str">
        <f t="shared" si="111"/>
        <v>-0.000166666666666667</v>
      </c>
      <c r="AT105" t="str">
        <f t="shared" si="112"/>
        <v>5.87813049564905E-06i</v>
      </c>
      <c r="AU105">
        <f t="shared" si="137"/>
        <v>5.8781304956490499E-6</v>
      </c>
      <c r="AV105">
        <f t="shared" si="138"/>
        <v>1.5707963267948966</v>
      </c>
      <c r="AW105" t="str">
        <f t="shared" si="113"/>
        <v>1+0.00107092253172556i</v>
      </c>
      <c r="AX105">
        <f t="shared" si="139"/>
        <v>1.00000057343737</v>
      </c>
      <c r="AY105">
        <f t="shared" si="140"/>
        <v>1.0709221223210576E-3</v>
      </c>
      <c r="AZ105" t="str">
        <f t="shared" si="114"/>
        <v>1+0.0217984554038332i</v>
      </c>
      <c r="BA105">
        <f t="shared" si="141"/>
        <v>1.0002375581120682</v>
      </c>
      <c r="BB105">
        <f t="shared" si="142"/>
        <v>2.1795003711204956E-2</v>
      </c>
      <c r="BC105" s="42" t="str">
        <f t="shared" si="143"/>
        <v>-0.587701285740045+28.3543154380102i</v>
      </c>
      <c r="BD105">
        <f t="shared" si="144"/>
        <v>29.05424870468396</v>
      </c>
      <c r="BE105" s="44">
        <f t="shared" si="145"/>
        <v>91.187402409327817</v>
      </c>
      <c r="BF105" s="42" t="str">
        <f t="shared" si="146"/>
        <v>22.584359243072+462.650678330265i</v>
      </c>
      <c r="BG105" s="20">
        <f t="shared" si="147"/>
        <v>53.315400636853376</v>
      </c>
      <c r="BH105" s="44">
        <f t="shared" si="148"/>
        <v>87.205316727446274</v>
      </c>
      <c r="BI105" s="42" t="str">
        <f t="shared" si="101"/>
        <v>15.9356101326535+1302.41672608777i</v>
      </c>
      <c r="BJ105" s="20">
        <f t="shared" si="149"/>
        <v>62.295649412453422</v>
      </c>
      <c r="BK105" s="44">
        <f t="shared" si="102"/>
        <v>89.298997296431708</v>
      </c>
      <c r="BL105">
        <f t="shared" si="150"/>
        <v>53.315400636853376</v>
      </c>
      <c r="BM105" s="44">
        <f t="shared" si="151"/>
        <v>87.205316727446274</v>
      </c>
    </row>
    <row r="106" spans="14:65" x14ac:dyDescent="0.35">
      <c r="N106" s="9">
        <v>88</v>
      </c>
      <c r="O106" s="35">
        <f t="shared" si="115"/>
        <v>75.857757502918361</v>
      </c>
      <c r="P106" s="34" t="str">
        <f t="shared" si="103"/>
        <v>16.3709677419355</v>
      </c>
      <c r="Q106" s="4" t="str">
        <f t="shared" si="104"/>
        <v>1+0.0701104923884953i</v>
      </c>
      <c r="R106" s="4">
        <f t="shared" si="116"/>
        <v>1.0024547277273708</v>
      </c>
      <c r="S106" s="4">
        <f t="shared" si="117"/>
        <v>6.9995954403698074E-2</v>
      </c>
      <c r="T106" s="4" t="str">
        <f t="shared" si="105"/>
        <v>1+0.0000762605355804686i</v>
      </c>
      <c r="U106" s="4">
        <f t="shared" si="118"/>
        <v>1.0000000029078346</v>
      </c>
      <c r="V106" s="4">
        <f t="shared" si="119"/>
        <v>7.626053543263324E-5</v>
      </c>
      <c r="W106" t="str">
        <f t="shared" si="106"/>
        <v>1-0.000998001396754601i</v>
      </c>
      <c r="X106" s="4">
        <f t="shared" si="120"/>
        <v>1.00000049800327</v>
      </c>
      <c r="Y106" s="4">
        <f t="shared" si="121"/>
        <v>-9.9800106541607717E-4</v>
      </c>
      <c r="Z106" t="str">
        <f t="shared" si="107"/>
        <v>0.999999995020531+0.000196545458107409i</v>
      </c>
      <c r="AA106" s="4">
        <f t="shared" si="122"/>
        <v>1.0000000143355896</v>
      </c>
      <c r="AB106" s="4">
        <f t="shared" si="123"/>
        <v>1.96545456555243E-4</v>
      </c>
      <c r="AC106" s="48" t="str">
        <f t="shared" si="124"/>
        <v>16.2896106543235-1.16038005269556i</v>
      </c>
      <c r="AD106" s="20">
        <f t="shared" si="125"/>
        <v>24.260195913712799</v>
      </c>
      <c r="AE106" s="44">
        <f t="shared" si="126"/>
        <v>-4.0745458376393406</v>
      </c>
      <c r="AF106" t="str">
        <f t="shared" si="127"/>
        <v>45.9520231294187</v>
      </c>
      <c r="AG106" t="str">
        <f t="shared" si="108"/>
        <v>1+0.0336443539325596i</v>
      </c>
      <c r="AH106">
        <f t="shared" si="128"/>
        <v>1.0005658112046101</v>
      </c>
      <c r="AI106">
        <f t="shared" si="129"/>
        <v>3.3631668055311113E-2</v>
      </c>
      <c r="AJ106" t="str">
        <f t="shared" si="109"/>
        <v>1+0.0000762605355804686i</v>
      </c>
      <c r="AK106">
        <f t="shared" si="130"/>
        <v>1.0000000029078346</v>
      </c>
      <c r="AL106">
        <f t="shared" si="131"/>
        <v>7.626053543263324E-5</v>
      </c>
      <c r="AM106" t="str">
        <f t="shared" si="110"/>
        <v>1-0.000170619821250852i</v>
      </c>
      <c r="AN106">
        <f t="shared" si="132"/>
        <v>1.0000000145555616</v>
      </c>
      <c r="AO106">
        <f t="shared" si="133"/>
        <v>-1.7061981959520713E-4</v>
      </c>
      <c r="AP106" s="42" t="str">
        <f t="shared" si="134"/>
        <v>45.8999217708402-1.54860921361255i</v>
      </c>
      <c r="AQ106">
        <f t="shared" si="135"/>
        <v>33.241179704308927</v>
      </c>
      <c r="AR106" s="44">
        <f t="shared" si="136"/>
        <v>-1.932359026294675</v>
      </c>
      <c r="AS106" t="str">
        <f t="shared" si="111"/>
        <v>-0.000166666666666667</v>
      </c>
      <c r="AT106" t="str">
        <f t="shared" si="112"/>
        <v>6.01504974390946E-06i</v>
      </c>
      <c r="AU106">
        <f t="shared" si="137"/>
        <v>6.0150497439094598E-6</v>
      </c>
      <c r="AV106">
        <f t="shared" si="138"/>
        <v>1.5707963267948966</v>
      </c>
      <c r="AW106" t="str">
        <f t="shared" si="113"/>
        <v>1+0.00109586752199033i</v>
      </c>
      <c r="AX106">
        <f t="shared" si="139"/>
        <v>1.0000006004626327</v>
      </c>
      <c r="AY106">
        <f t="shared" si="140"/>
        <v>1.0958670833055163E-3</v>
      </c>
      <c r="AZ106" t="str">
        <f t="shared" si="114"/>
        <v>1+0.022306206657287i</v>
      </c>
      <c r="BA106">
        <f t="shared" si="141"/>
        <v>1.0002487524888184</v>
      </c>
      <c r="BB106">
        <f t="shared" si="142"/>
        <v>2.2302508151675445E-2</v>
      </c>
      <c r="BC106" s="42" t="str">
        <f t="shared" si="143"/>
        <v>-0.5877012539745+27.7089214074096i</v>
      </c>
      <c r="BD106">
        <f t="shared" si="144"/>
        <v>28.854345679429713</v>
      </c>
      <c r="BE106" s="44">
        <f t="shared" si="145"/>
        <v>91.215051030866391</v>
      </c>
      <c r="BF106" s="42" t="str">
        <f t="shared" si="146"/>
        <v>22.5794550745648+452.049498190008i</v>
      </c>
      <c r="BG106" s="20">
        <f t="shared" si="147"/>
        <v>53.114541593142512</v>
      </c>
      <c r="BH106" s="44">
        <f t="shared" si="148"/>
        <v>87.140505193227057</v>
      </c>
      <c r="BI106" s="42" t="str">
        <f t="shared" si="101"/>
        <v>15.9348494087263+1272.74744453122i</v>
      </c>
      <c r="BJ106" s="20">
        <f t="shared" si="149"/>
        <v>62.095525383738661</v>
      </c>
      <c r="BK106" s="44">
        <f t="shared" si="102"/>
        <v>89.282692004571729</v>
      </c>
      <c r="BL106">
        <f t="shared" si="150"/>
        <v>53.114541593142512</v>
      </c>
      <c r="BM106" s="44">
        <f t="shared" si="151"/>
        <v>87.140505193227057</v>
      </c>
    </row>
    <row r="107" spans="14:65" x14ac:dyDescent="0.35">
      <c r="N107" s="9">
        <v>89</v>
      </c>
      <c r="O107" s="35">
        <f t="shared" si="115"/>
        <v>77.624711662869217</v>
      </c>
      <c r="P107" s="34" t="str">
        <f t="shared" si="103"/>
        <v>16.3709677419355</v>
      </c>
      <c r="Q107" s="4" t="str">
        <f t="shared" si="104"/>
        <v>1+0.0717435755465005i</v>
      </c>
      <c r="R107" s="4">
        <f t="shared" si="116"/>
        <v>1.0025702671794114</v>
      </c>
      <c r="S107" s="4">
        <f t="shared" si="117"/>
        <v>7.1620862871529467E-2</v>
      </c>
      <c r="T107" s="4" t="str">
        <f t="shared" si="105"/>
        <v>1+0.0000780368716470707i</v>
      </c>
      <c r="U107" s="4">
        <f t="shared" si="118"/>
        <v>1.0000000030448766</v>
      </c>
      <c r="V107" s="4">
        <f t="shared" si="119"/>
        <v>7.8036871488662264E-5</v>
      </c>
      <c r="W107" t="str">
        <f t="shared" si="106"/>
        <v>1-0.00102124783558539i</v>
      </c>
      <c r="X107" s="4">
        <f t="shared" si="120"/>
        <v>1.0000005214734349</v>
      </c>
      <c r="Y107" s="4">
        <f t="shared" si="121"/>
        <v>-1.0212474805497752E-3</v>
      </c>
      <c r="Z107" t="str">
        <f t="shared" si="107"/>
        <v>0.999999994785855+0.000201123589945922i</v>
      </c>
      <c r="AA107" s="4">
        <f t="shared" si="122"/>
        <v>1.0000000150112041</v>
      </c>
      <c r="AB107" s="4">
        <f t="shared" si="123"/>
        <v>2.0112358828274635E-4</v>
      </c>
      <c r="AC107" s="48" t="str">
        <f t="shared" si="124"/>
        <v>16.2857960472311-1.1871351027365i</v>
      </c>
      <c r="AD107" s="20">
        <f t="shared" si="125"/>
        <v>24.259195065093646</v>
      </c>
      <c r="AE107" s="44">
        <f t="shared" si="126"/>
        <v>-4.1691386874841552</v>
      </c>
      <c r="AF107" t="str">
        <f t="shared" si="127"/>
        <v>45.9520231294187</v>
      </c>
      <c r="AG107" t="str">
        <f t="shared" si="108"/>
        <v>1+0.0344280316090017i</v>
      </c>
      <c r="AH107">
        <f t="shared" si="128"/>
        <v>1.0005924691703763</v>
      </c>
      <c r="AI107">
        <f t="shared" si="129"/>
        <v>3.4414438881292975E-2</v>
      </c>
      <c r="AJ107" t="str">
        <f t="shared" si="109"/>
        <v>1+0.0000780368716470707i</v>
      </c>
      <c r="AK107">
        <f t="shared" si="130"/>
        <v>1.0000000030448766</v>
      </c>
      <c r="AL107">
        <f t="shared" si="131"/>
        <v>7.8036871488662264E-5</v>
      </c>
      <c r="AM107" t="str">
        <f t="shared" si="110"/>
        <v>1-0.000174594067430192i</v>
      </c>
      <c r="AN107">
        <f t="shared" si="132"/>
        <v>1.000000015241544</v>
      </c>
      <c r="AO107">
        <f t="shared" si="133"/>
        <v>-1.7459406565613656E-4</v>
      </c>
      <c r="AP107" s="42" t="str">
        <f t="shared" si="134"/>
        <v>45.8974692164455-1.58459651945091i</v>
      </c>
      <c r="AQ107">
        <f t="shared" si="135"/>
        <v>33.240948297330199</v>
      </c>
      <c r="AR107" s="44">
        <f t="shared" si="136"/>
        <v>-1.9773344219164362</v>
      </c>
      <c r="AS107" t="str">
        <f t="shared" si="111"/>
        <v>-0.000166666666666667</v>
      </c>
      <c r="AT107" t="str">
        <f t="shared" si="112"/>
        <v>0.0000061551582511627i</v>
      </c>
      <c r="AU107">
        <f t="shared" si="137"/>
        <v>6.1551582511627E-6</v>
      </c>
      <c r="AV107">
        <f t="shared" si="138"/>
        <v>1.5707963267948966</v>
      </c>
      <c r="AW107" t="str">
        <f t="shared" si="113"/>
        <v>1+0.00112139355572078i</v>
      </c>
      <c r="AX107">
        <f t="shared" si="139"/>
        <v>1.0000006287615557</v>
      </c>
      <c r="AY107">
        <f t="shared" si="140"/>
        <v>1.1213930856615491E-3</v>
      </c>
      <c r="AZ107" t="str">
        <f t="shared" si="114"/>
        <v>1+0.0228257849567682i</v>
      </c>
      <c r="BA107">
        <f t="shared" si="141"/>
        <v>1.0002604743060144</v>
      </c>
      <c r="BB107">
        <f t="shared" si="142"/>
        <v>2.282182199233973E-2</v>
      </c>
      <c r="BC107" s="42" t="str">
        <f t="shared" si="143"/>
        <v>-0.587701220711898+27.0782190137067i</v>
      </c>
      <c r="BD107">
        <f t="shared" si="144"/>
        <v>28.654447222122347</v>
      </c>
      <c r="BE107" s="44">
        <f t="shared" si="145"/>
        <v>91.243342989976341</v>
      </c>
      <c r="BF107" s="42" t="str">
        <f t="shared" si="146"/>
        <v>22.5743220935354+441.688032928511i</v>
      </c>
      <c r="BG107" s="20">
        <f t="shared" si="147"/>
        <v>52.913642287215993</v>
      </c>
      <c r="BH107" s="44">
        <f t="shared" si="148"/>
        <v>87.074204302492191</v>
      </c>
      <c r="BI107" s="42" t="str">
        <f t="shared" si="101"/>
        <v>15.9340529159573+1243.75299292659i</v>
      </c>
      <c r="BJ107" s="20">
        <f t="shared" si="149"/>
        <v>61.895395519452549</v>
      </c>
      <c r="BK107" s="44">
        <f t="shared" si="102"/>
        <v>89.266008568059917</v>
      </c>
      <c r="BL107">
        <f t="shared" si="150"/>
        <v>52.913642287215993</v>
      </c>
      <c r="BM107" s="44">
        <f t="shared" si="151"/>
        <v>87.074204302492191</v>
      </c>
    </row>
    <row r="108" spans="14:65" x14ac:dyDescent="0.35">
      <c r="N108" s="9">
        <v>90</v>
      </c>
      <c r="O108" s="35">
        <f t="shared" si="115"/>
        <v>79.432823472428197</v>
      </c>
      <c r="P108" s="34" t="str">
        <f t="shared" si="103"/>
        <v>16.3709677419355</v>
      </c>
      <c r="Q108" s="4" t="str">
        <f t="shared" si="104"/>
        <v>1+0.0734146980978988i</v>
      </c>
      <c r="R108" s="4">
        <f t="shared" si="116"/>
        <v>1.0026912375685775</v>
      </c>
      <c r="S108" s="4">
        <f t="shared" si="117"/>
        <v>7.3283228150884935E-2</v>
      </c>
      <c r="T108" s="4" t="str">
        <f t="shared" si="105"/>
        <v>1+0.0000798545838959602i</v>
      </c>
      <c r="U108" s="4">
        <f t="shared" si="118"/>
        <v>1.0000000031883773</v>
      </c>
      <c r="V108" s="4">
        <f t="shared" si="119"/>
        <v>7.9854583726222508E-5</v>
      </c>
      <c r="W108" t="str">
        <f t="shared" si="106"/>
        <v>1-0.00104503575353642i</v>
      </c>
      <c r="X108" s="4">
        <f t="shared" si="120"/>
        <v>1.0000005460497141</v>
      </c>
      <c r="Y108" s="4">
        <f t="shared" si="121"/>
        <v>-1.0450353731089159E-3</v>
      </c>
      <c r="Z108" t="str">
        <f t="shared" si="107"/>
        <v>0.99999999454012+0.00020580836017401i</v>
      </c>
      <c r="AA108" s="4">
        <f t="shared" si="122"/>
        <v>1.0000000157186604</v>
      </c>
      <c r="AB108" s="4">
        <f t="shared" si="123"/>
        <v>2.0580835839188518E-4</v>
      </c>
      <c r="AC108" s="48" t="str">
        <f t="shared" si="124"/>
        <v>16.281803547374-1.21449392333073i</v>
      </c>
      <c r="AD108" s="20">
        <f t="shared" si="125"/>
        <v>24.258147295182788</v>
      </c>
      <c r="AE108" s="44">
        <f t="shared" si="126"/>
        <v>-4.2659124181630999</v>
      </c>
      <c r="AF108" t="str">
        <f t="shared" si="127"/>
        <v>45.9520231294187</v>
      </c>
      <c r="AG108" t="str">
        <f t="shared" si="108"/>
        <v>1+0.0352299634835117i</v>
      </c>
      <c r="AH108">
        <f t="shared" si="128"/>
        <v>1.0006203827261613</v>
      </c>
      <c r="AI108">
        <f t="shared" si="129"/>
        <v>3.5215399101027237E-2</v>
      </c>
      <c r="AJ108" t="str">
        <f t="shared" si="109"/>
        <v>1+0.0000798545838959602i</v>
      </c>
      <c r="AK108">
        <f t="shared" si="130"/>
        <v>1.0000000031883773</v>
      </c>
      <c r="AL108">
        <f t="shared" si="131"/>
        <v>7.9854583726222508E-5</v>
      </c>
      <c r="AM108" t="str">
        <f t="shared" si="110"/>
        <v>1-0.000178660885695109i</v>
      </c>
      <c r="AN108">
        <f t="shared" si="132"/>
        <v>1.0000000159598559</v>
      </c>
      <c r="AO108">
        <f t="shared" si="133"/>
        <v>-1.7866088379417435E-4</v>
      </c>
      <c r="AP108" s="42" t="str">
        <f t="shared" si="134"/>
        <v>45.8949013568364-1.62141604834632i</v>
      </c>
      <c r="AQ108">
        <f t="shared" si="135"/>
        <v>33.240705997692174</v>
      </c>
      <c r="AR108" s="44">
        <f t="shared" si="136"/>
        <v>-2.0233549263408452</v>
      </c>
      <c r="AS108" t="str">
        <f t="shared" si="111"/>
        <v>-0.000166666666666667</v>
      </c>
      <c r="AT108" t="str">
        <f t="shared" si="112"/>
        <v>6.29853030479385E-06i</v>
      </c>
      <c r="AU108">
        <f t="shared" si="137"/>
        <v>6.29853030479385E-6</v>
      </c>
      <c r="AV108">
        <f t="shared" si="138"/>
        <v>1.5707963267948966</v>
      </c>
      <c r="AW108" t="str">
        <f t="shared" si="113"/>
        <v>1+0.00114751416715788i</v>
      </c>
      <c r="AX108">
        <f t="shared" si="139"/>
        <v>1.0000006583941652</v>
      </c>
      <c r="AY108">
        <f t="shared" si="140"/>
        <v>1.1475136634803574E-3</v>
      </c>
      <c r="AZ108" t="str">
        <f t="shared" si="114"/>
        <v>1+0.0233574657895683i</v>
      </c>
      <c r="BA108">
        <f t="shared" si="141"/>
        <v>1.0002727484082083</v>
      </c>
      <c r="BB108">
        <f t="shared" si="142"/>
        <v>2.3353219459210598E-2</v>
      </c>
      <c r="BC108" s="42" t="str">
        <f t="shared" si="143"/>
        <v>-0.58770118588168+26.4618738501439i</v>
      </c>
      <c r="BD108">
        <f t="shared" si="144"/>
        <v>28.454553547817717</v>
      </c>
      <c r="BE108" s="44">
        <f t="shared" si="145"/>
        <v>91.272293223204542</v>
      </c>
      <c r="BF108" s="42" t="str">
        <f t="shared" si="146"/>
        <v>22.5689497378599+431.560791042424i</v>
      </c>
      <c r="BG108" s="20">
        <f t="shared" si="147"/>
        <v>52.712700843000505</v>
      </c>
      <c r="BH108" s="44">
        <f t="shared" si="148"/>
        <v>87.006380805041431</v>
      </c>
      <c r="BI108" s="42" t="str">
        <f t="shared" si="101"/>
        <v>15.9332189766037+1215.41799820382i</v>
      </c>
      <c r="BJ108" s="20">
        <f t="shared" si="149"/>
        <v>61.695259545509856</v>
      </c>
      <c r="BK108" s="44">
        <f t="shared" si="102"/>
        <v>89.248938296863699</v>
      </c>
      <c r="BL108">
        <f t="shared" si="150"/>
        <v>52.712700843000505</v>
      </c>
      <c r="BM108" s="44">
        <f t="shared" si="151"/>
        <v>87.006380805041431</v>
      </c>
    </row>
    <row r="109" spans="14:65" x14ac:dyDescent="0.35">
      <c r="N109" s="9">
        <v>91</v>
      </c>
      <c r="O109" s="35">
        <f t="shared" si="115"/>
        <v>81.283051616409963</v>
      </c>
      <c r="P109" s="34" t="str">
        <f t="shared" si="103"/>
        <v>16.3709677419355</v>
      </c>
      <c r="Q109" s="4" t="str">
        <f t="shared" si="104"/>
        <v>1+0.075124746093987i</v>
      </c>
      <c r="R109" s="4">
        <f t="shared" si="116"/>
        <v>1.0028178934760219</v>
      </c>
      <c r="S109" s="4">
        <f t="shared" si="117"/>
        <v>7.4983894878217133E-2</v>
      </c>
      <c r="T109" s="4" t="str">
        <f t="shared" si="105"/>
        <v>1+0.0000817146361022315i</v>
      </c>
      <c r="U109" s="4">
        <f t="shared" si="118"/>
        <v>1.0000000033386409</v>
      </c>
      <c r="V109" s="4">
        <f t="shared" si="119"/>
        <v>8.1714635920354282E-5</v>
      </c>
      <c r="W109" t="str">
        <f t="shared" si="106"/>
        <v>1-0.00106937776327665i</v>
      </c>
      <c r="X109" s="4">
        <f t="shared" si="120"/>
        <v>1.0000005717842368</v>
      </c>
      <c r="Y109" s="4">
        <f t="shared" si="121"/>
        <v>-1.0693773556412476E-3</v>
      </c>
      <c r="Z109" t="str">
        <f t="shared" si="107"/>
        <v>0.999999994282804+0.000210602252718858i</v>
      </c>
      <c r="AA109" s="4">
        <f t="shared" si="122"/>
        <v>1.000000016459458</v>
      </c>
      <c r="AB109" s="4">
        <f t="shared" si="123"/>
        <v>2.106022508092768E-4</v>
      </c>
      <c r="AC109" s="48" t="str">
        <f t="shared" si="124"/>
        <v>16.2776249512056-1.24246920491606i</v>
      </c>
      <c r="AD109" s="20">
        <f t="shared" si="125"/>
        <v>24.25705041637115</v>
      </c>
      <c r="AE109" s="44">
        <f t="shared" si="126"/>
        <v>-4.36491623352424</v>
      </c>
      <c r="AF109" t="str">
        <f t="shared" si="127"/>
        <v>45.9520231294187</v>
      </c>
      <c r="AG109" t="str">
        <f t="shared" si="108"/>
        <v>1+0.0360505747509844i</v>
      </c>
      <c r="AH109">
        <f t="shared" si="128"/>
        <v>1.0006496109727301</v>
      </c>
      <c r="AI109">
        <f t="shared" si="129"/>
        <v>3.6034969281109358E-2</v>
      </c>
      <c r="AJ109" t="str">
        <f t="shared" si="109"/>
        <v>1+0.0000817146361022315i</v>
      </c>
      <c r="AK109">
        <f t="shared" si="130"/>
        <v>1.0000000033386409</v>
      </c>
      <c r="AL109">
        <f t="shared" si="131"/>
        <v>8.1714635920354282E-5</v>
      </c>
      <c r="AM109" t="str">
        <f t="shared" si="110"/>
        <v>1-0.000182822432326477i</v>
      </c>
      <c r="AN109">
        <f t="shared" si="132"/>
        <v>1.0000000167120207</v>
      </c>
      <c r="AO109">
        <f t="shared" si="133"/>
        <v>-1.8282243028958884E-4</v>
      </c>
      <c r="AP109" s="42" t="str">
        <f t="shared" si="134"/>
        <v>45.8922127848188-1.65908675527785i</v>
      </c>
      <c r="AQ109">
        <f t="shared" si="135"/>
        <v>33.240452293312991</v>
      </c>
      <c r="AR109" s="44">
        <f t="shared" si="136"/>
        <v>-2.0704447045843661</v>
      </c>
      <c r="AS109" t="str">
        <f t="shared" si="111"/>
        <v>-0.000166666666666667</v>
      </c>
      <c r="AT109" t="str">
        <f t="shared" si="112"/>
        <v>6.44524192256351E-06i</v>
      </c>
      <c r="AU109">
        <f t="shared" si="137"/>
        <v>6.4452419225635098E-6</v>
      </c>
      <c r="AV109">
        <f t="shared" si="138"/>
        <v>1.5707963267948966</v>
      </c>
      <c r="AW109" t="str">
        <f t="shared" si="113"/>
        <v>1+0.00117424320579554i</v>
      </c>
      <c r="AX109">
        <f t="shared" si="139"/>
        <v>1.0000006894233155</v>
      </c>
      <c r="AY109">
        <f t="shared" si="140"/>
        <v>1.1742426660953712E-3</v>
      </c>
      <c r="AZ109" t="str">
        <f t="shared" si="114"/>
        <v>1+0.0239015310599027i</v>
      </c>
      <c r="BA109">
        <f t="shared" si="141"/>
        <v>1.0002856008095926</v>
      </c>
      <c r="BB109">
        <f t="shared" si="142"/>
        <v>2.3896981105109093E-2</v>
      </c>
      <c r="BC109" s="42" t="str">
        <f t="shared" si="143"/>
        <v>-0.587701149409968+25.8595591223571i</v>
      </c>
      <c r="BD109">
        <f t="shared" si="144"/>
        <v>28.254664881685315</v>
      </c>
      <c r="BE109" s="44">
        <f t="shared" si="145"/>
        <v>91.301917011535167</v>
      </c>
      <c r="BF109" s="42" t="str">
        <f t="shared" si="146"/>
        <v>22.563326968747+421.662405377092i</v>
      </c>
      <c r="BG109" s="20">
        <f t="shared" si="147"/>
        <v>52.511715298056465</v>
      </c>
      <c r="BH109" s="44">
        <f t="shared" si="148"/>
        <v>86.937000778010926</v>
      </c>
      <c r="BI109" s="42" t="str">
        <f t="shared" si="101"/>
        <v>15.9323458346223+1187.72743695786i</v>
      </c>
      <c r="BJ109" s="20">
        <f t="shared" si="149"/>
        <v>61.495117174998285</v>
      </c>
      <c r="BK109" s="44">
        <f t="shared" si="102"/>
        <v>89.231472306950806</v>
      </c>
      <c r="BL109">
        <f t="shared" si="150"/>
        <v>52.511715298056465</v>
      </c>
      <c r="BM109" s="44">
        <f t="shared" si="151"/>
        <v>86.937000778010926</v>
      </c>
    </row>
    <row r="110" spans="14:65" x14ac:dyDescent="0.35">
      <c r="N110" s="9">
        <v>92</v>
      </c>
      <c r="O110" s="35">
        <f t="shared" si="115"/>
        <v>83.176377110267126</v>
      </c>
      <c r="P110" s="34" t="str">
        <f t="shared" si="103"/>
        <v>16.3709677419355</v>
      </c>
      <c r="Q110" s="4" t="str">
        <f t="shared" si="104"/>
        <v>1+0.0768746262248479i</v>
      </c>
      <c r="R110" s="4">
        <f t="shared" si="116"/>
        <v>1.0029505013494984</v>
      </c>
      <c r="S110" s="4">
        <f t="shared" si="117"/>
        <v>7.6723725397236375E-2</v>
      </c>
      <c r="T110" s="4" t="str">
        <f t="shared" si="105"/>
        <v>1+0.0000836180144901854i</v>
      </c>
      <c r="U110" s="4">
        <f t="shared" si="118"/>
        <v>1.0000000034959862</v>
      </c>
      <c r="V110" s="4">
        <f t="shared" si="119"/>
        <v>8.3618014295300456E-5</v>
      </c>
      <c r="W110" t="str">
        <f t="shared" si="106"/>
        <v>1-0.00109428677126186i</v>
      </c>
      <c r="X110" s="4">
        <f t="shared" si="120"/>
        <v>1.0000005987315896</v>
      </c>
      <c r="Y110" s="4">
        <f t="shared" si="121"/>
        <v>-1.094286334472671E-3</v>
      </c>
      <c r="Z110" t="str">
        <f t="shared" si="107"/>
        <v>0.999999994013361+0.000215507809365748i</v>
      </c>
      <c r="AA110" s="4">
        <f t="shared" si="122"/>
        <v>1.0000000172351688</v>
      </c>
      <c r="AB110" s="4">
        <f t="shared" si="123"/>
        <v>2.1550780731959484E-4</v>
      </c>
      <c r="AC110" s="48" t="str">
        <f t="shared" si="124"/>
        <v>16.2732516857318-1.27107383734548i</v>
      </c>
      <c r="AD110" s="20">
        <f t="shared" si="125"/>
        <v>24.255902140220577</v>
      </c>
      <c r="AE110" s="44">
        <f t="shared" si="126"/>
        <v>-4.4662003708275746</v>
      </c>
      <c r="AF110" t="str">
        <f t="shared" si="127"/>
        <v>45.9520231294187</v>
      </c>
      <c r="AG110" t="str">
        <f t="shared" si="108"/>
        <v>1+0.0368903005103758i</v>
      </c>
      <c r="AH110">
        <f t="shared" si="128"/>
        <v>1.000680215789113</v>
      </c>
      <c r="AI110">
        <f t="shared" si="129"/>
        <v>3.6873579561970328E-2</v>
      </c>
      <c r="AJ110" t="str">
        <f t="shared" si="109"/>
        <v>1+0.0000836180144901854i</v>
      </c>
      <c r="AK110">
        <f t="shared" si="130"/>
        <v>1.0000000034959862</v>
      </c>
      <c r="AL110">
        <f t="shared" si="131"/>
        <v>8.3618014295300456E-5</v>
      </c>
      <c r="AM110" t="str">
        <f t="shared" si="110"/>
        <v>1-0.000187080913831407i</v>
      </c>
      <c r="AN110">
        <f t="shared" si="132"/>
        <v>1.000000017499634</v>
      </c>
      <c r="AO110">
        <f t="shared" si="133"/>
        <v>-1.8708091164884201E-4</v>
      </c>
      <c r="AP110" s="42" t="str">
        <f t="shared" si="134"/>
        <v>45.8893978409604-1.69762800613678i</v>
      </c>
      <c r="AQ110">
        <f t="shared" si="135"/>
        <v>33.240186648099808</v>
      </c>
      <c r="AR110" s="44">
        <f t="shared" si="136"/>
        <v>-2.1186284717952986</v>
      </c>
      <c r="AS110" t="str">
        <f t="shared" si="111"/>
        <v>-0.000166666666666667</v>
      </c>
      <c r="AT110" t="str">
        <f t="shared" si="112"/>
        <v>6.59537089291338E-06i</v>
      </c>
      <c r="AU110">
        <f t="shared" si="137"/>
        <v>6.5953708929133796E-6</v>
      </c>
      <c r="AV110">
        <f t="shared" si="138"/>
        <v>1.5707963267948966</v>
      </c>
      <c r="AW110" t="str">
        <f t="shared" si="113"/>
        <v>1+0.00120159484372386i</v>
      </c>
      <c r="AX110">
        <f t="shared" si="139"/>
        <v>1.0000007219148237</v>
      </c>
      <c r="AY110">
        <f t="shared" si="140"/>
        <v>1.2015942654247324E-3</v>
      </c>
      <c r="AZ110" t="str">
        <f t="shared" si="114"/>
        <v>1+0.0244582692383792i</v>
      </c>
      <c r="BA110">
        <f t="shared" si="141"/>
        <v>1.0002990587490008</v>
      </c>
      <c r="BB110">
        <f t="shared" si="142"/>
        <v>2.4453393952698962E-2</v>
      </c>
      <c r="BC110" s="42" t="str">
        <f t="shared" si="143"/>
        <v>-0.587701111219401+25.2709554751046i</v>
      </c>
      <c r="BD110">
        <f t="shared" si="144"/>
        <v>28.054781459482648</v>
      </c>
      <c r="BE110" s="44">
        <f t="shared" si="145"/>
        <v>91.332229988164414</v>
      </c>
      <c r="BF110" s="42" t="str">
        <f t="shared" si="146"/>
        <v>22.5574422502704+411.987630291949i</v>
      </c>
      <c r="BG110" s="20">
        <f t="shared" si="147"/>
        <v>52.310683599703225</v>
      </c>
      <c r="BH110" s="44">
        <f t="shared" si="148"/>
        <v>86.866029617336849</v>
      </c>
      <c r="BI110" s="42" t="str">
        <f t="shared" si="101"/>
        <v>15.9314316520516+1160.66662748392i</v>
      </c>
      <c r="BJ110" s="20">
        <f t="shared" si="149"/>
        <v>61.294968107582484</v>
      </c>
      <c r="BK110" s="44">
        <f t="shared" si="102"/>
        <v>89.213601516369124</v>
      </c>
      <c r="BL110">
        <f t="shared" si="150"/>
        <v>52.310683599703225</v>
      </c>
      <c r="BM110" s="44">
        <f t="shared" si="151"/>
        <v>86.866029617336849</v>
      </c>
    </row>
    <row r="111" spans="14:65" x14ac:dyDescent="0.35">
      <c r="N111" s="9">
        <v>93</v>
      </c>
      <c r="O111" s="35">
        <f t="shared" si="115"/>
        <v>85.113803820237734</v>
      </c>
      <c r="P111" s="34" t="str">
        <f t="shared" si="103"/>
        <v>16.3709677419355</v>
      </c>
      <c r="Q111" s="4" t="str">
        <f t="shared" si="104"/>
        <v>1+0.0786652663000892i</v>
      </c>
      <c r="R111" s="4">
        <f t="shared" si="116"/>
        <v>1.0030893400500596</v>
      </c>
      <c r="S111" s="4">
        <f t="shared" si="117"/>
        <v>7.8503600033668186E-2</v>
      </c>
      <c r="T111" s="4" t="str">
        <f t="shared" si="105"/>
        <v>1+0.0000855657282562374i</v>
      </c>
      <c r="U111" s="4">
        <f t="shared" si="118"/>
        <v>1.0000000036607468</v>
      </c>
      <c r="V111" s="4">
        <f t="shared" si="119"/>
        <v>8.5565728047414414E-5</v>
      </c>
      <c r="W111" t="str">
        <f t="shared" si="106"/>
        <v>1-0.0011197759845778i</v>
      </c>
      <c r="X111" s="4">
        <f t="shared" si="120"/>
        <v>1.0000006269489312</v>
      </c>
      <c r="Y111" s="4">
        <f t="shared" si="121"/>
        <v>-1.1197755165497675E-3</v>
      </c>
      <c r="Z111" t="str">
        <f t="shared" si="107"/>
        <v>0.999999993731219+0.000220527631105747i</v>
      </c>
      <c r="AA111" s="4">
        <f t="shared" si="122"/>
        <v>1.0000000180474369</v>
      </c>
      <c r="AB111" s="4">
        <f t="shared" si="123"/>
        <v>2.2052762891325449E-4</v>
      </c>
      <c r="AC111" s="48" t="str">
        <f t="shared" si="124"/>
        <v>16.2686747927231-1.30032090789711i</v>
      </c>
      <c r="AD111" s="20">
        <f t="shared" si="125"/>
        <v>24.254700072927516</v>
      </c>
      <c r="AE111" s="44">
        <f t="shared" si="126"/>
        <v>-4.5698161169273117</v>
      </c>
      <c r="AF111" t="str">
        <f t="shared" si="127"/>
        <v>45.9520231294187</v>
      </c>
      <c r="AG111" t="str">
        <f t="shared" si="108"/>
        <v>1+0.0377495859953988i</v>
      </c>
      <c r="AH111">
        <f t="shared" si="128"/>
        <v>1.0007122619628601</v>
      </c>
      <c r="AI111">
        <f t="shared" si="129"/>
        <v>3.7731669865050742E-2</v>
      </c>
      <c r="AJ111" t="str">
        <f t="shared" si="109"/>
        <v>1+0.0000855657282562374i</v>
      </c>
      <c r="AK111">
        <f t="shared" si="130"/>
        <v>1.0000000036607468</v>
      </c>
      <c r="AL111">
        <f t="shared" si="131"/>
        <v>8.5565728047414414E-5</v>
      </c>
      <c r="AM111" t="str">
        <f t="shared" si="110"/>
        <v>1-0.000191438588113158i</v>
      </c>
      <c r="AN111">
        <f t="shared" si="132"/>
        <v>1.0000000183243662</v>
      </c>
      <c r="AO111">
        <f t="shared" si="133"/>
        <v>-1.9143858577449748E-4</v>
      </c>
      <c r="AP111" s="42" t="str">
        <f t="shared" si="134"/>
        <v>45.8864506019517-1.73705958512692i</v>
      </c>
      <c r="AQ111">
        <f t="shared" si="135"/>
        <v>33.239908500828832</v>
      </c>
      <c r="AR111" s="44">
        <f t="shared" si="136"/>
        <v>-2.1679315051611132</v>
      </c>
      <c r="AS111" t="str">
        <f t="shared" si="111"/>
        <v>-0.000166666666666667</v>
      </c>
      <c r="AT111" t="str">
        <f t="shared" si="112"/>
        <v>6.74899681621072E-06i</v>
      </c>
      <c r="AU111">
        <f t="shared" si="137"/>
        <v>6.7489968162107202E-6</v>
      </c>
      <c r="AV111">
        <f t="shared" si="138"/>
        <v>1.5707963267948966</v>
      </c>
      <c r="AW111" t="str">
        <f t="shared" si="113"/>
        <v>1+0.00122958358314332i</v>
      </c>
      <c r="AX111">
        <f t="shared" si="139"/>
        <v>1.0000007559376083</v>
      </c>
      <c r="AY111">
        <f t="shared" si="140"/>
        <v>1.2295829634846659E-3</v>
      </c>
      <c r="AZ111" t="str">
        <f t="shared" si="114"/>
        <v>1+0.0250279755149494i</v>
      </c>
      <c r="BA111">
        <f t="shared" si="141"/>
        <v>1.0003131507474932</v>
      </c>
      <c r="BB111">
        <f t="shared" si="142"/>
        <v>2.5022751640545255E-2</v>
      </c>
      <c r="BC111" s="42" t="str">
        <f t="shared" si="143"/>
        <v>-0.587701071228978+24.6957508229414i</v>
      </c>
      <c r="BD111">
        <f t="shared" si="144"/>
        <v>27.854903528052191</v>
      </c>
      <c r="BE111" s="44">
        <f t="shared" si="145"/>
        <v>91.363248146438437</v>
      </c>
      <c r="BF111" s="42" t="str">
        <f t="shared" si="146"/>
        <v>22.5512835281287+402.53133889107i</v>
      </c>
      <c r="BG111" s="20">
        <f t="shared" si="147"/>
        <v>52.10960360097971</v>
      </c>
      <c r="BH111" s="44">
        <f t="shared" si="148"/>
        <v>86.793432029511138</v>
      </c>
      <c r="BI111" s="42" t="str">
        <f t="shared" si="101"/>
        <v>15.9304745052338+1134.22122199398i</v>
      </c>
      <c r="BJ111" s="20">
        <f t="shared" si="149"/>
        <v>61.094812028881051</v>
      </c>
      <c r="BK111" s="44">
        <f t="shared" si="102"/>
        <v>89.19531664127733</v>
      </c>
      <c r="BL111">
        <f t="shared" si="150"/>
        <v>52.10960360097971</v>
      </c>
      <c r="BM111" s="44">
        <f t="shared" si="151"/>
        <v>86.793432029511138</v>
      </c>
    </row>
    <row r="112" spans="14:65" x14ac:dyDescent="0.35">
      <c r="N112" s="9">
        <v>94</v>
      </c>
      <c r="O112" s="35">
        <f t="shared" si="115"/>
        <v>87.096358995608071</v>
      </c>
      <c r="P112" s="34" t="str">
        <f t="shared" si="103"/>
        <v>16.3709677419355</v>
      </c>
      <c r="Q112" s="4" t="str">
        <f t="shared" si="104"/>
        <v>1+0.0804976157407805i</v>
      </c>
      <c r="R112" s="4">
        <f t="shared" si="116"/>
        <v>1.003234701423326</v>
      </c>
      <c r="S112" s="4">
        <f t="shared" si="117"/>
        <v>8.032441736692042E-2</v>
      </c>
      <c r="T112" s="4" t="str">
        <f t="shared" si="105"/>
        <v>1+0.0000875588101040069i</v>
      </c>
      <c r="U112" s="4">
        <f t="shared" si="118"/>
        <v>1.0000000038332726</v>
      </c>
      <c r="V112" s="4">
        <f t="shared" si="119"/>
        <v>8.7558809880249037E-5</v>
      </c>
      <c r="W112" t="str">
        <f t="shared" si="106"/>
        <v>1-0.00114585891794274i</v>
      </c>
      <c r="X112" s="4">
        <f t="shared" si="120"/>
        <v>1.0000006564961146</v>
      </c>
      <c r="Y112" s="4">
        <f t="shared" si="121"/>
        <v>-1.1458584164416856E-3</v>
      </c>
      <c r="Z112" t="str">
        <f t="shared" si="107"/>
        <v>0.999999993435781+0.000225664379514786i</v>
      </c>
      <c r="AA112" s="4">
        <f t="shared" si="122"/>
        <v>1.000000018897987</v>
      </c>
      <c r="AB112" s="4">
        <f t="shared" si="123"/>
        <v>2.2566437716548785E-4</v>
      </c>
      <c r="AC112" s="48" t="str">
        <f t="shared" si="124"/>
        <v>16.2638849123366-1.33022369879227i</v>
      </c>
      <c r="AD112" s="20">
        <f t="shared" si="125"/>
        <v>24.253441710594345</v>
      </c>
      <c r="AE112" s="44">
        <f t="shared" si="126"/>
        <v>-4.675815824286234</v>
      </c>
      <c r="AF112" t="str">
        <f t="shared" si="127"/>
        <v>45.9520231294187</v>
      </c>
      <c r="AG112" t="str">
        <f t="shared" si="108"/>
        <v>1+0.0386288868105912i</v>
      </c>
      <c r="AH112">
        <f t="shared" si="128"/>
        <v>1.0007458173263706</v>
      </c>
      <c r="AI112">
        <f t="shared" si="129"/>
        <v>3.8609690103676493E-2</v>
      </c>
      <c r="AJ112" t="str">
        <f t="shared" si="109"/>
        <v>1+0.0000875588101040069i</v>
      </c>
      <c r="AK112">
        <f t="shared" si="130"/>
        <v>1.0000000038332726</v>
      </c>
      <c r="AL112">
        <f t="shared" si="131"/>
        <v>8.7558809880249037E-5</v>
      </c>
      <c r="AM112" t="str">
        <f t="shared" si="110"/>
        <v>1-0.000195897765668316i</v>
      </c>
      <c r="AN112">
        <f t="shared" si="132"/>
        <v>1.0000000191879672</v>
      </c>
      <c r="AO112">
        <f t="shared" si="133"/>
        <v>-1.958977631623961E-4</v>
      </c>
      <c r="AP112" s="42" t="str">
        <f t="shared" si="134"/>
        <v>45.8833648684436-1.77740170218407i</v>
      </c>
      <c r="AQ112">
        <f t="shared" si="135"/>
        <v>33.23961726397404</v>
      </c>
      <c r="AR112" s="44">
        <f t="shared" si="136"/>
        <v>-2.2183796560286138</v>
      </c>
      <c r="AS112" t="str">
        <f t="shared" si="111"/>
        <v>-0.000166666666666667</v>
      </c>
      <c r="AT112" t="str">
        <f t="shared" si="112"/>
        <v>6.90620114695355E-06i</v>
      </c>
      <c r="AU112">
        <f t="shared" si="137"/>
        <v>6.9062011469535496E-6</v>
      </c>
      <c r="AV112">
        <f t="shared" si="138"/>
        <v>1.5707963267948966</v>
      </c>
      <c r="AW112" t="str">
        <f t="shared" si="113"/>
        <v>1+0.00125822426405401i</v>
      </c>
      <c r="AX112">
        <f t="shared" si="139"/>
        <v>1.000000791563836</v>
      </c>
      <c r="AY112">
        <f t="shared" si="140"/>
        <v>1.2582236000778279E-3</v>
      </c>
      <c r="AZ112" t="str">
        <f t="shared" si="114"/>
        <v>1+0.025610951955422i</v>
      </c>
      <c r="BA112">
        <f t="shared" si="141"/>
        <v>1.0003279066686399</v>
      </c>
      <c r="BB112">
        <f t="shared" si="142"/>
        <v>2.5605354572243277E-2</v>
      </c>
      <c r="BC112" s="42" t="str">
        <f t="shared" si="143"/>
        <v>-0.587701029353866+24.1336401847467i</v>
      </c>
      <c r="BD112">
        <f t="shared" si="144"/>
        <v>27.655031345841067</v>
      </c>
      <c r="BE112" s="44">
        <f t="shared" si="145"/>
        <v>91.394987847957324</v>
      </c>
      <c r="BF112" s="42" t="str">
        <f t="shared" si="146"/>
        <v>22.5448382076025+393.288520317513i</v>
      </c>
      <c r="BG112" s="20">
        <f t="shared" si="147"/>
        <v>51.908473056435412</v>
      </c>
      <c r="BH112" s="44">
        <f t="shared" si="148"/>
        <v>86.719172023671092</v>
      </c>
      <c r="BI112" s="42" t="str">
        <f t="shared" si="101"/>
        <v>15.9294723808633+1108.37719901041i</v>
      </c>
      <c r="BJ112" s="20">
        <f t="shared" si="149"/>
        <v>60.894648609815079</v>
      </c>
      <c r="BK112" s="44">
        <f t="shared" si="102"/>
        <v>89.176608191928707</v>
      </c>
      <c r="BL112">
        <f t="shared" si="150"/>
        <v>51.908473056435412</v>
      </c>
      <c r="BM112" s="44">
        <f t="shared" si="151"/>
        <v>86.719172023671092</v>
      </c>
    </row>
    <row r="113" spans="14:65" x14ac:dyDescent="0.35">
      <c r="N113" s="9">
        <v>95</v>
      </c>
      <c r="O113" s="35">
        <f t="shared" si="115"/>
        <v>89.125093813374562</v>
      </c>
      <c r="P113" s="34" t="str">
        <f t="shared" si="103"/>
        <v>16.3709677419355</v>
      </c>
      <c r="Q113" s="4" t="str">
        <f t="shared" si="104"/>
        <v>1+0.0823726460828496i</v>
      </c>
      <c r="R113" s="4">
        <f t="shared" si="116"/>
        <v>1.0033868908963732</v>
      </c>
      <c r="S113" s="4">
        <f t="shared" si="117"/>
        <v>8.2187094497952168E-2</v>
      </c>
      <c r="T113" s="4" t="str">
        <f t="shared" si="105"/>
        <v>1+0.0000895983167918715i</v>
      </c>
      <c r="U113" s="4">
        <f t="shared" si="118"/>
        <v>1.0000000040139292</v>
      </c>
      <c r="V113" s="4">
        <f t="shared" si="119"/>
        <v>8.9598316552110633E-5</v>
      </c>
      <c r="W113" t="str">
        <f t="shared" si="106"/>
        <v>1-0.00117254940087322i</v>
      </c>
      <c r="X113" s="4">
        <f t="shared" si="120"/>
        <v>1.0000006874358125</v>
      </c>
      <c r="Y113" s="4">
        <f t="shared" si="121"/>
        <v>-1.1725488635051786E-3</v>
      </c>
      <c r="Z113" t="str">
        <f t="shared" si="107"/>
        <v>0.999999993126419+0.000230920778164865i</v>
      </c>
      <c r="AA113" s="4">
        <f t="shared" si="122"/>
        <v>1.0000000197886216</v>
      </c>
      <c r="AB113" s="4">
        <f t="shared" si="123"/>
        <v>2.3092077564754664E-4</v>
      </c>
      <c r="AC113" s="48" t="str">
        <f t="shared" si="124"/>
        <v>16.2588722661303-1.3607956841821i</v>
      </c>
      <c r="AD113" s="20">
        <f t="shared" si="125"/>
        <v>24.252124434299255</v>
      </c>
      <c r="AE113" s="44">
        <f t="shared" si="126"/>
        <v>-4.7842529267838163</v>
      </c>
      <c r="AF113" t="str">
        <f t="shared" si="127"/>
        <v>45.9520231294187</v>
      </c>
      <c r="AG113" t="str">
        <f t="shared" si="108"/>
        <v>1+0.0395286691728844i</v>
      </c>
      <c r="AH113">
        <f t="shared" si="128"/>
        <v>1.0007809528995739</v>
      </c>
      <c r="AI113">
        <f t="shared" si="129"/>
        <v>3.9508100397646607E-2</v>
      </c>
      <c r="AJ113" t="str">
        <f t="shared" si="109"/>
        <v>1+0.0000895983167918715i</v>
      </c>
      <c r="AK113">
        <f t="shared" si="130"/>
        <v>1.0000000040139292</v>
      </c>
      <c r="AL113">
        <f t="shared" si="131"/>
        <v>8.9598316552110633E-5</v>
      </c>
      <c r="AM113" t="str">
        <f t="shared" si="110"/>
        <v>1-0.000200460810811845i</v>
      </c>
      <c r="AN113">
        <f t="shared" si="132"/>
        <v>1.0000000200922681</v>
      </c>
      <c r="AO113">
        <f t="shared" si="133"/>
        <v>-2.0046080812670348E-4</v>
      </c>
      <c r="AP113" s="42" t="str">
        <f t="shared" si="134"/>
        <v>45.8801341523367-1.81867500040466i</v>
      </c>
      <c r="AQ113">
        <f t="shared" si="135"/>
        <v>33.239312322481602</v>
      </c>
      <c r="AR113" s="44">
        <f t="shared" si="136"/>
        <v>-2.2699993622378045</v>
      </c>
      <c r="AS113" t="str">
        <f t="shared" si="111"/>
        <v>-0.000166666666666667</v>
      </c>
      <c r="AT113" t="str">
        <f t="shared" si="112"/>
        <v>7.06706723695887E-06i</v>
      </c>
      <c r="AU113">
        <f t="shared" si="137"/>
        <v>7.0670672369588699E-6</v>
      </c>
      <c r="AV113">
        <f t="shared" si="138"/>
        <v>1.5707963267948966</v>
      </c>
      <c r="AW113" t="str">
        <f t="shared" si="113"/>
        <v>1+0.00128753207212408i</v>
      </c>
      <c r="AX113">
        <f t="shared" si="139"/>
        <v>1.0000008288690747</v>
      </c>
      <c r="AY113">
        <f t="shared" si="140"/>
        <v>1.2875313606608145E-3</v>
      </c>
      <c r="AZ113" t="str">
        <f t="shared" si="114"/>
        <v>1+0.0262075076616224i</v>
      </c>
      <c r="BA113">
        <f t="shared" si="141"/>
        <v>1.0003433577816339</v>
      </c>
      <c r="BB113">
        <f t="shared" si="142"/>
        <v>2.6201510068667482E-2</v>
      </c>
      <c r="BC113" s="42" t="str">
        <f t="shared" si="143"/>
        <v>-0.58770098550525+23.5843255220195i</v>
      </c>
      <c r="BD113">
        <f t="shared" si="144"/>
        <v>27.45516518344543</v>
      </c>
      <c r="BE113" s="44">
        <f t="shared" si="145"/>
        <v>91.427465830847567</v>
      </c>
      <c r="BF113" s="42" t="str">
        <f t="shared" si="146"/>
        <v>22.5380931307011+384.254277110017i</v>
      </c>
      <c r="BG113" s="20">
        <f t="shared" si="147"/>
        <v>51.707289617744685</v>
      </c>
      <c r="BH113" s="44">
        <f t="shared" si="148"/>
        <v>86.643212904063773</v>
      </c>
      <c r="BI113" s="42" t="str">
        <f t="shared" si="101"/>
        <v>15.9284231718611+1083.12085593268i</v>
      </c>
      <c r="BJ113" s="20">
        <f t="shared" si="149"/>
        <v>60.694477505926997</v>
      </c>
      <c r="BK113" s="44">
        <f t="shared" si="102"/>
        <v>89.157466468609783</v>
      </c>
      <c r="BL113">
        <f t="shared" si="150"/>
        <v>51.707289617744685</v>
      </c>
      <c r="BM113" s="44">
        <f t="shared" si="151"/>
        <v>86.643212904063773</v>
      </c>
    </row>
    <row r="114" spans="14:65" x14ac:dyDescent="0.35">
      <c r="N114" s="9">
        <v>96</v>
      </c>
      <c r="O114" s="35">
        <f t="shared" si="115"/>
        <v>91.201083935590972</v>
      </c>
      <c r="P114" s="34" t="str">
        <f t="shared" si="103"/>
        <v>16.3709677419355</v>
      </c>
      <c r="Q114" s="4" t="str">
        <f t="shared" si="104"/>
        <v>1+0.0842913514922027i</v>
      </c>
      <c r="R114" s="4">
        <f t="shared" si="116"/>
        <v>1.0035462281013179</v>
      </c>
      <c r="S114" s="4">
        <f t="shared" si="117"/>
        <v>8.4092567312577374E-2</v>
      </c>
      <c r="T114" s="4" t="str">
        <f t="shared" si="105"/>
        <v>1+0.0000916853296932731i</v>
      </c>
      <c r="U114" s="4">
        <f t="shared" si="118"/>
        <v>1.0000000042030999</v>
      </c>
      <c r="V114" s="4">
        <f t="shared" si="119"/>
        <v>9.1685329436364704E-5</v>
      </c>
      <c r="W114" t="str">
        <f t="shared" si="106"/>
        <v>1-0.00119986158501656i</v>
      </c>
      <c r="X114" s="4">
        <f t="shared" si="120"/>
        <v>1.0000007198336525</v>
      </c>
      <c r="Y114" s="4">
        <f t="shared" si="121"/>
        <v>-1.1998610092163518E-3</v>
      </c>
      <c r="Z114" t="str">
        <f t="shared" si="107"/>
        <v>0.999999992802477+0.000236299614068124i</v>
      </c>
      <c r="AA114" s="4">
        <f t="shared" si="122"/>
        <v>1.0000000207212305</v>
      </c>
      <c r="AB114" s="4">
        <f t="shared" si="123"/>
        <v>2.362996113707688E-4</v>
      </c>
      <c r="AC114" s="48" t="str">
        <f t="shared" si="124"/>
        <v>16.25362663946-1.39205052656019i</v>
      </c>
      <c r="AD114" s="20">
        <f t="shared" si="125"/>
        <v>24.250745504959177</v>
      </c>
      <c r="AE114" s="44">
        <f t="shared" si="126"/>
        <v>-4.8951819552730065</v>
      </c>
      <c r="AF114" t="str">
        <f t="shared" si="127"/>
        <v>45.9520231294187</v>
      </c>
      <c r="AG114" t="str">
        <f t="shared" si="108"/>
        <v>1+0.0404494101587969i</v>
      </c>
      <c r="AH114">
        <f t="shared" si="128"/>
        <v>1.0008177430392582</v>
      </c>
      <c r="AI114">
        <f t="shared" si="129"/>
        <v>4.0427371291530782E-2</v>
      </c>
      <c r="AJ114" t="str">
        <f t="shared" si="109"/>
        <v>1+0.0000916853296932731i</v>
      </c>
      <c r="AK114">
        <f t="shared" si="130"/>
        <v>1.0000000042030999</v>
      </c>
      <c r="AL114">
        <f t="shared" si="131"/>
        <v>9.1685329436364704E-5</v>
      </c>
      <c r="AM114" t="str">
        <f t="shared" si="110"/>
        <v>1-0.000205130142930679i</v>
      </c>
      <c r="AN114">
        <f t="shared" si="132"/>
        <v>1.0000000210391875</v>
      </c>
      <c r="AO114">
        <f t="shared" si="133"/>
        <v>-2.05130140053498E-4</v>
      </c>
      <c r="AP114" s="42" t="str">
        <f t="shared" si="134"/>
        <v>45.8767516635013-1.86090056347203i</v>
      </c>
      <c r="AQ114">
        <f t="shared" si="135"/>
        <v>33.23899303248816</v>
      </c>
      <c r="AR114" s="44">
        <f t="shared" si="136"/>
        <v>-2.3228176606690845</v>
      </c>
      <c r="AS114" t="str">
        <f t="shared" si="111"/>
        <v>-0.000166666666666667</v>
      </c>
      <c r="AT114" t="str">
        <f t="shared" si="112"/>
        <v>7.23168037955692E-06i</v>
      </c>
      <c r="AU114">
        <f t="shared" si="137"/>
        <v>7.2316803795569197E-6</v>
      </c>
      <c r="AV114">
        <f t="shared" si="138"/>
        <v>1.5707963267948966</v>
      </c>
      <c r="AW114" t="str">
        <f t="shared" si="113"/>
        <v>1+0.00131752254674129i</v>
      </c>
      <c r="AX114">
        <f t="shared" si="139"/>
        <v>1.0000008679324539</v>
      </c>
      <c r="AY114">
        <f t="shared" si="140"/>
        <v>1.3175217843947019E-3</v>
      </c>
      <c r="AZ114" t="str">
        <f t="shared" si="114"/>
        <v>1+0.0268179589352823i</v>
      </c>
      <c r="BA114">
        <f t="shared" si="141"/>
        <v>1.0003595368273621</v>
      </c>
      <c r="BB114">
        <f t="shared" si="142"/>
        <v>2.6811532523386406E-2</v>
      </c>
      <c r="BC114" s="42" t="str">
        <f t="shared" si="143"/>
        <v>-0.587700939590116+23.0475155808542i</v>
      </c>
      <c r="BD114">
        <f t="shared" si="144"/>
        <v>27.25530532417983</v>
      </c>
      <c r="BE114" s="44">
        <f t="shared" si="145"/>
        <v>91.46069921820542</v>
      </c>
      <c r="BF114" s="42" t="str">
        <f t="shared" si="146"/>
        <v>22.5310345524747+375.423822620758i</v>
      </c>
      <c r="BG114" s="20">
        <f t="shared" si="147"/>
        <v>51.506050829139021</v>
      </c>
      <c r="BH114" s="44">
        <f t="shared" si="148"/>
        <v>86.565517262932431</v>
      </c>
      <c r="BI114" s="42" t="str">
        <f t="shared" ref="BI114:BI177" si="152">IMPRODUCT(AP114,BC114)</f>
        <v>15.9273246730598+1058.43880177316i</v>
      </c>
      <c r="BJ114" s="20">
        <f t="shared" si="149"/>
        <v>60.494298356667983</v>
      </c>
      <c r="BK114" s="44">
        <f t="shared" ref="BK114:BK177" si="153">(180/PI())*IMARGUMENT(BI114)</f>
        <v>89.137881557536346</v>
      </c>
      <c r="BL114">
        <f t="shared" si="150"/>
        <v>51.506050829139021</v>
      </c>
      <c r="BM114" s="44">
        <f t="shared" si="151"/>
        <v>86.565517262932431</v>
      </c>
    </row>
    <row r="115" spans="14:65" x14ac:dyDescent="0.35">
      <c r="N115" s="9">
        <v>97</v>
      </c>
      <c r="O115" s="35">
        <f t="shared" si="115"/>
        <v>93.325430079699174</v>
      </c>
      <c r="P115" s="34" t="str">
        <f t="shared" si="103"/>
        <v>16.3709677419355</v>
      </c>
      <c r="Q115" s="4" t="str">
        <f t="shared" si="104"/>
        <v>1+0.0862547492918451i</v>
      </c>
      <c r="R115" s="4">
        <f t="shared" si="116"/>
        <v>1.0037130475267317</v>
      </c>
      <c r="S115" s="4">
        <f t="shared" si="117"/>
        <v>8.6041790739381091E-2</v>
      </c>
      <c r="T115" s="4" t="str">
        <f t="shared" si="105"/>
        <v>1+0.0000938209553700771i</v>
      </c>
      <c r="U115" s="4">
        <f t="shared" si="118"/>
        <v>1.0000000044011859</v>
      </c>
      <c r="V115" s="4">
        <f t="shared" si="119"/>
        <v>9.382095509479479E-5</v>
      </c>
      <c r="W115" t="str">
        <f t="shared" si="106"/>
        <v>1-0.00122780995165432i</v>
      </c>
      <c r="X115" s="4">
        <f t="shared" si="120"/>
        <v>1.0000007537583546</v>
      </c>
      <c r="Y115" s="4">
        <f t="shared" si="121"/>
        <v>-1.2278093346733063E-3</v>
      </c>
      <c r="Z115" t="str">
        <f t="shared" si="107"/>
        <v>0.999999992463268+0.000241803739154559i</v>
      </c>
      <c r="AA115" s="4">
        <f t="shared" si="122"/>
        <v>1.000000021697792</v>
      </c>
      <c r="AB115" s="4">
        <f t="shared" si="123"/>
        <v>2.418037362642909E-4</v>
      </c>
      <c r="AC115" s="48" t="str">
        <f t="shared" si="124"/>
        <v>16.2481373632423-1.42400207255607i</v>
      </c>
      <c r="AD115" s="20">
        <f t="shared" si="125"/>
        <v>24.249302057976202</v>
      </c>
      <c r="AE115" s="44">
        <f t="shared" si="126"/>
        <v>-5.0086585528395124</v>
      </c>
      <c r="AF115" t="str">
        <f t="shared" si="127"/>
        <v>45.9520231294187</v>
      </c>
      <c r="AG115" t="str">
        <f t="shared" si="108"/>
        <v>1+0.0413915979573869i</v>
      </c>
      <c r="AH115">
        <f t="shared" si="128"/>
        <v>1.0008562655953481</v>
      </c>
      <c r="AI115">
        <f t="shared" si="129"/>
        <v>4.1367983976675918E-2</v>
      </c>
      <c r="AJ115" t="str">
        <f t="shared" si="109"/>
        <v>1+0.0000938209553700771i</v>
      </c>
      <c r="AK115">
        <f t="shared" si="130"/>
        <v>1.0000000044011859</v>
      </c>
      <c r="AL115">
        <f t="shared" si="131"/>
        <v>9.382095509479479E-5</v>
      </c>
      <c r="AM115" t="str">
        <f t="shared" si="110"/>
        <v>1-0.000209908237766514i</v>
      </c>
      <c r="AN115">
        <f t="shared" si="132"/>
        <v>1.0000000220307339</v>
      </c>
      <c r="AO115">
        <f t="shared" si="133"/>
        <v>-2.0990823468355901E-4</v>
      </c>
      <c r="AP115" s="42" t="str">
        <f t="shared" si="134"/>
        <v>45.873210295902-1.90409992306835i</v>
      </c>
      <c r="AQ115">
        <f t="shared" si="135"/>
        <v>33.238658719980037</v>
      </c>
      <c r="AR115" s="44">
        <f t="shared" si="136"/>
        <v>-2.3768622000039379</v>
      </c>
      <c r="AS115" t="str">
        <f t="shared" si="111"/>
        <v>-0.000166666666666667</v>
      </c>
      <c r="AT115" t="str">
        <f t="shared" si="112"/>
        <v>7.40012785481483E-06i</v>
      </c>
      <c r="AU115">
        <f t="shared" si="137"/>
        <v>7.4001278548148297E-6</v>
      </c>
      <c r="AV115">
        <f t="shared" si="138"/>
        <v>1.5707963267948966</v>
      </c>
      <c r="AW115" t="str">
        <f t="shared" si="113"/>
        <v>1+0.00134821158925226i</v>
      </c>
      <c r="AX115">
        <f t="shared" si="139"/>
        <v>1.0000009088368318</v>
      </c>
      <c r="AY115">
        <f t="shared" si="140"/>
        <v>1.3482107723832135E-3</v>
      </c>
      <c r="AZ115" t="str">
        <f t="shared" si="114"/>
        <v>1+0.0274426294457475i</v>
      </c>
      <c r="BA115">
        <f t="shared" si="141"/>
        <v>1.000376478087573</v>
      </c>
      <c r="BB115">
        <f t="shared" si="142"/>
        <v>2.7435743561291893E-2</v>
      </c>
      <c r="BC115" s="42" t="str">
        <f t="shared" si="143"/>
        <v>-0.58770089151108+22.522925737514i</v>
      </c>
      <c r="BD115">
        <f t="shared" si="144"/>
        <v>27.055452064673375</v>
      </c>
      <c r="BE115" s="44">
        <f t="shared" si="145"/>
        <v>91.494705526713616</v>
      </c>
      <c r="BF115" s="42" t="str">
        <f t="shared" si="146"/>
        <v>22.5236481164744+366.792478492788i</v>
      </c>
      <c r="BG115" s="20">
        <f t="shared" si="147"/>
        <v>51.304754122649577</v>
      </c>
      <c r="BH115" s="44">
        <f t="shared" si="148"/>
        <v>86.48604697387411</v>
      </c>
      <c r="BI115" s="42" t="str">
        <f t="shared" si="152"/>
        <v>15.9261745766977+1034.31795005828i</v>
      </c>
      <c r="BJ115" s="20">
        <f t="shared" si="149"/>
        <v>60.294110784653434</v>
      </c>
      <c r="BK115" s="44">
        <f t="shared" si="153"/>
        <v>89.117843326709689</v>
      </c>
      <c r="BL115">
        <f t="shared" si="150"/>
        <v>51.304754122649577</v>
      </c>
      <c r="BM115" s="44">
        <f t="shared" si="151"/>
        <v>86.48604697387411</v>
      </c>
    </row>
    <row r="116" spans="14:65" x14ac:dyDescent="0.35">
      <c r="N116" s="9">
        <v>98</v>
      </c>
      <c r="O116" s="35">
        <f t="shared" si="115"/>
        <v>95.499258602143655</v>
      </c>
      <c r="P116" s="34" t="str">
        <f t="shared" si="103"/>
        <v>16.3709677419355</v>
      </c>
      <c r="Q116" s="4" t="str">
        <f t="shared" si="104"/>
        <v>1+0.0882638805012784i</v>
      </c>
      <c r="R116" s="4">
        <f t="shared" si="116"/>
        <v>1.0038876991980448</v>
      </c>
      <c r="S116" s="4">
        <f t="shared" si="117"/>
        <v>8.8035739001355015E-2</v>
      </c>
      <c r="T116" s="4" t="str">
        <f t="shared" si="105"/>
        <v>1+0.0000960063261592853i</v>
      </c>
      <c r="U116" s="4">
        <f t="shared" si="118"/>
        <v>1.0000000046086073</v>
      </c>
      <c r="V116" s="4">
        <f t="shared" si="119"/>
        <v>9.6006325864314999E-5</v>
      </c>
      <c r="W116" t="str">
        <f t="shared" si="106"/>
        <v>1-0.00125640931938044i</v>
      </c>
      <c r="X116" s="4">
        <f t="shared" si="120"/>
        <v>1.0000007892818774</v>
      </c>
      <c r="Y116" s="4">
        <f t="shared" si="121"/>
        <v>-1.2564086582734009E-3</v>
      </c>
      <c r="Z116" t="str">
        <f t="shared" si="107"/>
        <v>0.999999992108073+0.000247436071784143i</v>
      </c>
      <c r="AA116" s="4">
        <f t="shared" si="122"/>
        <v>1.0000000227203774</v>
      </c>
      <c r="AB116" s="4">
        <f t="shared" si="123"/>
        <v>2.4743606868716486E-4</v>
      </c>
      <c r="AC116" s="48" t="str">
        <f t="shared" si="124"/>
        <v>16.2423932950762-1.4566643480618i</v>
      </c>
      <c r="AD116" s="20">
        <f t="shared" si="125"/>
        <v>24.24779109766202</v>
      </c>
      <c r="AE116" s="44">
        <f t="shared" si="126"/>
        <v>-5.1247394897121605</v>
      </c>
      <c r="AF116" t="str">
        <f t="shared" si="127"/>
        <v>45.9520231294187</v>
      </c>
      <c r="AG116" t="str">
        <f t="shared" si="108"/>
        <v>1+0.0423557321290963i</v>
      </c>
      <c r="AH116">
        <f t="shared" si="128"/>
        <v>1.0008966020744559</v>
      </c>
      <c r="AI116">
        <f t="shared" si="129"/>
        <v>4.2330430516909219E-2</v>
      </c>
      <c r="AJ116" t="str">
        <f t="shared" si="109"/>
        <v>1+0.0000960063261592853i</v>
      </c>
      <c r="AK116">
        <f t="shared" si="130"/>
        <v>1.0000000046086073</v>
      </c>
      <c r="AL116">
        <f t="shared" si="131"/>
        <v>9.6006325864314999E-5</v>
      </c>
      <c r="AM116" t="str">
        <f t="shared" si="110"/>
        <v>1-0.000214797628728476i</v>
      </c>
      <c r="AN116">
        <f t="shared" si="132"/>
        <v>1.0000000230690105</v>
      </c>
      <c r="AO116">
        <f t="shared" si="133"/>
        <v>-2.1479762542503023E-4</v>
      </c>
      <c r="AP116" s="42" t="str">
        <f t="shared" si="134"/>
        <v>45.8695026131033-1.94829506625872i</v>
      </c>
      <c r="AQ116">
        <f t="shared" si="135"/>
        <v>33.238308679390954</v>
      </c>
      <c r="AR116" s="44">
        <f t="shared" si="136"/>
        <v>-2.4321612536983857</v>
      </c>
      <c r="AS116" t="str">
        <f t="shared" si="111"/>
        <v>-0.000166666666666667</v>
      </c>
      <c r="AT116" t="str">
        <f t="shared" si="112"/>
        <v>7.57249897581362E-06i</v>
      </c>
      <c r="AU116">
        <f t="shared" si="137"/>
        <v>7.5724989758136202E-6</v>
      </c>
      <c r="AV116">
        <f t="shared" si="138"/>
        <v>1.5707963267948966</v>
      </c>
      <c r="AW116" t="str">
        <f t="shared" si="113"/>
        <v>1+0.00137961547139353i</v>
      </c>
      <c r="AX116">
        <f t="shared" si="139"/>
        <v>1.0000009516689716</v>
      </c>
      <c r="AY116">
        <f t="shared" si="140"/>
        <v>1.3796145961026218E-3</v>
      </c>
      <c r="AZ116" t="str">
        <f t="shared" si="114"/>
        <v>1+0.0280818504015909i</v>
      </c>
      <c r="BA116">
        <f t="shared" si="141"/>
        <v>1.0003942174572868</v>
      </c>
      <c r="BB116">
        <f t="shared" si="142"/>
        <v>2.8074472200486554E-2</v>
      </c>
      <c r="BC116" s="42" t="str">
        <f t="shared" si="143"/>
        <v>-0.587700841166155+22.01027784752i</v>
      </c>
      <c r="BD116">
        <f t="shared" si="144"/>
        <v>26.855605715493699</v>
      </c>
      <c r="BE116" s="44">
        <f t="shared" si="145"/>
        <v>91.529502675433918</v>
      </c>
      <c r="BF116" s="42" t="str">
        <f t="shared" si="146"/>
        <v>22.515918829349+358.355672195976i</v>
      </c>
      <c r="BG116" s="20">
        <f t="shared" si="147"/>
        <v>51.103396813155726</v>
      </c>
      <c r="BH116" s="44">
        <f t="shared" si="148"/>
        <v>86.404763185721762</v>
      </c>
      <c r="BI116" s="42" t="str">
        <f t="shared" si="152"/>
        <v>15.9249704677129+1010.74551189123i</v>
      </c>
      <c r="BJ116" s="20">
        <f t="shared" si="149"/>
        <v>60.093914394884671</v>
      </c>
      <c r="BK116" s="44">
        <f t="shared" si="153"/>
        <v>89.097341421735536</v>
      </c>
      <c r="BL116">
        <f t="shared" si="150"/>
        <v>51.103396813155726</v>
      </c>
      <c r="BM116" s="44">
        <f t="shared" si="151"/>
        <v>86.404763185721762</v>
      </c>
    </row>
    <row r="117" spans="14:65" x14ac:dyDescent="0.35">
      <c r="N117" s="9">
        <v>99</v>
      </c>
      <c r="O117" s="35">
        <f t="shared" si="115"/>
        <v>97.723722095581124</v>
      </c>
      <c r="P117" s="34" t="str">
        <f t="shared" si="103"/>
        <v>16.3709677419355</v>
      </c>
      <c r="Q117" s="4" t="str">
        <f t="shared" si="104"/>
        <v>1+0.090319810388464i</v>
      </c>
      <c r="R117" s="4">
        <f t="shared" si="116"/>
        <v>1.0040705493881434</v>
      </c>
      <c r="S117" s="4">
        <f t="shared" si="117"/>
        <v>9.0075405860298025E-2</v>
      </c>
      <c r="T117" s="4" t="str">
        <f t="shared" si="105"/>
        <v>1+0.000098242600773417i</v>
      </c>
      <c r="U117" s="4">
        <f t="shared" si="118"/>
        <v>1.0000000048258042</v>
      </c>
      <c r="V117" s="4">
        <f t="shared" si="119"/>
        <v>9.8242600457350629E-5</v>
      </c>
      <c r="W117" t="str">
        <f t="shared" si="106"/>
        <v>1-0.00128567485195824i</v>
      </c>
      <c r="X117" s="4">
        <f t="shared" si="120"/>
        <v>1.000000826479571</v>
      </c>
      <c r="Y117" s="4">
        <f t="shared" si="121"/>
        <v>-1.2856741435693165E-3</v>
      </c>
      <c r="Z117" t="str">
        <f t="shared" si="107"/>
        <v>0.999999991736138+0.000253199598294191i</v>
      </c>
      <c r="AA117" s="4">
        <f t="shared" si="122"/>
        <v>1.0000000237911562</v>
      </c>
      <c r="AB117" s="4">
        <f t="shared" si="123"/>
        <v>2.531995949757191E-4</v>
      </c>
      <c r="AC117" s="48" t="str">
        <f t="shared" si="124"/>
        <v>16.236382799709-1.49005155264077i</v>
      </c>
      <c r="AD117" s="20">
        <f t="shared" si="125"/>
        <v>24.24620949143074</v>
      </c>
      <c r="AE117" s="44">
        <f t="shared" si="126"/>
        <v>-5.2434826777705865</v>
      </c>
      <c r="AF117" t="str">
        <f t="shared" si="127"/>
        <v>45.9520231294187</v>
      </c>
      <c r="AG117" t="str">
        <f t="shared" si="108"/>
        <v>1+0.043342323870625i</v>
      </c>
      <c r="AH117">
        <f t="shared" si="128"/>
        <v>1.0009388378110353</v>
      </c>
      <c r="AI117">
        <f t="shared" si="129"/>
        <v>4.3315214077922083E-2</v>
      </c>
      <c r="AJ117" t="str">
        <f t="shared" si="109"/>
        <v>1+0.000098242600773417i</v>
      </c>
      <c r="AK117">
        <f t="shared" si="130"/>
        <v>1.0000000048258042</v>
      </c>
      <c r="AL117">
        <f t="shared" si="131"/>
        <v>9.8242600457350629E-5</v>
      </c>
      <c r="AM117" t="str">
        <f t="shared" si="110"/>
        <v>1-0.000219800908236373i</v>
      </c>
      <c r="AN117">
        <f t="shared" si="132"/>
        <v>1.0000000241562192</v>
      </c>
      <c r="AO117">
        <f t="shared" si="133"/>
        <v>-2.1980090469666708E-4</v>
      </c>
      <c r="AP117" s="42" t="str">
        <f t="shared" si="134"/>
        <v>45.86562083313-1.99350844283292i</v>
      </c>
      <c r="AQ117">
        <f t="shared" si="135"/>
        <v>33.237942172135526</v>
      </c>
      <c r="AR117" s="44">
        <f t="shared" si="136"/>
        <v>-2.4887437331682678</v>
      </c>
      <c r="AS117" t="str">
        <f t="shared" si="111"/>
        <v>-0.000166666666666667</v>
      </c>
      <c r="AT117" t="str">
        <f t="shared" si="112"/>
        <v>7.74888513600327E-06i</v>
      </c>
      <c r="AU117">
        <f t="shared" si="137"/>
        <v>7.7488851360032695E-6</v>
      </c>
      <c r="AV117">
        <f t="shared" si="138"/>
        <v>1.5707963267948966</v>
      </c>
      <c r="AW117" t="str">
        <f t="shared" si="113"/>
        <v>1+0.00141175084391911i</v>
      </c>
      <c r="AX117">
        <f t="shared" si="139"/>
        <v>1.0000009965197261</v>
      </c>
      <c r="AY117">
        <f t="shared" si="140"/>
        <v>1.4117499060280546E-3</v>
      </c>
      <c r="AZ117" t="str">
        <f t="shared" si="114"/>
        <v>1+0.0287359607262244i</v>
      </c>
      <c r="BA117">
        <f t="shared" si="141"/>
        <v>1.000412792520597</v>
      </c>
      <c r="BB117">
        <f t="shared" si="142"/>
        <v>2.8728055017477269E-2</v>
      </c>
      <c r="BC117" s="42" t="str">
        <f t="shared" si="143"/>
        <v>-0.587700788448555+21.5093000981747i</v>
      </c>
      <c r="BD117">
        <f t="shared" si="144"/>
        <v>26.655766601799698</v>
      </c>
      <c r="BE117" s="44">
        <f t="shared" si="145"/>
        <v>91.565108994777688</v>
      </c>
      <c r="BF117" s="42" t="str">
        <f t="shared" si="146"/>
        <v>22.5078310345599+350.108934620099i</v>
      </c>
      <c r="BG117" s="20">
        <f t="shared" si="147"/>
        <v>50.901976093230445</v>
      </c>
      <c r="BH117" s="44">
        <f t="shared" si="148"/>
        <v>86.321626317007116</v>
      </c>
      <c r="BI117" s="42" t="str">
        <f t="shared" si="152"/>
        <v>15.9237098188252+987.708989172518i</v>
      </c>
      <c r="BJ117" s="20">
        <f t="shared" si="149"/>
        <v>59.893708773935224</v>
      </c>
      <c r="BK117" s="44">
        <f t="shared" si="153"/>
        <v>89.076365261609425</v>
      </c>
      <c r="BL117">
        <f t="shared" si="150"/>
        <v>50.901976093230445</v>
      </c>
      <c r="BM117" s="44">
        <f t="shared" si="151"/>
        <v>86.321626317007116</v>
      </c>
    </row>
    <row r="118" spans="14:65" x14ac:dyDescent="0.35">
      <c r="N118" s="9">
        <v>100</v>
      </c>
      <c r="O118" s="35">
        <f t="shared" si="115"/>
        <v>100</v>
      </c>
      <c r="P118" s="34" t="str">
        <f t="shared" si="103"/>
        <v>16.3709677419355</v>
      </c>
      <c r="Q118" s="4" t="str">
        <f t="shared" si="104"/>
        <v>1+0.0924236290346417i</v>
      </c>
      <c r="R118" s="4">
        <f t="shared" si="116"/>
        <v>1.0042619813594125</v>
      </c>
      <c r="S118" s="4">
        <f t="shared" si="117"/>
        <v>9.2161804852947046E-2</v>
      </c>
      <c r="T118" s="4" t="str">
        <f t="shared" si="105"/>
        <v>1+0.000100530964914873i</v>
      </c>
      <c r="U118" s="4">
        <f t="shared" si="118"/>
        <v>1.0000000050532374</v>
      </c>
      <c r="V118" s="4">
        <f t="shared" si="119"/>
        <v>1.0053096457620178E-4</v>
      </c>
      <c r="W118" t="str">
        <f t="shared" si="106"/>
        <v>1-0.00131562206636046i</v>
      </c>
      <c r="X118" s="4">
        <f t="shared" si="120"/>
        <v>1.0000008654303363</v>
      </c>
      <c r="Y118" s="4">
        <f t="shared" si="121"/>
        <v>-1.3156213073080882E-3</v>
      </c>
      <c r="Z118" t="str">
        <f t="shared" si="107"/>
        <v>0.999999991346674+0.000259097374582748i</v>
      </c>
      <c r="AA118" s="4">
        <f t="shared" si="122"/>
        <v>1.0000000249123984</v>
      </c>
      <c r="AB118" s="4">
        <f t="shared" si="123"/>
        <v>2.5909737102694134E-4</v>
      </c>
      <c r="AC118" s="48" t="str">
        <f t="shared" si="124"/>
        <v>16.2300937288391-1.52417805316469i</v>
      </c>
      <c r="AD118" s="20">
        <f t="shared" si="125"/>
        <v>24.244553963753127</v>
      </c>
      <c r="AE118" s="44">
        <f t="shared" si="126"/>
        <v>-5.3649471845905961</v>
      </c>
      <c r="AF118" t="str">
        <f t="shared" si="127"/>
        <v>45.9520231294187</v>
      </c>
      <c r="AG118" t="str">
        <f t="shared" si="108"/>
        <v>1+0.0443518962859735i</v>
      </c>
      <c r="AH118">
        <f t="shared" si="128"/>
        <v>1.000983062146489</v>
      </c>
      <c r="AI118">
        <f t="shared" si="129"/>
        <v>4.432284916030723E-2</v>
      </c>
      <c r="AJ118" t="str">
        <f t="shared" si="109"/>
        <v>1+0.000100530964914873i</v>
      </c>
      <c r="AK118">
        <f t="shared" si="130"/>
        <v>1.0000000050532374</v>
      </c>
      <c r="AL118">
        <f t="shared" si="131"/>
        <v>1.0053096457620178E-4</v>
      </c>
      <c r="AM118" t="str">
        <f t="shared" si="110"/>
        <v>1-0.000224920729095225i</v>
      </c>
      <c r="AN118">
        <f t="shared" si="132"/>
        <v>1.0000000252946668</v>
      </c>
      <c r="AO118">
        <f t="shared" si="133"/>
        <v>-2.249207253023618E-4</v>
      </c>
      <c r="AP118" s="42" t="str">
        <f t="shared" si="134"/>
        <v>45.8615568126546-2.03976297258881i</v>
      </c>
      <c r="AQ118">
        <f t="shared" si="135"/>
        <v>33.23755842507542</v>
      </c>
      <c r="AR118" s="44">
        <f t="shared" si="136"/>
        <v>-2.5466392011848118</v>
      </c>
      <c r="AS118" t="str">
        <f t="shared" si="111"/>
        <v>-0.000166666666666667</v>
      </c>
      <c r="AT118" t="str">
        <f t="shared" si="112"/>
        <v>7.92937985766064E-06i</v>
      </c>
      <c r="AU118">
        <f t="shared" si="137"/>
        <v>7.9293798576606407E-6</v>
      </c>
      <c r="AV118">
        <f t="shared" si="138"/>
        <v>1.5707963267948966</v>
      </c>
      <c r="AW118" t="str">
        <f t="shared" si="113"/>
        <v>1+0.00144463474542887i</v>
      </c>
      <c r="AX118">
        <f t="shared" si="139"/>
        <v>1.0000010434842295</v>
      </c>
      <c r="AY118">
        <f t="shared" si="140"/>
        <v>1.4446337404605547E-3</v>
      </c>
      <c r="AZ118" t="str">
        <f t="shared" si="114"/>
        <v>1+0.0294053072376004i</v>
      </c>
      <c r="BA118">
        <f t="shared" si="141"/>
        <v>1.0004322426300232</v>
      </c>
      <c r="BB118">
        <f t="shared" si="142"/>
        <v>2.9396836315716116E-2</v>
      </c>
      <c r="BC118" s="42" t="str">
        <f t="shared" si="143"/>
        <v>-0.587700733246463+21.0197268644437i</v>
      </c>
      <c r="BD118">
        <f t="shared" si="144"/>
        <v>26.455935064024963</v>
      </c>
      <c r="BE118" s="44">
        <f t="shared" si="145"/>
        <v>91.601543235656862</v>
      </c>
      <c r="BF118" s="42" t="str">
        <f t="shared" si="146"/>
        <v>22.4993683852038+342.047897723962i</v>
      </c>
      <c r="BG118" s="20">
        <f t="shared" si="147"/>
        <v>50.700489027778097</v>
      </c>
      <c r="BH118" s="44">
        <f t="shared" si="148"/>
        <v>86.236596051066272</v>
      </c>
      <c r="BI118" s="42" t="str">
        <f t="shared" si="152"/>
        <v>15.9223899854011+965.196167974806i</v>
      </c>
      <c r="BJ118" s="20">
        <f t="shared" si="149"/>
        <v>59.693493489100376</v>
      </c>
      <c r="BK118" s="44">
        <f t="shared" si="153"/>
        <v>89.054904034472059</v>
      </c>
      <c r="BL118">
        <f t="shared" si="150"/>
        <v>50.700489027778097</v>
      </c>
      <c r="BM118" s="44">
        <f t="shared" si="151"/>
        <v>86.236596051066272</v>
      </c>
    </row>
    <row r="119" spans="14:65" x14ac:dyDescent="0.35">
      <c r="N119" s="9">
        <v>1</v>
      </c>
      <c r="O119" s="35">
        <f>10^(2+(N119/100))</f>
        <v>102.32929922807544</v>
      </c>
      <c r="P119" s="34" t="str">
        <f t="shared" si="103"/>
        <v>16.3709677419355</v>
      </c>
      <c r="Q119" s="4" t="str">
        <f t="shared" si="104"/>
        <v>1+0.0945764519123048i</v>
      </c>
      <c r="R119" s="4">
        <f t="shared" si="116"/>
        <v>1.0044623961385117</v>
      </c>
      <c r="S119" s="4">
        <f t="shared" si="117"/>
        <v>9.4295969517732628E-2</v>
      </c>
      <c r="T119" s="4" t="str">
        <f t="shared" si="105"/>
        <v>1+0.000102872631904612i</v>
      </c>
      <c r="U119" s="4">
        <f t="shared" si="118"/>
        <v>1.0000000052913891</v>
      </c>
      <c r="V119" s="4">
        <f t="shared" si="119"/>
        <v>1.0287263154171924E-4</v>
      </c>
      <c r="W119" t="str">
        <f t="shared" si="106"/>
        <v>1-0.00134626684099658i</v>
      </c>
      <c r="X119" s="4">
        <f t="shared" si="120"/>
        <v>1.0000009062167929</v>
      </c>
      <c r="Y119" s="4">
        <f t="shared" si="121"/>
        <v>-1.3462660276573498E-3</v>
      </c>
      <c r="Z119" t="str">
        <f t="shared" si="107"/>
        <v>0.999999990938855+0.000265132527728868i</v>
      </c>
      <c r="AA119" s="4">
        <f t="shared" si="122"/>
        <v>1.0000000260864834</v>
      </c>
      <c r="AB119" s="4">
        <f t="shared" si="123"/>
        <v>2.6513252391875263E-4</v>
      </c>
      <c r="AC119" s="48" t="str">
        <f t="shared" si="124"/>
        <v>16.2235134002472-1.55905837662167i</v>
      </c>
      <c r="AD119" s="20">
        <f t="shared" si="125"/>
        <v>24.242821089864073</v>
      </c>
      <c r="AE119" s="44">
        <f t="shared" si="126"/>
        <v>-5.4891932469643914</v>
      </c>
      <c r="AF119" t="str">
        <f t="shared" si="127"/>
        <v>45.9520231294187</v>
      </c>
      <c r="AG119" t="str">
        <f t="shared" si="108"/>
        <v>1+0.0453849846637994i</v>
      </c>
      <c r="AH119">
        <f t="shared" si="128"/>
        <v>1.0010293686165923</v>
      </c>
      <c r="AI119">
        <f t="shared" si="129"/>
        <v>4.5353861836217556E-2</v>
      </c>
      <c r="AJ119" t="str">
        <f t="shared" si="109"/>
        <v>1+0.000102872631904612i</v>
      </c>
      <c r="AK119">
        <f t="shared" si="130"/>
        <v>1.0000000052913891</v>
      </c>
      <c r="AL119">
        <f t="shared" si="131"/>
        <v>1.0287263154171924E-4</v>
      </c>
      <c r="AM119" t="str">
        <f t="shared" si="110"/>
        <v>1-0.000230159805901822i</v>
      </c>
      <c r="AN119">
        <f t="shared" si="132"/>
        <v>1.0000000264867677</v>
      </c>
      <c r="AO119">
        <f t="shared" si="133"/>
        <v>-2.3015980183769584E-4</v>
      </c>
      <c r="AP119" s="42" t="str">
        <f t="shared" si="134"/>
        <v>45.8573020304848-2.08708205254037i</v>
      </c>
      <c r="AQ119">
        <f t="shared" si="135"/>
        <v>33.237156628915493</v>
      </c>
      <c r="AR119" s="44">
        <f t="shared" si="136"/>
        <v>-2.6058778854788449</v>
      </c>
      <c r="AS119" t="str">
        <f t="shared" si="111"/>
        <v>-0.000166666666666667</v>
      </c>
      <c r="AT119" t="str">
        <f t="shared" si="112"/>
        <v>0.0000081140788414763i</v>
      </c>
      <c r="AU119">
        <f t="shared" si="137"/>
        <v>8.1140788414762999E-6</v>
      </c>
      <c r="AV119">
        <f t="shared" si="138"/>
        <v>1.5707963267948966</v>
      </c>
      <c r="AW119" t="str">
        <f t="shared" si="113"/>
        <v>1+0.00147828461140265i</v>
      </c>
      <c r="AX119">
        <f t="shared" si="139"/>
        <v>1.0000010926620992</v>
      </c>
      <c r="AY119">
        <f t="shared" si="140"/>
        <v>1.4782835345597625E-3</v>
      </c>
      <c r="AZ119" t="str">
        <f t="shared" si="114"/>
        <v>1+0.0300902448320991i</v>
      </c>
      <c r="BA119">
        <f t="shared" si="141"/>
        <v>1.0004526089895791</v>
      </c>
      <c r="BB119">
        <f t="shared" si="142"/>
        <v>3.0081168297532327E-2</v>
      </c>
      <c r="BC119" s="42" t="str">
        <f t="shared" si="143"/>
        <v>-0.587700675442788+20.5412985681177i</v>
      </c>
      <c r="BD119">
        <f t="shared" si="144"/>
        <v>26.256111458592834</v>
      </c>
      <c r="BE119" s="44">
        <f t="shared" si="145"/>
        <v>91.638824578817378</v>
      </c>
      <c r="BF119" s="42" t="str">
        <f t="shared" si="146"/>
        <v>22.4905138159302+334.168292239331i</v>
      </c>
      <c r="BG119" s="20">
        <f t="shared" si="147"/>
        <v>50.498932548456892</v>
      </c>
      <c r="BH119" s="44">
        <f t="shared" si="148"/>
        <v>86.149631331852987</v>
      </c>
      <c r="BI119" s="42" t="str">
        <f t="shared" si="152"/>
        <v>15.9210082000918+943.195112068521i</v>
      </c>
      <c r="BJ119" s="20">
        <f t="shared" si="149"/>
        <v>59.493268087508334</v>
      </c>
      <c r="BK119" s="44">
        <f t="shared" si="153"/>
        <v>89.032946693338531</v>
      </c>
      <c r="BL119">
        <f t="shared" si="150"/>
        <v>50.498932548456892</v>
      </c>
      <c r="BM119" s="44">
        <f t="shared" si="151"/>
        <v>86.149631331852987</v>
      </c>
    </row>
    <row r="120" spans="14:65" x14ac:dyDescent="0.35">
      <c r="N120" s="9">
        <v>2</v>
      </c>
      <c r="O120" s="35">
        <f t="shared" ref="O120:O183" si="154">10^(2+(N120/100))</f>
        <v>104.71285480508998</v>
      </c>
      <c r="P120" s="34" t="str">
        <f t="shared" si="103"/>
        <v>16.3709677419355</v>
      </c>
      <c r="Q120" s="4" t="str">
        <f t="shared" si="104"/>
        <v>1+0.0967794204766393i</v>
      </c>
      <c r="R120" s="4">
        <f t="shared" si="116"/>
        <v>1.0046722133252188</v>
      </c>
      <c r="S120" s="4">
        <f t="shared" si="117"/>
        <v>9.6478953610971516E-2</v>
      </c>
      <c r="T120" s="4" t="str">
        <f t="shared" si="105"/>
        <v>1+0.000105268843325467i</v>
      </c>
      <c r="U120" s="4">
        <f t="shared" si="118"/>
        <v>1.0000000055407647</v>
      </c>
      <c r="V120" s="4">
        <f t="shared" si="119"/>
        <v>1.0526884293662042E-4</v>
      </c>
      <c r="W120" t="str">
        <f t="shared" si="106"/>
        <v>1-0.00137762542413175i</v>
      </c>
      <c r="X120" s="4">
        <f t="shared" si="120"/>
        <v>1.0000009489254544</v>
      </c>
      <c r="Y120" s="4">
        <f t="shared" si="121"/>
        <v>-1.3776245526231079E-3</v>
      </c>
      <c r="Z120" t="str">
        <f t="shared" si="107"/>
        <v>0.999999990511817+0.000271308257650633i</v>
      </c>
      <c r="AA120" s="4">
        <f t="shared" si="122"/>
        <v>1.000000027315902</v>
      </c>
      <c r="AB120" s="4">
        <f t="shared" si="123"/>
        <v>2.7130825356802064E-4</v>
      </c>
      <c r="AC120" s="48" t="str">
        <f t="shared" si="124"/>
        <v>16.2166285762494-1.59470720203493i</v>
      </c>
      <c r="AD120" s="20">
        <f t="shared" si="125"/>
        <v>24.241007289215105</v>
      </c>
      <c r="AE120" s="44">
        <f t="shared" si="126"/>
        <v>-5.6162822838280295</v>
      </c>
      <c r="AF120" t="str">
        <f t="shared" si="127"/>
        <v>45.9520231294187</v>
      </c>
      <c r="AG120" t="str">
        <f t="shared" si="108"/>
        <v>1+0.0464421367612355i</v>
      </c>
      <c r="AH120">
        <f t="shared" si="128"/>
        <v>1.0010778551476152</v>
      </c>
      <c r="AI120">
        <f t="shared" si="129"/>
        <v>4.6408789989605126E-2</v>
      </c>
      <c r="AJ120" t="str">
        <f t="shared" si="109"/>
        <v>1+0.000105268843325467i</v>
      </c>
      <c r="AK120">
        <f t="shared" si="130"/>
        <v>1.0000000055407647</v>
      </c>
      <c r="AL120">
        <f t="shared" si="131"/>
        <v>1.0526884293662042E-4</v>
      </c>
      <c r="AM120" t="str">
        <f t="shared" si="110"/>
        <v>1-0.000235520916484033i</v>
      </c>
      <c r="AN120">
        <f t="shared" si="132"/>
        <v>1.0000000277350507</v>
      </c>
      <c r="AO120">
        <f t="shared" si="133"/>
        <v>-2.3552091212924339E-4</v>
      </c>
      <c r="AP120" s="42" t="str">
        <f t="shared" si="134"/>
        <v>45.852847570323-2.13548956403146i</v>
      </c>
      <c r="AQ120">
        <f t="shared" si="135"/>
        <v>33.236735936526721</v>
      </c>
      <c r="AR120" s="44">
        <f t="shared" si="136"/>
        <v>-2.6664906925509371</v>
      </c>
      <c r="AS120" t="str">
        <f t="shared" si="111"/>
        <v>-0.000166666666666667</v>
      </c>
      <c r="AT120" t="str">
        <f t="shared" si="112"/>
        <v>8.30308001729624E-06i</v>
      </c>
      <c r="AU120">
        <f t="shared" si="137"/>
        <v>8.3030800172962405E-6</v>
      </c>
      <c r="AV120">
        <f t="shared" si="138"/>
        <v>1.5707963267948966</v>
      </c>
      <c r="AW120" t="str">
        <f t="shared" si="113"/>
        <v>1+0.00151271828344481i</v>
      </c>
      <c r="AX120">
        <f t="shared" si="139"/>
        <v>1.000001144157648</v>
      </c>
      <c r="AY120">
        <f t="shared" si="140"/>
        <v>1.5127171295869386E-3</v>
      </c>
      <c r="AZ120" t="str">
        <f t="shared" si="114"/>
        <v>1+0.0307911366726992i</v>
      </c>
      <c r="BA120">
        <f t="shared" si="141"/>
        <v>1.0004739347417286</v>
      </c>
      <c r="BB120">
        <f t="shared" si="142"/>
        <v>3.0781411239496299E-2</v>
      </c>
      <c r="BC120" s="42" t="str">
        <f t="shared" si="143"/>
        <v>-0.587700614914921+20.0737615401805i</v>
      </c>
      <c r="BD120">
        <f t="shared" si="144"/>
        <v>26.056296158664694</v>
      </c>
      <c r="BE120" s="44">
        <f t="shared" si="145"/>
        <v>91.676972644357221</v>
      </c>
      <c r="BF120" s="42" t="str">
        <f t="shared" si="146"/>
        <v>22.481249513949+326.465945428552i</v>
      </c>
      <c r="BG120" s="20">
        <f t="shared" si="147"/>
        <v>50.297303447879784</v>
      </c>
      <c r="BH120" s="44">
        <f t="shared" si="148"/>
        <v>86.060690360529193</v>
      </c>
      <c r="BI120" s="42" t="str">
        <f t="shared" si="152"/>
        <v>15.9195615672326+921.694156594834i</v>
      </c>
      <c r="BJ120" s="20">
        <f t="shared" si="149"/>
        <v>59.293032095191414</v>
      </c>
      <c r="BK120" s="44">
        <f t="shared" si="153"/>
        <v>89.010481951806284</v>
      </c>
      <c r="BL120">
        <f t="shared" si="150"/>
        <v>50.297303447879784</v>
      </c>
      <c r="BM120" s="44">
        <f t="shared" si="151"/>
        <v>86.060690360529193</v>
      </c>
    </row>
    <row r="121" spans="14:65" x14ac:dyDescent="0.35">
      <c r="N121" s="9">
        <v>3</v>
      </c>
      <c r="O121" s="35">
        <f t="shared" si="154"/>
        <v>107.15193052376065</v>
      </c>
      <c r="P121" s="34" t="str">
        <f t="shared" si="103"/>
        <v>16.3709677419355</v>
      </c>
      <c r="Q121" s="4" t="str">
        <f t="shared" si="104"/>
        <v>1+0.0990337027707375i</v>
      </c>
      <c r="R121" s="4">
        <f t="shared" si="116"/>
        <v>1.0048918719367188</v>
      </c>
      <c r="S121" s="4">
        <f t="shared" si="117"/>
        <v>9.8711831311217371E-2</v>
      </c>
      <c r="T121" s="4" t="str">
        <f t="shared" si="105"/>
        <v>1+0.000107720869680451i</v>
      </c>
      <c r="U121" s="4">
        <f t="shared" si="118"/>
        <v>1.0000000058018927</v>
      </c>
      <c r="V121" s="4">
        <f t="shared" si="119"/>
        <v>1.0772086926379437E-4</v>
      </c>
      <c r="W121" t="str">
        <f t="shared" si="106"/>
        <v>1-0.00140971444250182i</v>
      </c>
      <c r="X121" s="4">
        <f t="shared" si="120"/>
        <v>1.000000993646911</v>
      </c>
      <c r="Y121" s="4">
        <f t="shared" si="121"/>
        <v>-1.4097135086635353E-3</v>
      </c>
      <c r="Z121" t="str">
        <f t="shared" si="107"/>
        <v>0.999999990064652+0.000277627838801794i</v>
      </c>
      <c r="AA121" s="4">
        <f t="shared" si="122"/>
        <v>1.0000000286032602</v>
      </c>
      <c r="AB121" s="4">
        <f t="shared" si="123"/>
        <v>2.7762783442719625E-4</v>
      </c>
      <c r="AC121" s="48" t="str">
        <f t="shared" si="124"/>
        <v>16.2094254414674-1.63113935142793i</v>
      </c>
      <c r="AD121" s="20">
        <f t="shared" si="125"/>
        <v>24.239108818663514</v>
      </c>
      <c r="AE121" s="44">
        <f t="shared" si="126"/>
        <v>-5.746276908522832</v>
      </c>
      <c r="AF121" t="str">
        <f t="shared" si="127"/>
        <v>45.9520231294187</v>
      </c>
      <c r="AG121" t="str">
        <f t="shared" si="108"/>
        <v>1+0.0475239130943167i</v>
      </c>
      <c r="AH121">
        <f t="shared" si="128"/>
        <v>1.0011286242615363</v>
      </c>
      <c r="AI121">
        <f t="shared" si="129"/>
        <v>4.748818355998493E-2</v>
      </c>
      <c r="AJ121" t="str">
        <f t="shared" si="109"/>
        <v>1+0.000107720869680451i</v>
      </c>
      <c r="AK121">
        <f t="shared" si="130"/>
        <v>1.0000000058018927</v>
      </c>
      <c r="AL121">
        <f t="shared" si="131"/>
        <v>1.0772086926379437E-4</v>
      </c>
      <c r="AM121" t="str">
        <f t="shared" si="110"/>
        <v>1-0.000241006903373652i</v>
      </c>
      <c r="AN121">
        <f t="shared" si="132"/>
        <v>1.0000000290421633</v>
      </c>
      <c r="AO121">
        <f t="shared" si="133"/>
        <v>-2.4100689870741086E-4</v>
      </c>
      <c r="AP121" s="42" t="str">
        <f t="shared" si="134"/>
        <v>45.8481841027661-2.18500987973519i</v>
      </c>
      <c r="AQ121">
        <f t="shared" si="135"/>
        <v>33.236295461192533</v>
      </c>
      <c r="AR121" s="44">
        <f t="shared" si="136"/>
        <v>-2.728509221684857</v>
      </c>
      <c r="AS121" t="str">
        <f t="shared" si="111"/>
        <v>-0.000166666666666667</v>
      </c>
      <c r="AT121" t="str">
        <f t="shared" si="112"/>
        <v>0.0000084964835960456i</v>
      </c>
      <c r="AU121">
        <f t="shared" si="137"/>
        <v>8.4964835960456001E-6</v>
      </c>
      <c r="AV121">
        <f t="shared" si="138"/>
        <v>1.5707963267948966</v>
      </c>
      <c r="AW121" t="str">
        <f t="shared" si="113"/>
        <v>1+0.00154795401874405i</v>
      </c>
      <c r="AX121">
        <f t="shared" si="139"/>
        <v>1.0000011980801045</v>
      </c>
      <c r="AY121">
        <f t="shared" si="140"/>
        <v>1.5479527823631454E-3</v>
      </c>
      <c r="AZ121" t="str">
        <f t="shared" si="114"/>
        <v>1+0.031508354381532i</v>
      </c>
      <c r="BA121">
        <f t="shared" si="141"/>
        <v>1.0004962650584119</v>
      </c>
      <c r="BB121">
        <f t="shared" si="142"/>
        <v>3.1497933671255363E-2</v>
      </c>
      <c r="BC121" s="42" t="str">
        <f t="shared" si="143"/>
        <v>-0.587700551534478+19.6168678863112i</v>
      </c>
      <c r="BD121">
        <f t="shared" si="144"/>
        <v>25.8564895549234</v>
      </c>
      <c r="BE121" s="44">
        <f t="shared" si="145"/>
        <v>91.716007501430994</v>
      </c>
      <c r="BF121" s="42" t="str">
        <f t="shared" si="146"/>
        <v>22.4715568891177+318.936778894741i</v>
      </c>
      <c r="BG121" s="20">
        <f t="shared" si="147"/>
        <v>50.095598373586903</v>
      </c>
      <c r="BH121" s="44">
        <f t="shared" si="148"/>
        <v>85.969730592908164</v>
      </c>
      <c r="BI121" s="42" t="str">
        <f t="shared" si="152"/>
        <v>15.918047057+900.681901882665i</v>
      </c>
      <c r="BJ121" s="20">
        <f t="shared" si="149"/>
        <v>59.09278501611594</v>
      </c>
      <c r="BK121" s="44">
        <f t="shared" si="153"/>
        <v>88.987498279746148</v>
      </c>
      <c r="BL121">
        <f t="shared" si="150"/>
        <v>50.095598373586903</v>
      </c>
      <c r="BM121" s="44">
        <f t="shared" si="151"/>
        <v>85.969730592908164</v>
      </c>
    </row>
    <row r="122" spans="14:65" x14ac:dyDescent="0.35">
      <c r="N122" s="9">
        <v>4</v>
      </c>
      <c r="O122" s="35">
        <f t="shared" si="154"/>
        <v>109.64781961431861</v>
      </c>
      <c r="P122" s="34" t="str">
        <f t="shared" si="103"/>
        <v>16.3709677419355</v>
      </c>
      <c r="Q122" s="4" t="str">
        <f t="shared" si="104"/>
        <v>1+0.101340494044911i</v>
      </c>
      <c r="R122" s="4">
        <f t="shared" si="116"/>
        <v>1.005121831288758</v>
      </c>
      <c r="S122" s="4">
        <f t="shared" si="117"/>
        <v>0.10099569741040776</v>
      </c>
      <c r="T122" s="4" t="str">
        <f t="shared" si="105"/>
        <v>1+0.000110230011066394i</v>
      </c>
      <c r="U122" s="4">
        <f t="shared" si="118"/>
        <v>1.0000000060753276</v>
      </c>
      <c r="V122" s="4">
        <f t="shared" si="119"/>
        <v>1.1023001061993838E-4</v>
      </c>
      <c r="W122" t="str">
        <f t="shared" si="106"/>
        <v>1-0.00144255091012909i</v>
      </c>
      <c r="X122" s="4">
        <f t="shared" si="120"/>
        <v>1.0000010404760229</v>
      </c>
      <c r="Y122" s="4">
        <f t="shared" si="121"/>
        <v>-1.4425499095033964E-3</v>
      </c>
      <c r="Z122" t="str">
        <f t="shared" si="107"/>
        <v>0.999999989596414+0.000284094621907927i</v>
      </c>
      <c r="AA122" s="4">
        <f t="shared" si="122"/>
        <v>1.0000000299512906</v>
      </c>
      <c r="AB122" s="4">
        <f t="shared" si="123"/>
        <v>2.8409461722046097E-4</v>
      </c>
      <c r="AC122" s="48" t="str">
        <f t="shared" si="124"/>
        <v>16.2018895799149-1.66836977976851i</v>
      </c>
      <c r="AD122" s="20">
        <f t="shared" si="125"/>
        <v>24.237121765390736</v>
      </c>
      <c r="AE122" s="44">
        <f t="shared" si="126"/>
        <v>-5.8792409403130987</v>
      </c>
      <c r="AF122" t="str">
        <f t="shared" si="127"/>
        <v>45.9520231294187</v>
      </c>
      <c r="AG122" t="str">
        <f t="shared" si="108"/>
        <v>1+0.0486308872351738i</v>
      </c>
      <c r="AH122">
        <f t="shared" si="128"/>
        <v>1.001181783290767</v>
      </c>
      <c r="AI122">
        <f t="shared" si="129"/>
        <v>4.8592604789664803E-2</v>
      </c>
      <c r="AJ122" t="str">
        <f t="shared" si="109"/>
        <v>1+0.000110230011066394i</v>
      </c>
      <c r="AK122">
        <f t="shared" si="130"/>
        <v>1.0000000060753276</v>
      </c>
      <c r="AL122">
        <f t="shared" si="131"/>
        <v>1.1023001061993838E-4</v>
      </c>
      <c r="AM122" t="str">
        <f t="shared" si="110"/>
        <v>1-0.000246620675313543i</v>
      </c>
      <c r="AN122">
        <f t="shared" si="132"/>
        <v>1.0000000304108783</v>
      </c>
      <c r="AO122">
        <f t="shared" si="133"/>
        <v>-2.4662067031357555E-4</v>
      </c>
      <c r="AP122" s="42" t="str">
        <f t="shared" si="134"/>
        <v>45.843301866518-2.23566787051679i</v>
      </c>
      <c r="AQ122">
        <f t="shared" si="135"/>
        <v>33.23583427477557</v>
      </c>
      <c r="AR122" s="44">
        <f t="shared" si="136"/>
        <v>-2.7919657791604315</v>
      </c>
      <c r="AS122" t="str">
        <f t="shared" si="111"/>
        <v>-0.000166666666666667</v>
      </c>
      <c r="AT122" t="str">
        <f t="shared" si="112"/>
        <v>8.69439212286185E-06i</v>
      </c>
      <c r="AU122">
        <f t="shared" si="137"/>
        <v>8.6943921228618502E-6</v>
      </c>
      <c r="AV122">
        <f t="shared" si="138"/>
        <v>1.5707963267948966</v>
      </c>
      <c r="AW122" t="str">
        <f t="shared" si="113"/>
        <v>1+0.00158401049975361i</v>
      </c>
      <c r="AX122">
        <f t="shared" si="139"/>
        <v>1.0000012545438446</v>
      </c>
      <c r="AY122">
        <f t="shared" si="140"/>
        <v>1.5840091749476919E-3</v>
      </c>
      <c r="AZ122" t="str">
        <f t="shared" si="114"/>
        <v>1+0.0322422782369203i</v>
      </c>
      <c r="BA122">
        <f t="shared" si="141"/>
        <v>1.0005196472363282</v>
      </c>
      <c r="BB122">
        <f t="shared" si="142"/>
        <v>3.2231112557877924E-2</v>
      </c>
      <c r="BC122" s="42" t="str">
        <f t="shared" si="143"/>
        <v>-0.58770048516702+19.1703753554457i</v>
      </c>
      <c r="BD122">
        <f t="shared" si="144"/>
        <v>25.656692056392053</v>
      </c>
      <c r="BE122" s="44">
        <f t="shared" si="145"/>
        <v>91.755949678143011</v>
      </c>
      <c r="BF122" s="42" t="str">
        <f t="shared" si="146"/>
        <v>22.4614165431061+311.576806443461i</v>
      </c>
      <c r="BG122" s="20">
        <f t="shared" si="147"/>
        <v>49.893813821782793</v>
      </c>
      <c r="BH122" s="44">
        <f t="shared" si="148"/>
        <v>85.876708737829915</v>
      </c>
      <c r="BI122" s="42" t="str">
        <f t="shared" si="152"/>
        <v>15.9164614993061+880.147207406329i</v>
      </c>
      <c r="BJ122" s="20">
        <f t="shared" si="149"/>
        <v>58.892526331167616</v>
      </c>
      <c r="BK122" s="44">
        <f t="shared" si="153"/>
        <v>88.96398389898259</v>
      </c>
      <c r="BL122">
        <f t="shared" si="150"/>
        <v>49.893813821782793</v>
      </c>
      <c r="BM122" s="44">
        <f t="shared" si="151"/>
        <v>85.876708737829915</v>
      </c>
    </row>
    <row r="123" spans="14:65" x14ac:dyDescent="0.35">
      <c r="N123" s="9">
        <v>5</v>
      </c>
      <c r="O123" s="35">
        <f t="shared" si="154"/>
        <v>112.20184543019634</v>
      </c>
      <c r="P123" s="34" t="str">
        <f t="shared" si="103"/>
        <v>16.3709677419355</v>
      </c>
      <c r="Q123" s="4" t="str">
        <f t="shared" si="104"/>
        <v>1+0.103701017390427i</v>
      </c>
      <c r="R123" s="4">
        <f t="shared" si="116"/>
        <v>1.0053625719151325</v>
      </c>
      <c r="S123" s="4">
        <f t="shared" si="117"/>
        <v>0.10333166749034015</v>
      </c>
      <c r="T123" s="4" t="str">
        <f t="shared" si="105"/>
        <v>1+0.000112797597863271i</v>
      </c>
      <c r="U123" s="4">
        <f t="shared" si="118"/>
        <v>1.000000006361649</v>
      </c>
      <c r="V123" s="4">
        <f t="shared" si="119"/>
        <v>1.1279759738488518E-4</v>
      </c>
      <c r="W123" t="str">
        <f t="shared" si="106"/>
        <v>1-0.00147615223734332i</v>
      </c>
      <c r="X123" s="4">
        <f t="shared" si="120"/>
        <v>1.0000010895121205</v>
      </c>
      <c r="Y123" s="4">
        <f t="shared" si="121"/>
        <v>-1.4761511651536349E-3</v>
      </c>
      <c r="Z123" t="str">
        <f t="shared" si="107"/>
        <v>0.999999989106108+0.000290712035743032i</v>
      </c>
      <c r="AA123" s="4">
        <f t="shared" si="122"/>
        <v>1.0000000313628514</v>
      </c>
      <c r="AB123" s="4">
        <f t="shared" si="123"/>
        <v>2.9071203072032168E-4</v>
      </c>
      <c r="AC123" s="48" t="str">
        <f t="shared" si="124"/>
        <v>16.1940059513977-1.70641356382042i</v>
      </c>
      <c r="AD123" s="20">
        <f t="shared" si="125"/>
        <v>24.2350420395403</v>
      </c>
      <c r="AE123" s="44">
        <f t="shared" si="126"/>
        <v>-6.0152394150768416</v>
      </c>
      <c r="AF123" t="str">
        <f t="shared" si="127"/>
        <v>45.9520231294187</v>
      </c>
      <c r="AG123" t="str">
        <f t="shared" si="108"/>
        <v>1+0.0497636461161489i</v>
      </c>
      <c r="AH123">
        <f t="shared" si="128"/>
        <v>1.0012374446028143</v>
      </c>
      <c r="AI123">
        <f t="shared" si="129"/>
        <v>4.9722628474364712E-2</v>
      </c>
      <c r="AJ123" t="str">
        <f t="shared" si="109"/>
        <v>1+0.000112797597863271i</v>
      </c>
      <c r="AK123">
        <f t="shared" si="130"/>
        <v>1.000000006361649</v>
      </c>
      <c r="AL123">
        <f t="shared" si="131"/>
        <v>1.1279759738488518E-4</v>
      </c>
      <c r="AM123" t="str">
        <f t="shared" si="110"/>
        <v>1-0.000252365208799895i</v>
      </c>
      <c r="AN123">
        <f t="shared" si="132"/>
        <v>1.0000000318440989</v>
      </c>
      <c r="AO123">
        <f t="shared" si="133"/>
        <v>-2.523652034423334E-4</v>
      </c>
      <c r="AP123" s="42" t="str">
        <f t="shared" si="134"/>
        <v>45.8381906487795-2.28748891213631i</v>
      </c>
      <c r="AQ123">
        <f t="shared" si="135"/>
        <v>33.235351405800756</v>
      </c>
      <c r="AR123" s="44">
        <f t="shared" si="136"/>
        <v>-2.8568933926619495</v>
      </c>
      <c r="AS123" t="str">
        <f t="shared" si="111"/>
        <v>-0.000166666666666667</v>
      </c>
      <c r="AT123" t="str">
        <f t="shared" si="112"/>
        <v>8.89691053146551E-06i</v>
      </c>
      <c r="AU123">
        <f t="shared" si="137"/>
        <v>8.8969105314655103E-6</v>
      </c>
      <c r="AV123">
        <f t="shared" si="138"/>
        <v>1.5707963267948966</v>
      </c>
      <c r="AW123" t="str">
        <f t="shared" si="113"/>
        <v>1+0.00162090684409701i</v>
      </c>
      <c r="AX123">
        <f t="shared" si="139"/>
        <v>1.0000013136686359</v>
      </c>
      <c r="AY123">
        <f t="shared" si="140"/>
        <v>1.6209054245419937E-3</v>
      </c>
      <c r="AZ123" t="str">
        <f t="shared" si="114"/>
        <v>1+0.0329932973750068i</v>
      </c>
      <c r="BA123">
        <f t="shared" si="141"/>
        <v>1.0005441307966758</v>
      </c>
      <c r="BB123">
        <f t="shared" si="142"/>
        <v>3.2981333485741476E-2</v>
      </c>
      <c r="BC123" s="42" t="str">
        <f t="shared" si="143"/>
        <v>-0.587700415671776+18.7340472113337i</v>
      </c>
      <c r="BD123">
        <f t="shared" si="144"/>
        <v>25.456904091292245</v>
      </c>
      <c r="BE123" s="44">
        <f t="shared" si="145"/>
        <v>91.796820171630358</v>
      </c>
      <c r="BF123" s="42" t="str">
        <f t="shared" si="146"/>
        <v>22.4508082376443+304.382131994869i</v>
      </c>
      <c r="BG123" s="20">
        <f t="shared" si="147"/>
        <v>49.691946130832548</v>
      </c>
      <c r="BH123" s="44">
        <f t="shared" si="148"/>
        <v>85.781580756553538</v>
      </c>
      <c r="BI123" s="42" t="str">
        <f t="shared" si="152"/>
        <v>15.9148015774342+860.079185880857i</v>
      </c>
      <c r="BJ123" s="20">
        <f t="shared" si="149"/>
        <v>58.692255497092994</v>
      </c>
      <c r="BK123" s="44">
        <f t="shared" si="153"/>
        <v>88.939926778968413</v>
      </c>
      <c r="BL123">
        <f t="shared" si="150"/>
        <v>49.691946130832548</v>
      </c>
      <c r="BM123" s="44">
        <f t="shared" si="151"/>
        <v>85.781580756553538</v>
      </c>
    </row>
    <row r="124" spans="14:65" x14ac:dyDescent="0.35">
      <c r="N124" s="9">
        <v>6</v>
      </c>
      <c r="O124" s="35">
        <f t="shared" si="154"/>
        <v>114.81536214968835</v>
      </c>
      <c r="P124" s="34" t="str">
        <f t="shared" si="103"/>
        <v>16.3709677419355</v>
      </c>
      <c r="Q124" s="4" t="str">
        <f t="shared" si="104"/>
        <v>1+0.106116524388008i</v>
      </c>
      <c r="R124" s="4">
        <f t="shared" si="116"/>
        <v>1.0056145965270147</v>
      </c>
      <c r="S124" s="4">
        <f t="shared" si="117"/>
        <v>0.10572087808291671</v>
      </c>
      <c r="T124" s="4" t="str">
        <f t="shared" si="105"/>
        <v>1+0.000115424991439588i</v>
      </c>
      <c r="U124" s="4">
        <f t="shared" si="118"/>
        <v>1.0000000066614643</v>
      </c>
      <c r="V124" s="4">
        <f t="shared" si="119"/>
        <v>1.1542499092698837E-4</v>
      </c>
      <c r="W124" t="str">
        <f t="shared" si="106"/>
        <v>1-0.00151053624001297i</v>
      </c>
      <c r="X124" s="4">
        <f t="shared" si="120"/>
        <v>1.0000011408592155</v>
      </c>
      <c r="Y124" s="4">
        <f t="shared" si="121"/>
        <v>-1.5105350911410944E-3</v>
      </c>
      <c r="Z124" t="str">
        <f t="shared" si="107"/>
        <v>0.999999988592695+0.000297483588947517i</v>
      </c>
      <c r="AA124" s="4">
        <f t="shared" si="122"/>
        <v>1.0000000328409373</v>
      </c>
      <c r="AB124" s="4">
        <f t="shared" si="123"/>
        <v>2.974835835655858E-4</v>
      </c>
      <c r="AC124" s="48" t="str">
        <f t="shared" si="124"/>
        <v>16.1857588672339-1.74528588982704i</v>
      </c>
      <c r="AD124" s="20">
        <f t="shared" si="125"/>
        <v>24.232865366568998</v>
      </c>
      <c r="AE124" s="44">
        <f t="shared" si="126"/>
        <v>-6.1543385950793246</v>
      </c>
      <c r="AF124" t="str">
        <f t="shared" si="127"/>
        <v>45.9520231294187</v>
      </c>
      <c r="AG124" t="str">
        <f t="shared" si="108"/>
        <v>1+0.0509227903409946i</v>
      </c>
      <c r="AH124">
        <f t="shared" si="128"/>
        <v>1.0012957258353363</v>
      </c>
      <c r="AI124">
        <f t="shared" si="129"/>
        <v>5.0878842217139918E-2</v>
      </c>
      <c r="AJ124" t="str">
        <f t="shared" si="109"/>
        <v>1+0.000115424991439588i</v>
      </c>
      <c r="AK124">
        <f t="shared" si="130"/>
        <v>1.0000000066614643</v>
      </c>
      <c r="AL124">
        <f t="shared" si="131"/>
        <v>1.1542499092698837E-4</v>
      </c>
      <c r="AM124" t="str">
        <f t="shared" si="110"/>
        <v>1-0.000258243549660402i</v>
      </c>
      <c r="AN124">
        <f t="shared" si="132"/>
        <v>1.0000000333448649</v>
      </c>
      <c r="AO124">
        <f t="shared" si="133"/>
        <v>-2.5824354391967131E-4</v>
      </c>
      <c r="AP124" s="42" t="str">
        <f t="shared" si="134"/>
        <v>45.8328397647869-2.34049889176532i</v>
      </c>
      <c r="AQ124">
        <f t="shared" si="135"/>
        <v>33.234845837451822</v>
      </c>
      <c r="AR124" s="44">
        <f t="shared" si="136"/>
        <v>-2.9233258258768036</v>
      </c>
      <c r="AS124" t="str">
        <f t="shared" si="111"/>
        <v>-0.000166666666666667</v>
      </c>
      <c r="AT124" t="str">
        <f t="shared" si="112"/>
        <v>9.10414619979751E-06i</v>
      </c>
      <c r="AU124">
        <f t="shared" si="137"/>
        <v>9.1041461997975105E-6</v>
      </c>
      <c r="AV124">
        <f t="shared" si="138"/>
        <v>1.5707963267948966</v>
      </c>
      <c r="AW124" t="str">
        <f t="shared" si="113"/>
        <v>1+0.00165866261470438i</v>
      </c>
      <c r="AX124">
        <f t="shared" si="139"/>
        <v>1.0000013755798887</v>
      </c>
      <c r="AY124">
        <f t="shared" si="140"/>
        <v>1.6586610936238882E-3</v>
      </c>
      <c r="AZ124" t="str">
        <f t="shared" si="114"/>
        <v>1+0.0337618099960794i</v>
      </c>
      <c r="BA124">
        <f t="shared" si="141"/>
        <v>1.0005697675895526</v>
      </c>
      <c r="BB124">
        <f t="shared" si="142"/>
        <v>3.3748990851997757E-2</v>
      </c>
      <c r="BC124" s="42" t="str">
        <f t="shared" si="143"/>
        <v>-0.58770034290134+18.307652107017i</v>
      </c>
      <c r="BD124">
        <f t="shared" si="144"/>
        <v>25.257126107940778</v>
      </c>
      <c r="BE124" s="44">
        <f t="shared" si="145"/>
        <v>91.838640458337892</v>
      </c>
      <c r="BF124" s="42" t="str">
        <f t="shared" si="146"/>
        <v>22.4397108618473+297.348947545296i</v>
      </c>
      <c r="BG124" s="20">
        <f t="shared" si="147"/>
        <v>49.489991474509779</v>
      </c>
      <c r="BH124" s="44">
        <f t="shared" si="148"/>
        <v>85.684301863258582</v>
      </c>
      <c r="BI124" s="42" t="str">
        <f t="shared" si="152"/>
        <v>15.9130638213909+840.467197491624i</v>
      </c>
      <c r="BJ124" s="20">
        <f t="shared" si="149"/>
        <v>58.491971945392606</v>
      </c>
      <c r="BK124" s="44">
        <f t="shared" si="153"/>
        <v>88.91531463246109</v>
      </c>
      <c r="BL124">
        <f t="shared" si="150"/>
        <v>49.489991474509779</v>
      </c>
      <c r="BM124" s="44">
        <f t="shared" si="151"/>
        <v>85.684301863258582</v>
      </c>
    </row>
    <row r="125" spans="14:65" x14ac:dyDescent="0.35">
      <c r="N125" s="9">
        <v>7</v>
      </c>
      <c r="O125" s="35">
        <f t="shared" si="154"/>
        <v>117.48975549395293</v>
      </c>
      <c r="P125" s="34" t="str">
        <f t="shared" si="103"/>
        <v>16.3709677419355</v>
      </c>
      <c r="Q125" s="4" t="str">
        <f t="shared" si="104"/>
        <v>1+0.108588295771439i</v>
      </c>
      <c r="R125" s="4">
        <f t="shared" si="116"/>
        <v>1.0058784310136815</v>
      </c>
      <c r="S125" s="4">
        <f t="shared" si="117"/>
        <v>0.10816448681248741</v>
      </c>
      <c r="T125" s="4" t="str">
        <f t="shared" si="105"/>
        <v>1+0.000118113584874196i</v>
      </c>
      <c r="U125" s="4">
        <f t="shared" si="118"/>
        <v>1.0000000069754094</v>
      </c>
      <c r="V125" s="4">
        <f t="shared" si="119"/>
        <v>1.1811358432493559E-4</v>
      </c>
      <c r="W125" t="str">
        <f t="shared" si="106"/>
        <v>1-0.00154572114899139i</v>
      </c>
      <c r="X125" s="4">
        <f t="shared" si="120"/>
        <v>1.0000011946262217</v>
      </c>
      <c r="Y125" s="4">
        <f t="shared" si="121"/>
        <v>-1.5457199179530756E-3</v>
      </c>
      <c r="Z125" t="str">
        <f t="shared" si="107"/>
        <v>0.999999988055085+0.000304412871888522i</v>
      </c>
      <c r="AA125" s="4">
        <f t="shared" si="122"/>
        <v>1.0000000343886828</v>
      </c>
      <c r="AB125" s="4">
        <f t="shared" si="123"/>
        <v>3.0441286612167893E-4</v>
      </c>
      <c r="AC125" s="48" t="str">
        <f t="shared" si="124"/>
        <v>16.1771319652961-1.78500203994791i</v>
      </c>
      <c r="AD125" s="20">
        <f t="shared" si="125"/>
        <v>24.230587279300991</v>
      </c>
      <c r="AE125" s="44">
        <f t="shared" si="126"/>
        <v>-6.2966059777352976</v>
      </c>
      <c r="AF125" t="str">
        <f t="shared" si="127"/>
        <v>45.9520231294187</v>
      </c>
      <c r="AG125" t="str">
        <f t="shared" si="108"/>
        <v>1+0.0521089345033218i</v>
      </c>
      <c r="AH125">
        <f t="shared" si="128"/>
        <v>1.0013567501420617</v>
      </c>
      <c r="AI125">
        <f t="shared" si="129"/>
        <v>5.2061846685507979E-2</v>
      </c>
      <c r="AJ125" t="str">
        <f t="shared" si="109"/>
        <v>1+0.000118113584874196i</v>
      </c>
      <c r="AK125">
        <f t="shared" si="130"/>
        <v>1.0000000069754094</v>
      </c>
      <c r="AL125">
        <f t="shared" si="131"/>
        <v>1.1811358432493559E-4</v>
      </c>
      <c r="AM125" t="str">
        <f t="shared" si="110"/>
        <v>1-0.000264258814669196i</v>
      </c>
      <c r="AN125">
        <f t="shared" si="132"/>
        <v>1.00000003491636</v>
      </c>
      <c r="AO125">
        <f t="shared" si="133"/>
        <v>-2.6425880851789219E-4</v>
      </c>
      <c r="AP125" s="42" t="str">
        <f t="shared" si="134"/>
        <v>45.8272380364628-2.39472421428997i</v>
      </c>
      <c r="AQ125">
        <f t="shared" si="135"/>
        <v>33.234316505476812</v>
      </c>
      <c r="AR125" s="44">
        <f t="shared" si="136"/>
        <v>-2.9912975932790085</v>
      </c>
      <c r="AS125" t="str">
        <f t="shared" si="111"/>
        <v>-0.000166666666666667</v>
      </c>
      <c r="AT125" t="str">
        <f t="shared" si="112"/>
        <v>9.31620900695224E-06i</v>
      </c>
      <c r="AU125">
        <f t="shared" si="137"/>
        <v>9.3162090069522401E-6</v>
      </c>
      <c r="AV125">
        <f t="shared" si="138"/>
        <v>1.5707963267948966</v>
      </c>
      <c r="AW125" t="str">
        <f t="shared" si="113"/>
        <v>1+0.00169729783018506i</v>
      </c>
      <c r="AX125">
        <f t="shared" si="139"/>
        <v>1.0000014404089248</v>
      </c>
      <c r="AY125">
        <f t="shared" si="140"/>
        <v>1.6972962003180749E-3</v>
      </c>
      <c r="AZ125" t="str">
        <f t="shared" si="114"/>
        <v>1+0.0345482235757024i</v>
      </c>
      <c r="BA125">
        <f t="shared" si="141"/>
        <v>1.0005966119032368</v>
      </c>
      <c r="BB125">
        <f t="shared" si="142"/>
        <v>3.4534488057644579E-2</v>
      </c>
      <c r="BC125" s="42" t="str">
        <f t="shared" si="143"/>
        <v>-0.58770026670136+17.8909639621665i</v>
      </c>
      <c r="BD125">
        <f t="shared" si="144"/>
        <v>25.057358575688617</v>
      </c>
      <c r="BE125" s="44">
        <f t="shared" si="145"/>
        <v>91.881432504486156</v>
      </c>
      <c r="BF125" s="42" t="str">
        <f t="shared" si="146"/>
        <v>22.4281023986341+290.473531177264i</v>
      </c>
      <c r="BG125" s="20">
        <f t="shared" si="147"/>
        <v>49.287945854989601</v>
      </c>
      <c r="BH125" s="44">
        <f t="shared" si="148"/>
        <v>85.584826526750874</v>
      </c>
      <c r="BI125" s="42" t="str">
        <f t="shared" si="152"/>
        <v>15.9112446009734+821.300844255396i</v>
      </c>
      <c r="BJ125" s="20">
        <f t="shared" si="149"/>
        <v>58.291675081165423</v>
      </c>
      <c r="BK125" s="44">
        <f t="shared" si="153"/>
        <v>88.890134911207156</v>
      </c>
      <c r="BL125">
        <f t="shared" si="150"/>
        <v>49.287945854989601</v>
      </c>
      <c r="BM125" s="44">
        <f t="shared" si="151"/>
        <v>85.584826526750874</v>
      </c>
    </row>
    <row r="126" spans="14:65" x14ac:dyDescent="0.35">
      <c r="N126" s="9">
        <v>8</v>
      </c>
      <c r="O126" s="35">
        <f t="shared" si="154"/>
        <v>120.22644346174135</v>
      </c>
      <c r="P126" s="34" t="str">
        <f t="shared" si="103"/>
        <v>16.3709677419355</v>
      </c>
      <c r="Q126" s="4" t="str">
        <f t="shared" si="104"/>
        <v>1+0.111117642106623i</v>
      </c>
      <c r="R126" s="4">
        <f t="shared" si="116"/>
        <v>1.0061546254862299</v>
      </c>
      <c r="S126" s="4">
        <f t="shared" si="117"/>
        <v>0.11066367251849629</v>
      </c>
      <c r="T126" s="4" t="str">
        <f t="shared" si="105"/>
        <v>1+0.000120864803694923i</v>
      </c>
      <c r="U126" s="4">
        <f t="shared" si="118"/>
        <v>1.0000000073041504</v>
      </c>
      <c r="V126" s="4">
        <f t="shared" si="119"/>
        <v>1.2086480310637987E-4</v>
      </c>
      <c r="W126" t="str">
        <f t="shared" si="106"/>
        <v>1-0.00158172561978305i</v>
      </c>
      <c r="X126" s="4">
        <f t="shared" si="120"/>
        <v>1.0000012509271856</v>
      </c>
      <c r="Y126" s="4">
        <f t="shared" si="121"/>
        <v>-1.5817243007018196E-3</v>
      </c>
      <c r="Z126" t="str">
        <f t="shared" si="107"/>
        <v>0.999999987492138+0.000311503558563584i</v>
      </c>
      <c r="AA126" s="4">
        <f t="shared" si="122"/>
        <v>1.000000036009371</v>
      </c>
      <c r="AB126" s="4">
        <f t="shared" si="123"/>
        <v>3.1150355238430049E-4</v>
      </c>
      <c r="AC126" s="48" t="str">
        <f t="shared" si="124"/>
        <v>16.1681081843893-1.82557737736464i</v>
      </c>
      <c r="AD126" s="20">
        <f t="shared" si="125"/>
        <v>24.228203109678962</v>
      </c>
      <c r="AE126" s="44">
        <f t="shared" si="126"/>
        <v>-6.4421103032564533</v>
      </c>
      <c r="AF126" t="str">
        <f t="shared" si="127"/>
        <v>45.9520231294187</v>
      </c>
      <c r="AG126" t="str">
        <f t="shared" si="108"/>
        <v>1+0.0533227075124661i</v>
      </c>
      <c r="AH126">
        <f t="shared" si="128"/>
        <v>1.0014206464500619</v>
      </c>
      <c r="AI126">
        <f t="shared" si="129"/>
        <v>5.3272255871666778E-2</v>
      </c>
      <c r="AJ126" t="str">
        <f t="shared" si="109"/>
        <v>1+0.000120864803694923i</v>
      </c>
      <c r="AK126">
        <f t="shared" si="130"/>
        <v>1.0000000073041504</v>
      </c>
      <c r="AL126">
        <f t="shared" si="131"/>
        <v>1.2086480310637987E-4</v>
      </c>
      <c r="AM126" t="str">
        <f t="shared" si="110"/>
        <v>1-0.000270414193199407i</v>
      </c>
      <c r="AN126">
        <f t="shared" si="132"/>
        <v>1.0000000365619173</v>
      </c>
      <c r="AO126">
        <f t="shared" si="133"/>
        <v>-2.7041418660816627E-4</v>
      </c>
      <c r="AP126" s="42" t="str">
        <f t="shared" si="134"/>
        <v>45.8213737701471-2.45019180837044i</v>
      </c>
      <c r="AQ126">
        <f t="shared" si="135"/>
        <v>33.233762295999149</v>
      </c>
      <c r="AR126" s="44">
        <f t="shared" si="136"/>
        <v>-3.0608439750909606</v>
      </c>
      <c r="AS126" t="str">
        <f t="shared" si="111"/>
        <v>-0.000166666666666667</v>
      </c>
      <c r="AT126" t="str">
        <f t="shared" si="112"/>
        <v>9.53321139143707E-06i</v>
      </c>
      <c r="AU126">
        <f t="shared" si="137"/>
        <v>9.5332113914370698E-6</v>
      </c>
      <c r="AV126">
        <f t="shared" si="138"/>
        <v>1.5707963267948966</v>
      </c>
      <c r="AW126" t="str">
        <f t="shared" si="113"/>
        <v>1+0.00173683297544171i</v>
      </c>
      <c r="AX126">
        <f t="shared" si="139"/>
        <v>1.0000015082932547</v>
      </c>
      <c r="AY126">
        <f t="shared" si="140"/>
        <v>1.7368312290079128E-3</v>
      </c>
      <c r="AZ126" t="str">
        <f t="shared" si="114"/>
        <v>1+0.035352955080765i</v>
      </c>
      <c r="BA126">
        <f t="shared" si="141"/>
        <v>1.0006247205785705</v>
      </c>
      <c r="BB126">
        <f t="shared" si="142"/>
        <v>3.5338237704231001E-2</v>
      </c>
      <c r="BC126" s="42" t="str">
        <f t="shared" si="143"/>
        <v>-0.587700186910205+17.4837618432114i</v>
      </c>
      <c r="BD126">
        <f t="shared" si="144"/>
        <v>24.857601985903045</v>
      </c>
      <c r="BE126" s="44">
        <f t="shared" si="145"/>
        <v>91.925218776733828</v>
      </c>
      <c r="BF126" s="42" t="str">
        <f t="shared" si="146"/>
        <v>22.4159598902478+283.752245117036i</v>
      </c>
      <c r="BG126" s="20">
        <f t="shared" si="147"/>
        <v>49.085805095582003</v>
      </c>
      <c r="BH126" s="44">
        <f t="shared" si="148"/>
        <v>85.483108473477401</v>
      </c>
      <c r="BI126" s="42" t="str">
        <f t="shared" si="152"/>
        <v>15.9093401185384+802.569964509771i</v>
      </c>
      <c r="BJ126" s="20">
        <f t="shared" si="149"/>
        <v>58.091364281902209</v>
      </c>
      <c r="BK126" s="44">
        <f t="shared" si="153"/>
        <v>88.864374801642896</v>
      </c>
      <c r="BL126">
        <f t="shared" si="150"/>
        <v>49.085805095582003</v>
      </c>
      <c r="BM126" s="44">
        <f t="shared" si="151"/>
        <v>85.483108473477401</v>
      </c>
    </row>
    <row r="127" spans="14:65" x14ac:dyDescent="0.35">
      <c r="N127" s="9">
        <v>9</v>
      </c>
      <c r="O127" s="35">
        <f t="shared" si="154"/>
        <v>123.02687708123821</v>
      </c>
      <c r="P127" s="34" t="str">
        <f t="shared" si="103"/>
        <v>16.3709677419355</v>
      </c>
      <c r="Q127" s="4" t="str">
        <f t="shared" si="104"/>
        <v>1+0.113705904486468i</v>
      </c>
      <c r="R127" s="4">
        <f t="shared" si="116"/>
        <v>1.0064437553659349</v>
      </c>
      <c r="S127" s="4">
        <f t="shared" si="117"/>
        <v>0.11321963535655155</v>
      </c>
      <c r="T127" s="4" t="str">
        <f t="shared" si="105"/>
        <v>1+0.000123680106634404i</v>
      </c>
      <c r="U127" s="4">
        <f t="shared" si="118"/>
        <v>1.0000000076483844</v>
      </c>
      <c r="V127" s="4">
        <f t="shared" si="119"/>
        <v>1.2368010600376868E-4</v>
      </c>
      <c r="W127" t="str">
        <f t="shared" si="106"/>
        <v>1-0.00161856874243493i</v>
      </c>
      <c r="X127" s="4">
        <f t="shared" si="120"/>
        <v>1.000001309881529</v>
      </c>
      <c r="Y127" s="4">
        <f t="shared" si="121"/>
        <v>-1.6185673290140265E-3</v>
      </c>
      <c r="Z127" t="str">
        <f t="shared" si="107"/>
        <v>0.999999986902661+0.000318759408548633i</v>
      </c>
      <c r="AA127" s="4">
        <f t="shared" si="122"/>
        <v>1.0000000377064406</v>
      </c>
      <c r="AB127" s="4">
        <f t="shared" si="123"/>
        <v>3.1875940192741133E-4</v>
      </c>
      <c r="AC127" s="48" t="str">
        <f t="shared" si="124"/>
        <v>16.1586697379742-1.86702732996876i</v>
      </c>
      <c r="AD127" s="20">
        <f t="shared" si="125"/>
        <v>24.225707980202529</v>
      </c>
      <c r="AE127" s="44">
        <f t="shared" si="126"/>
        <v>-6.5909215610776366</v>
      </c>
      <c r="AF127" t="str">
        <f t="shared" si="127"/>
        <v>45.9520231294187</v>
      </c>
      <c r="AG127" t="str">
        <f t="shared" si="108"/>
        <v>1+0.0545647529269428i</v>
      </c>
      <c r="AH127">
        <f t="shared" si="128"/>
        <v>1.0014875497288911</v>
      </c>
      <c r="AI127">
        <f t="shared" si="129"/>
        <v>5.4510697355670733E-2</v>
      </c>
      <c r="AJ127" t="str">
        <f t="shared" si="109"/>
        <v>1+0.000123680106634404i</v>
      </c>
      <c r="AK127">
        <f t="shared" si="130"/>
        <v>1.0000000076483844</v>
      </c>
      <c r="AL127">
        <f t="shared" si="131"/>
        <v>1.2368010600376868E-4</v>
      </c>
      <c r="AM127" t="str">
        <f t="shared" si="110"/>
        <v>1-0.000276712948914207i</v>
      </c>
      <c r="AN127">
        <f t="shared" si="132"/>
        <v>1.0000000382850274</v>
      </c>
      <c r="AO127">
        <f t="shared" si="133"/>
        <v>-2.767129418515653E-4</v>
      </c>
      <c r="AP127" s="42" t="str">
        <f t="shared" si="134"/>
        <v>45.8152347333703-2.50692913222424i</v>
      </c>
      <c r="AQ127">
        <f t="shared" si="135"/>
        <v>33.233182043229874</v>
      </c>
      <c r="AR127" s="44">
        <f t="shared" si="136"/>
        <v>-3.1320010324158658</v>
      </c>
      <c r="AS127" t="str">
        <f t="shared" si="111"/>
        <v>-0.000166666666666667</v>
      </c>
      <c r="AT127" t="str">
        <f t="shared" si="112"/>
        <v>9.75526841078861E-06i</v>
      </c>
      <c r="AU127">
        <f t="shared" si="137"/>
        <v>9.7552684107886097E-6</v>
      </c>
      <c r="AV127">
        <f t="shared" si="138"/>
        <v>1.5707963267948966</v>
      </c>
      <c r="AW127" t="str">
        <f t="shared" si="113"/>
        <v>1+0.00177728901253163i</v>
      </c>
      <c r="AX127">
        <f t="shared" si="139"/>
        <v>1.00000157937687</v>
      </c>
      <c r="AY127">
        <f t="shared" si="140"/>
        <v>1.7772871411942607E-3</v>
      </c>
      <c r="AZ127" t="str">
        <f t="shared" si="114"/>
        <v>1+0.0361764311905631i</v>
      </c>
      <c r="BA127">
        <f t="shared" si="141"/>
        <v>1.0006541531286848</v>
      </c>
      <c r="BB127">
        <f t="shared" si="142"/>
        <v>3.616066179422063E-2</v>
      </c>
      <c r="BC127" s="42" t="str">
        <f t="shared" si="143"/>
        <v>-0.587700103358631+17.0858298461975i</v>
      </c>
      <c r="BD127">
        <f t="shared" si="144"/>
        <v>24.65785685299544</v>
      </c>
      <c r="BE127" s="44">
        <f t="shared" si="145"/>
        <v>91.970022253035495</v>
      </c>
      <c r="BF127" s="42" t="str">
        <f t="shared" si="146"/>
        <v>22.4032594029012+277.181533838724i</v>
      </c>
      <c r="BG127" s="20">
        <f t="shared" si="147"/>
        <v>48.883564833197973</v>
      </c>
      <c r="BH127" s="44">
        <f t="shared" si="148"/>
        <v>85.379100691957873</v>
      </c>
      <c r="BI127" s="42" t="str">
        <f t="shared" si="152"/>
        <v>15.9073464014572+784.264627528084i</v>
      </c>
      <c r="BJ127" s="20">
        <f t="shared" si="149"/>
        <v>57.891038896225318</v>
      </c>
      <c r="BK127" s="44">
        <f t="shared" si="153"/>
        <v>88.838021220619638</v>
      </c>
      <c r="BL127">
        <f t="shared" si="150"/>
        <v>48.883564833197973</v>
      </c>
      <c r="BM127" s="44">
        <f t="shared" si="151"/>
        <v>85.379100691957873</v>
      </c>
    </row>
    <row r="128" spans="14:65" x14ac:dyDescent="0.35">
      <c r="N128" s="9">
        <v>10</v>
      </c>
      <c r="O128" s="35">
        <f t="shared" si="154"/>
        <v>125.89254117941677</v>
      </c>
      <c r="P128" s="34" t="str">
        <f t="shared" si="103"/>
        <v>16.3709677419355</v>
      </c>
      <c r="Q128" s="4" t="str">
        <f t="shared" si="104"/>
        <v>1+0.116354455241948i</v>
      </c>
      <c r="R128" s="4">
        <f t="shared" si="116"/>
        <v>1.0067464225189233</v>
      </c>
      <c r="S128" s="4">
        <f t="shared" si="117"/>
        <v>0.11583359687586761</v>
      </c>
      <c r="T128" s="4" t="str">
        <f t="shared" si="105"/>
        <v>1+0.000126560986403522i</v>
      </c>
      <c r="U128" s="4">
        <f t="shared" si="118"/>
        <v>1.0000000080088416</v>
      </c>
      <c r="V128" s="4">
        <f t="shared" si="119"/>
        <v>1.2656098572778407E-4</v>
      </c>
      <c r="W128" t="str">
        <f t="shared" si="106"/>
        <v>1-0.00165627005165833i</v>
      </c>
      <c r="X128" s="4">
        <f t="shared" si="120"/>
        <v>1.0000013716143015</v>
      </c>
      <c r="Y128" s="4">
        <f t="shared" si="121"/>
        <v>-1.6562685371506577E-3</v>
      </c>
      <c r="Z128" t="str">
        <f t="shared" si="107"/>
        <v>0.999999986285402+0.000326184268991374i</v>
      </c>
      <c r="AA128" s="4">
        <f t="shared" si="122"/>
        <v>1.00000003948349</v>
      </c>
      <c r="AB128" s="4">
        <f t="shared" si="123"/>
        <v>3.2618426189660735E-4</v>
      </c>
      <c r="AC128" s="48" t="str">
        <f t="shared" si="124"/>
        <v>16.1487980872558-1.90936737253895i</v>
      </c>
      <c r="AD128" s="20">
        <f t="shared" si="125"/>
        <v>24.223096795047269</v>
      </c>
      <c r="AE128" s="44">
        <f t="shared" si="126"/>
        <v>-6.7431109949430725</v>
      </c>
      <c r="AF128" t="str">
        <f t="shared" si="127"/>
        <v>45.9520231294187</v>
      </c>
      <c r="AG128" t="str">
        <f t="shared" si="108"/>
        <v>1+0.0558357292956713i</v>
      </c>
      <c r="AH128">
        <f t="shared" si="128"/>
        <v>1.0015576012721283</v>
      </c>
      <c r="AI128">
        <f t="shared" si="129"/>
        <v>5.5777812571423085E-2</v>
      </c>
      <c r="AJ128" t="str">
        <f t="shared" si="109"/>
        <v>1+0.000126560986403522i</v>
      </c>
      <c r="AK128">
        <f t="shared" si="130"/>
        <v>1.0000000080088416</v>
      </c>
      <c r="AL128">
        <f t="shared" si="131"/>
        <v>1.2656098572778407E-4</v>
      </c>
      <c r="AM128" t="str">
        <f t="shared" si="110"/>
        <v>1-0.000283158421497251i</v>
      </c>
      <c r="AN128">
        <f t="shared" si="132"/>
        <v>1.000000040089345</v>
      </c>
      <c r="AO128">
        <f t="shared" si="133"/>
        <v>-2.8315841392949408E-4</v>
      </c>
      <c r="AP128" s="42" t="str">
        <f t="shared" si="134"/>
        <v>45.8088081306353-2.56496417909894i</v>
      </c>
      <c r="AQ128">
        <f t="shared" si="135"/>
        <v>33.232574527076935</v>
      </c>
      <c r="AR128" s="44">
        <f t="shared" si="136"/>
        <v>-3.2048056225328572</v>
      </c>
      <c r="AS128" t="str">
        <f t="shared" si="111"/>
        <v>-0.000166666666666667</v>
      </c>
      <c r="AT128" t="str">
        <f t="shared" si="112"/>
        <v>0.0000099824978025778i</v>
      </c>
      <c r="AU128">
        <f t="shared" si="137"/>
        <v>9.9824978025778001E-6</v>
      </c>
      <c r="AV128">
        <f t="shared" si="138"/>
        <v>1.5707963267948966</v>
      </c>
      <c r="AW128" t="str">
        <f t="shared" si="113"/>
        <v>1+0.0018186873917812i</v>
      </c>
      <c r="AX128">
        <f t="shared" si="139"/>
        <v>1.000001653810547</v>
      </c>
      <c r="AY128">
        <f t="shared" si="140"/>
        <v>1.8186853866072612E-3</v>
      </c>
      <c r="AZ128" t="str">
        <f t="shared" si="114"/>
        <v>1+0.0370190885230301i</v>
      </c>
      <c r="BA128">
        <f t="shared" si="141"/>
        <v>1.0006849718643105</v>
      </c>
      <c r="BB128">
        <f t="shared" si="142"/>
        <v>3.7002191935031702E-2</v>
      </c>
      <c r="BC128" s="42" t="str">
        <f t="shared" si="143"/>
        <v>-0.58770001586942+16.6969569823117i</v>
      </c>
      <c r="BD128">
        <f t="shared" si="144"/>
        <v>24.458123715496214</v>
      </c>
      <c r="BE128" s="44">
        <f t="shared" si="145"/>
        <v>92.015866433695621</v>
      </c>
      <c r="BF128" s="42" t="str">
        <f t="shared" si="146"/>
        <v>22.3899759905601+270.757922214089i</v>
      </c>
      <c r="BG128" s="20">
        <f t="shared" si="147"/>
        <v>48.681220510543483</v>
      </c>
      <c r="BH128" s="44">
        <f t="shared" si="148"/>
        <v>85.27275543875254</v>
      </c>
      <c r="BI128" s="42" t="str">
        <f t="shared" si="152"/>
        <v>15.9052592942519+766.375128256949i</v>
      </c>
      <c r="BJ128" s="20">
        <f t="shared" si="149"/>
        <v>57.690698242573148</v>
      </c>
      <c r="BK128" s="44">
        <f t="shared" si="153"/>
        <v>88.811060811162761</v>
      </c>
      <c r="BL128">
        <f t="shared" si="150"/>
        <v>48.681220510543483</v>
      </c>
      <c r="BM128" s="44">
        <f t="shared" si="151"/>
        <v>85.27275543875254</v>
      </c>
    </row>
    <row r="129" spans="14:65" x14ac:dyDescent="0.35">
      <c r="N129" s="9">
        <v>11</v>
      </c>
      <c r="O129" s="35">
        <f t="shared" si="154"/>
        <v>128.82495516931343</v>
      </c>
      <c r="P129" s="34" t="str">
        <f t="shared" si="103"/>
        <v>16.3709677419355</v>
      </c>
      <c r="Q129" s="4" t="str">
        <f t="shared" si="104"/>
        <v>1+0.11906469866973i</v>
      </c>
      <c r="R129" s="4">
        <f t="shared" si="116"/>
        <v>1.0070632564388959</v>
      </c>
      <c r="S129" s="4">
        <f t="shared" si="117"/>
        <v>0.11850680007093667</v>
      </c>
      <c r="T129" s="4" t="str">
        <f t="shared" si="105"/>
        <v>1+0.000129508970482864i</v>
      </c>
      <c r="U129" s="4">
        <f t="shared" si="118"/>
        <v>1.0000000083862866</v>
      </c>
      <c r="V129" s="4">
        <f t="shared" si="119"/>
        <v>1.2950896975879775E-4</v>
      </c>
      <c r="W129" t="str">
        <f t="shared" si="106"/>
        <v>1-0.00169484953718646i</v>
      </c>
      <c r="X129" s="4">
        <f t="shared" si="120"/>
        <v>1.0000014362564453</v>
      </c>
      <c r="Y129" s="4">
        <f t="shared" si="121"/>
        <v>-1.694847914362377E-3</v>
      </c>
      <c r="Z129" t="str">
        <f t="shared" si="107"/>
        <v>0.999999985639053+0.000333782076651093i</v>
      </c>
      <c r="AA129" s="4">
        <f t="shared" si="122"/>
        <v>1.0000000413442898</v>
      </c>
      <c r="AB129" s="4">
        <f t="shared" si="123"/>
        <v>3.3378206904891353E-4</v>
      </c>
      <c r="AC129" s="48" t="str">
        <f t="shared" si="124"/>
        <v>16.1384739136592-1.95261300731203i</v>
      </c>
      <c r="AD129" s="20">
        <f t="shared" si="125"/>
        <v>24.22036423085661</v>
      </c>
      <c r="AE129" s="44">
        <f t="shared" si="126"/>
        <v>-6.8987511065321785</v>
      </c>
      <c r="AF129" t="str">
        <f t="shared" si="127"/>
        <v>45.9520231294187</v>
      </c>
      <c r="AG129" t="str">
        <f t="shared" si="108"/>
        <v>1+0.0571363105071457i</v>
      </c>
      <c r="AH129">
        <f t="shared" si="128"/>
        <v>1.0016309489918775</v>
      </c>
      <c r="AI129">
        <f t="shared" si="129"/>
        <v>5.7074257075315271E-2</v>
      </c>
      <c r="AJ129" t="str">
        <f t="shared" si="109"/>
        <v>1+0.000129508970482864i</v>
      </c>
      <c r="AK129">
        <f t="shared" si="130"/>
        <v>1.0000000083862866</v>
      </c>
      <c r="AL129">
        <f t="shared" si="131"/>
        <v>1.2950896975879775E-4</v>
      </c>
      <c r="AM129" t="str">
        <f t="shared" si="110"/>
        <v>1-0.000289754028423417i</v>
      </c>
      <c r="AN129">
        <f t="shared" si="132"/>
        <v>1.0000000419786976</v>
      </c>
      <c r="AO129">
        <f t="shared" si="133"/>
        <v>-2.8975402031441945E-4</v>
      </c>
      <c r="AP129" s="42" t="str">
        <f t="shared" si="134"/>
        <v>45.8020805781686-2.62432548239641i</v>
      </c>
      <c r="AQ129">
        <f t="shared" si="135"/>
        <v>33.231938470647194</v>
      </c>
      <c r="AR129" s="44">
        <f t="shared" si="136"/>
        <v>-3.2792954143449431</v>
      </c>
      <c r="AS129" t="str">
        <f t="shared" si="111"/>
        <v>-0.000166666666666667</v>
      </c>
      <c r="AT129" t="str">
        <f t="shared" si="112"/>
        <v>0.0000102150200468359i</v>
      </c>
      <c r="AU129">
        <f t="shared" si="137"/>
        <v>1.02150200468359E-5</v>
      </c>
      <c r="AV129">
        <f t="shared" si="138"/>
        <v>1.5707963267948966</v>
      </c>
      <c r="AW129" t="str">
        <f t="shared" si="113"/>
        <v>1+0.00186105006315906i</v>
      </c>
      <c r="AX129">
        <f t="shared" si="139"/>
        <v>1.0000017317521692</v>
      </c>
      <c r="AY129">
        <f t="shared" si="140"/>
        <v>1.8610479145766752E-3</v>
      </c>
      <c r="AZ129" t="str">
        <f t="shared" si="114"/>
        <v>1+0.0378813738662376i</v>
      </c>
      <c r="BA129">
        <f t="shared" si="141"/>
        <v>1.0007172420249357</v>
      </c>
      <c r="BB129">
        <f t="shared" si="142"/>
        <v>3.786326954677055E-2</v>
      </c>
      <c r="BC129" s="42" t="str">
        <f t="shared" si="143"/>
        <v>-0.587699924256996+16.3169370660133i</v>
      </c>
      <c r="BD129">
        <f t="shared" si="144"/>
        <v>24.258403137179727</v>
      </c>
      <c r="BE129" s="44">
        <f t="shared" si="145"/>
        <v>92.062775352619298</v>
      </c>
      <c r="BF129" s="42" t="str">
        <f t="shared" si="146"/>
        <v>22.3760836579083+264.478013707175i</v>
      </c>
      <c r="BG129" s="20">
        <f t="shared" si="147"/>
        <v>48.478767368036337</v>
      </c>
      <c r="BH129" s="44">
        <f t="shared" si="148"/>
        <v>85.164024246087138</v>
      </c>
      <c r="BI129" s="42" t="str">
        <f t="shared" si="152"/>
        <v>15.9030744503947+748.891982173677i</v>
      </c>
      <c r="BJ129" s="20">
        <f t="shared" si="149"/>
        <v>57.49034160782692</v>
      </c>
      <c r="BK129" s="44">
        <f t="shared" si="153"/>
        <v>88.783479938274354</v>
      </c>
      <c r="BL129">
        <f t="shared" si="150"/>
        <v>48.478767368036337</v>
      </c>
      <c r="BM129" s="44">
        <f t="shared" si="151"/>
        <v>85.164024246087138</v>
      </c>
    </row>
    <row r="130" spans="14:65" x14ac:dyDescent="0.35">
      <c r="N130" s="9">
        <v>12</v>
      </c>
      <c r="O130" s="35">
        <f t="shared" si="154"/>
        <v>131.82567385564084</v>
      </c>
      <c r="P130" s="34" t="str">
        <f t="shared" si="103"/>
        <v>16.3709677419355</v>
      </c>
      <c r="Q130" s="4" t="str">
        <f t="shared" si="104"/>
        <v>1+0.121838071776754i</v>
      </c>
      <c r="R130" s="4">
        <f t="shared" si="116"/>
        <v>1.0073949154796631</v>
      </c>
      <c r="S130" s="4">
        <f t="shared" si="117"/>
        <v>0.12124050940513773</v>
      </c>
      <c r="T130" s="4" t="str">
        <f t="shared" si="105"/>
        <v>1+0.00013252562193261i</v>
      </c>
      <c r="U130" s="4">
        <f t="shared" si="118"/>
        <v>1.0000000087815202</v>
      </c>
      <c r="V130" s="4">
        <f t="shared" si="119"/>
        <v>1.3252562115675904E-4</v>
      </c>
      <c r="W130" t="str">
        <f t="shared" si="106"/>
        <v>1-0.00173432765437318i</v>
      </c>
      <c r="X130" s="4">
        <f t="shared" si="120"/>
        <v>1.0000015039450754</v>
      </c>
      <c r="Y130" s="4">
        <f t="shared" si="121"/>
        <v>-1.7343259154859873E-3</v>
      </c>
      <c r="Z130" t="str">
        <f t="shared" si="107"/>
        <v>0.999999984962243+0.000341556859985982i</v>
      </c>
      <c r="AA130" s="4">
        <f t="shared" si="122"/>
        <v>1.0000000432927865</v>
      </c>
      <c r="AB130" s="4">
        <f t="shared" si="123"/>
        <v>3.4155685184009984E-4</v>
      </c>
      <c r="AC130" s="48" t="str">
        <f t="shared" si="124"/>
        <v>16.1276770907199-1.99677974284654i</v>
      </c>
      <c r="AD130" s="20">
        <f t="shared" si="125"/>
        <v>24.217504727199042</v>
      </c>
      <c r="AE130" s="44">
        <f t="shared" si="126"/>
        <v>-7.05791565749269</v>
      </c>
      <c r="AF130" t="str">
        <f t="shared" si="127"/>
        <v>45.9520231294187</v>
      </c>
      <c r="AG130" t="str">
        <f t="shared" si="108"/>
        <v>1+0.0584671861467395i</v>
      </c>
      <c r="AH130">
        <f t="shared" si="128"/>
        <v>1.0017077477268095</v>
      </c>
      <c r="AI130">
        <f t="shared" si="129"/>
        <v>5.8400700817332334E-2</v>
      </c>
      <c r="AJ130" t="str">
        <f t="shared" si="109"/>
        <v>1+0.00013252562193261i</v>
      </c>
      <c r="AK130">
        <f t="shared" si="130"/>
        <v>1.0000000087815202</v>
      </c>
      <c r="AL130">
        <f t="shared" si="131"/>
        <v>1.3252562115675904E-4</v>
      </c>
      <c r="AM130" t="str">
        <f t="shared" si="110"/>
        <v>1-0.000296503266770801i</v>
      </c>
      <c r="AN130">
        <f t="shared" si="132"/>
        <v>1.0000000439570926</v>
      </c>
      <c r="AO130">
        <f t="shared" si="133"/>
        <v>-2.9650325808185357E-4</v>
      </c>
      <c r="AP130" s="42" t="str">
        <f t="shared" si="134"/>
        <v>45.7950380776046-2.68504212040865i</v>
      </c>
      <c r="AQ130">
        <f t="shared" si="135"/>
        <v>33.231272537636585</v>
      </c>
      <c r="AR130" s="44">
        <f t="shared" si="136"/>
        <v>-3.3555089039697039</v>
      </c>
      <c r="AS130" t="str">
        <f t="shared" si="111"/>
        <v>-0.000166666666666667</v>
      </c>
      <c r="AT130" t="str">
        <f t="shared" si="112"/>
        <v>0.0000104529584299346i</v>
      </c>
      <c r="AU130">
        <f t="shared" si="137"/>
        <v>1.04529584299346E-5</v>
      </c>
      <c r="AV130">
        <f t="shared" si="138"/>
        <v>1.5707963267948966</v>
      </c>
      <c r="AW130" t="str">
        <f t="shared" si="113"/>
        <v>1+0.00190439948791433i</v>
      </c>
      <c r="AX130">
        <f t="shared" si="139"/>
        <v>1.0000018133670605</v>
      </c>
      <c r="AY130">
        <f t="shared" si="140"/>
        <v>1.9043971856670513E-3</v>
      </c>
      <c r="AZ130" t="str">
        <f t="shared" si="114"/>
        <v>1+0.0387637444152883i</v>
      </c>
      <c r="BA130">
        <f t="shared" si="141"/>
        <v>1.0007510319160775</v>
      </c>
      <c r="BB130">
        <f t="shared" si="142"/>
        <v>3.8744346073669264E-2</v>
      </c>
      <c r="BC130" s="42" t="str">
        <f t="shared" si="143"/>
        <v>-0.587699828327043+15.9455686057114i</v>
      </c>
      <c r="BD130">
        <f t="shared" si="144"/>
        <v>24.058695708240748</v>
      </c>
      <c r="BE130" s="44">
        <f t="shared" si="145"/>
        <v>92.110773588760182</v>
      </c>
      <c r="BF130" s="42" t="str">
        <f t="shared" si="146"/>
        <v>22.3615553225242+258.338488612912i</v>
      </c>
      <c r="BG130" s="20">
        <f t="shared" si="147"/>
        <v>48.27620043543979</v>
      </c>
      <c r="BH130" s="44">
        <f t="shared" si="148"/>
        <v>85.052857931267511</v>
      </c>
      <c r="BI130" s="42" t="str">
        <f t="shared" si="152"/>
        <v>15.9007873237623+731.805920260825i</v>
      </c>
      <c r="BJ130" s="20">
        <f t="shared" si="149"/>
        <v>57.289968245877326</v>
      </c>
      <c r="BK130" s="44">
        <f t="shared" si="153"/>
        <v>88.755264684790504</v>
      </c>
      <c r="BL130">
        <f t="shared" si="150"/>
        <v>48.27620043543979</v>
      </c>
      <c r="BM130" s="44">
        <f t="shared" si="151"/>
        <v>85.052857931267511</v>
      </c>
    </row>
    <row r="131" spans="14:65" x14ac:dyDescent="0.35">
      <c r="N131" s="9">
        <v>13</v>
      </c>
      <c r="O131" s="35">
        <f t="shared" si="154"/>
        <v>134.89628825916537</v>
      </c>
      <c r="P131" s="34" t="str">
        <f t="shared" si="103"/>
        <v>16.3709677419355</v>
      </c>
      <c r="Q131" s="4" t="str">
        <f t="shared" si="104"/>
        <v>1+0.124676045042152i</v>
      </c>
      <c r="R131" s="4">
        <f t="shared" si="116"/>
        <v>1.007742088139298</v>
      </c>
      <c r="S131" s="4">
        <f t="shared" si="117"/>
        <v>0.12403601080383853</v>
      </c>
      <c r="T131" s="4" t="str">
        <f t="shared" si="105"/>
        <v>1+0.000135612540221288i</v>
      </c>
      <c r="U131" s="4">
        <f t="shared" si="118"/>
        <v>1.0000000091953805</v>
      </c>
      <c r="V131" s="4">
        <f t="shared" si="119"/>
        <v>1.3561253938994874E-4</v>
      </c>
      <c r="W131" t="str">
        <f t="shared" si="106"/>
        <v>1-0.00177472533503879i</v>
      </c>
      <c r="X131" s="4">
        <f t="shared" si="120"/>
        <v>1.0000015748237674</v>
      </c>
      <c r="Y131" s="4">
        <f t="shared" si="121"/>
        <v>-1.7747234717877518E-3</v>
      </c>
      <c r="Z131" t="str">
        <f t="shared" si="107"/>
        <v>0.999999984253535+0.000349512741289073i</v>
      </c>
      <c r="AA131" s="4">
        <f t="shared" si="122"/>
        <v>1.0000000453331124</v>
      </c>
      <c r="AB131" s="4">
        <f t="shared" si="123"/>
        <v>3.4951273256060312E-4</v>
      </c>
      <c r="AC131" s="48" t="str">
        <f t="shared" si="124"/>
        <v>16.1163866554233-2.04188307107354i</v>
      </c>
      <c r="AD131" s="20">
        <f t="shared" si="125"/>
        <v>24.21451247668454</v>
      </c>
      <c r="AE131" s="44">
        <f t="shared" si="126"/>
        <v>-7.2206796697409512</v>
      </c>
      <c r="AF131" t="str">
        <f t="shared" si="127"/>
        <v>45.9520231294187</v>
      </c>
      <c r="AG131" t="str">
        <f t="shared" si="108"/>
        <v>1+0.0598290618623328i</v>
      </c>
      <c r="AH131">
        <f t="shared" si="128"/>
        <v>1.0017881595643496</v>
      </c>
      <c r="AI131">
        <f t="shared" si="129"/>
        <v>5.975782841441836E-2</v>
      </c>
      <c r="AJ131" t="str">
        <f t="shared" si="109"/>
        <v>1+0.000135612540221288i</v>
      </c>
      <c r="AK131">
        <f t="shared" si="130"/>
        <v>1.0000000091953805</v>
      </c>
      <c r="AL131">
        <f t="shared" si="131"/>
        <v>1.3561253938994874E-4</v>
      </c>
      <c r="AM131" t="str">
        <f t="shared" si="110"/>
        <v>1-0.000303409715074911i</v>
      </c>
      <c r="AN131">
        <f t="shared" si="132"/>
        <v>1.0000000460287266</v>
      </c>
      <c r="AO131">
        <f t="shared" si="133"/>
        <v>-3.034097057645361E-4</v>
      </c>
      <c r="AP131" s="42" t="str">
        <f t="shared" si="134"/>
        <v>45.7876659885623-2.74714372062145i</v>
      </c>
      <c r="AQ131">
        <f t="shared" si="135"/>
        <v>33.230575329603525</v>
      </c>
      <c r="AR131" s="44">
        <f t="shared" si="136"/>
        <v>-3.4334854304606379</v>
      </c>
      <c r="AS131" t="str">
        <f t="shared" si="111"/>
        <v>-0.000166666666666667</v>
      </c>
      <c r="AT131" t="str">
        <f t="shared" si="112"/>
        <v>0.0000106964391099541i</v>
      </c>
      <c r="AU131">
        <f t="shared" si="137"/>
        <v>1.0696439109954101E-5</v>
      </c>
      <c r="AV131">
        <f t="shared" si="138"/>
        <v>1.5707963267948966</v>
      </c>
      <c r="AW131" t="str">
        <f t="shared" si="113"/>
        <v>1+0.00194875865048578i</v>
      </c>
      <c r="AX131">
        <f t="shared" si="139"/>
        <v>1.0000018988283361</v>
      </c>
      <c r="AY131">
        <f t="shared" si="140"/>
        <v>1.9487561835836284E-3</v>
      </c>
      <c r="AZ131" t="str">
        <f t="shared" si="114"/>
        <v>1+0.0396666680147267i</v>
      </c>
      <c r="BA131">
        <f t="shared" si="141"/>
        <v>1.0007864130529505</v>
      </c>
      <c r="BB131">
        <f t="shared" si="142"/>
        <v>3.9645883199233969E-2</v>
      </c>
      <c r="BC131" s="42" t="str">
        <f t="shared" si="143"/>
        <v>-0.587699727876085+15.5826546969316i</v>
      </c>
      <c r="BD131">
        <f t="shared" si="144"/>
        <v>23.859002046525344</v>
      </c>
      <c r="BE131" s="44">
        <f t="shared" si="145"/>
        <v>92.159886277765352</v>
      </c>
      <c r="BF131" s="42" t="str">
        <f t="shared" si="146"/>
        <v>22.3463627763112+252.336102338922i</v>
      </c>
      <c r="BG131" s="20">
        <f t="shared" si="147"/>
        <v>48.073514523209873</v>
      </c>
      <c r="BH131" s="44">
        <f t="shared" si="148"/>
        <v>84.939206608024392</v>
      </c>
      <c r="BI131" s="42" t="str">
        <f t="shared" si="152"/>
        <v>15.8983931597288+715.107884095251i</v>
      </c>
      <c r="BJ131" s="20">
        <f t="shared" si="149"/>
        <v>57.089577376128858</v>
      </c>
      <c r="BK131" s="44">
        <f t="shared" si="153"/>
        <v>88.726400847304731</v>
      </c>
      <c r="BL131">
        <f t="shared" si="150"/>
        <v>48.073514523209873</v>
      </c>
      <c r="BM131" s="44">
        <f t="shared" si="151"/>
        <v>84.939206608024392</v>
      </c>
    </row>
    <row r="132" spans="14:65" x14ac:dyDescent="0.35">
      <c r="N132" s="9">
        <v>14</v>
      </c>
      <c r="O132" s="35">
        <f t="shared" si="154"/>
        <v>138.0384264602886</v>
      </c>
      <c r="P132" s="34" t="str">
        <f t="shared" si="103"/>
        <v>16.3709677419355</v>
      </c>
      <c r="Q132" s="4" t="str">
        <f t="shared" si="104"/>
        <v>1+0.127580123196914i</v>
      </c>
      <c r="R132" s="4">
        <f t="shared" si="116"/>
        <v>1.0081054943977539</v>
      </c>
      <c r="S132" s="4">
        <f t="shared" si="117"/>
        <v>0.12689461161440957</v>
      </c>
      <c r="T132" s="4" t="str">
        <f t="shared" si="105"/>
        <v>1+0.000138771362073836i</v>
      </c>
      <c r="U132" s="4">
        <f t="shared" si="118"/>
        <v>1.0000000096287454</v>
      </c>
      <c r="V132" s="4">
        <f t="shared" si="119"/>
        <v>1.3877136118303993E-4</v>
      </c>
      <c r="W132" t="str">
        <f t="shared" si="106"/>
        <v>1-0.00181606399856831i</v>
      </c>
      <c r="X132" s="4">
        <f t="shared" si="120"/>
        <v>1.0000016490428638</v>
      </c>
      <c r="Y132" s="4">
        <f t="shared" si="121"/>
        <v>-1.81606200205903E-3</v>
      </c>
      <c r="Z132" t="str">
        <f t="shared" si="107"/>
        <v>0.999999983511427+0.000357653938873945i</v>
      </c>
      <c r="AA132" s="4">
        <f t="shared" si="122"/>
        <v>1.000000047469596</v>
      </c>
      <c r="AB132" s="4">
        <f t="shared" si="123"/>
        <v>3.5765392952122094E-4</v>
      </c>
      <c r="AC132" s="48" t="str">
        <f t="shared" si="124"/>
        <v>16.1045807790317-2.08793844242547i</v>
      </c>
      <c r="AD132" s="20">
        <f t="shared" si="125"/>
        <v>24.211381414732621</v>
      </c>
      <c r="AE132" s="44">
        <f t="shared" si="126"/>
        <v>-7.3871194238842532</v>
      </c>
      <c r="AF132" t="str">
        <f t="shared" si="127"/>
        <v>45.9520231294187</v>
      </c>
      <c r="AG132" t="str">
        <f t="shared" si="108"/>
        <v>1+0.0612226597384569i</v>
      </c>
      <c r="AH132">
        <f t="shared" si="128"/>
        <v>1.0018723541776422</v>
      </c>
      <c r="AI132">
        <f t="shared" si="129"/>
        <v>6.1146339425875704E-2</v>
      </c>
      <c r="AJ132" t="str">
        <f t="shared" si="109"/>
        <v>1+0.000138771362073836i</v>
      </c>
      <c r="AK132">
        <f t="shared" si="130"/>
        <v>1.0000000096287454</v>
      </c>
      <c r="AL132">
        <f t="shared" si="131"/>
        <v>1.3877136118303993E-4</v>
      </c>
      <c r="AM132" t="str">
        <f t="shared" si="110"/>
        <v>1-0.000310477035226057i</v>
      </c>
      <c r="AN132">
        <f t="shared" si="132"/>
        <v>1.0000000481979936</v>
      </c>
      <c r="AO132">
        <f t="shared" si="133"/>
        <v>-3.1047702524981057E-4</v>
      </c>
      <c r="AP132" s="42" t="str">
        <f t="shared" si="134"/>
        <v>45.7799490000768-2.81066046353975i</v>
      </c>
      <c r="AQ132">
        <f t="shared" si="135"/>
        <v>33.229845383121045</v>
      </c>
      <c r="AR132" s="44">
        <f t="shared" si="136"/>
        <v>-3.5132651916465778</v>
      </c>
      <c r="AS132" t="str">
        <f t="shared" si="111"/>
        <v>-0.000166666666666667</v>
      </c>
      <c r="AT132" t="str">
        <f t="shared" si="112"/>
        <v>0.0000109455911835738i</v>
      </c>
      <c r="AU132">
        <f t="shared" si="137"/>
        <v>1.0945591183573799E-5</v>
      </c>
      <c r="AV132">
        <f t="shared" si="138"/>
        <v>1.5707963267948966</v>
      </c>
      <c r="AW132" t="str">
        <f t="shared" si="113"/>
        <v>1+0.0019941510706886i</v>
      </c>
      <c r="AX132">
        <f t="shared" si="139"/>
        <v>1.0000019883172697</v>
      </c>
      <c r="AY132">
        <f t="shared" si="140"/>
        <v>1.9941484273556043E-3</v>
      </c>
      <c r="AZ132" t="str">
        <f t="shared" si="114"/>
        <v>1+0.040590623406597i</v>
      </c>
      <c r="BA132">
        <f t="shared" si="141"/>
        <v>1.0008234603108264</v>
      </c>
      <c r="BB132">
        <f t="shared" si="142"/>
        <v>4.0568353065105422E-2</v>
      </c>
      <c r="BC132" s="42" t="str">
        <f t="shared" si="143"/>
        <v>-0.587699622691056+15.2280029179145i</v>
      </c>
      <c r="BD132">
        <f t="shared" si="144"/>
        <v>23.659322798818259</v>
      </c>
      <c r="BE132" s="44">
        <f t="shared" si="145"/>
        <v>92.210139123817029</v>
      </c>
      <c r="BF132" s="42" t="str">
        <f t="shared" si="146"/>
        <v>22.3304766462463+246.4676837297i</v>
      </c>
      <c r="BG132" s="20">
        <f t="shared" si="147"/>
        <v>47.87070421355088</v>
      </c>
      <c r="BH132" s="44">
        <f t="shared" si="148"/>
        <v>84.8230196999328</v>
      </c>
      <c r="BI132" s="42" t="str">
        <f t="shared" si="152"/>
        <v>15.8958869858893+698.789021049081i</v>
      </c>
      <c r="BJ132" s="20">
        <f t="shared" si="149"/>
        <v>56.889168181939297</v>
      </c>
      <c r="BK132" s="44">
        <f t="shared" si="153"/>
        <v>88.696873932170462</v>
      </c>
      <c r="BL132">
        <f t="shared" si="150"/>
        <v>47.87070421355088</v>
      </c>
      <c r="BM132" s="44">
        <f t="shared" si="151"/>
        <v>84.8230196999328</v>
      </c>
    </row>
    <row r="133" spans="14:65" x14ac:dyDescent="0.35">
      <c r="N133" s="9">
        <v>15</v>
      </c>
      <c r="O133" s="35">
        <f t="shared" si="154"/>
        <v>141.25375446227542</v>
      </c>
      <c r="P133" s="34" t="str">
        <f t="shared" si="103"/>
        <v>16.3709677419355</v>
      </c>
      <c r="Q133" s="4" t="str">
        <f t="shared" si="104"/>
        <v>1+0.130551846021717i</v>
      </c>
      <c r="R133" s="4">
        <f t="shared" si="116"/>
        <v>1.0084858871098188</v>
      </c>
      <c r="S133" s="4">
        <f t="shared" si="117"/>
        <v>0.12981764053041328</v>
      </c>
      <c r="T133" s="4" t="str">
        <f t="shared" si="105"/>
        <v>1+0.000142003762339412i</v>
      </c>
      <c r="U133" s="4">
        <f t="shared" si="118"/>
        <v>1.0000000100825341</v>
      </c>
      <c r="V133" s="4">
        <f t="shared" si="119"/>
        <v>1.4200376138490681E-4</v>
      </c>
      <c r="W133" t="str">
        <f t="shared" si="106"/>
        <v>1-0.00185836556326832i</v>
      </c>
      <c r="X133" s="4">
        <f t="shared" si="120"/>
        <v>1.0000017267597925</v>
      </c>
      <c r="Y133" s="4">
        <f t="shared" si="121"/>
        <v>-1.858363423970283E-3</v>
      </c>
      <c r="Z133" t="str">
        <f t="shared" si="107"/>
        <v>0.999999982734345+0.000365984769311317i</v>
      </c>
      <c r="AA133" s="4">
        <f t="shared" si="122"/>
        <v>1.0000000497067696</v>
      </c>
      <c r="AB133" s="4">
        <f t="shared" si="123"/>
        <v>3.6598475928969251E-4</v>
      </c>
      <c r="AC133" s="48" t="str">
        <f t="shared" si="124"/>
        <v>16.0922367374485-2.1349612389283i</v>
      </c>
      <c r="AD133" s="20">
        <f t="shared" si="125"/>
        <v>24.208105208987703</v>
      </c>
      <c r="AE133" s="44">
        <f t="shared" si="126"/>
        <v>-7.5573124556051532</v>
      </c>
      <c r="AF133" t="str">
        <f t="shared" si="127"/>
        <v>45.9520231294187</v>
      </c>
      <c r="AG133" t="str">
        <f t="shared" si="108"/>
        <v>1+0.062648718679152i</v>
      </c>
      <c r="AH133">
        <f t="shared" si="128"/>
        <v>1.0019605091779513</v>
      </c>
      <c r="AI133">
        <f t="shared" si="129"/>
        <v>6.2566948630543739E-2</v>
      </c>
      <c r="AJ133" t="str">
        <f t="shared" si="109"/>
        <v>1+0.000142003762339412i</v>
      </c>
      <c r="AK133">
        <f t="shared" si="130"/>
        <v>1.0000000100825341</v>
      </c>
      <c r="AL133">
        <f t="shared" si="131"/>
        <v>1.4200376138490681E-4</v>
      </c>
      <c r="AM133" t="str">
        <f t="shared" si="110"/>
        <v>1-0.000317708974410929i</v>
      </c>
      <c r="AN133">
        <f t="shared" si="132"/>
        <v>1.000000050469495</v>
      </c>
      <c r="AO133">
        <f t="shared" si="133"/>
        <v>-3.177089637211884E-4</v>
      </c>
      <c r="AP133" s="42" t="str">
        <f t="shared" si="134"/>
        <v>45.7718711008431-2.8756230859842i</v>
      </c>
      <c r="AQ133">
        <f t="shared" si="135"/>
        <v>33.229081166802111</v>
      </c>
      <c r="AR133" s="44">
        <f t="shared" si="136"/>
        <v>-3.5948892600743467</v>
      </c>
      <c r="AS133" t="str">
        <f t="shared" si="111"/>
        <v>-0.000166666666666667</v>
      </c>
      <c r="AT133" t="str">
        <f t="shared" si="112"/>
        <v>0.0000112005467545211i</v>
      </c>
      <c r="AU133">
        <f t="shared" si="137"/>
        <v>1.1200546754521099E-5</v>
      </c>
      <c r="AV133">
        <f t="shared" si="138"/>
        <v>1.5707963267948966</v>
      </c>
      <c r="AW133" t="str">
        <f t="shared" si="113"/>
        <v>1+0.00204060081618481i</v>
      </c>
      <c r="AX133">
        <f t="shared" si="139"/>
        <v>1.0000020820236781</v>
      </c>
      <c r="AY133">
        <f t="shared" si="140"/>
        <v>2.0405979838027935E-3</v>
      </c>
      <c r="AZ133" t="str">
        <f t="shared" si="114"/>
        <v>1+0.0415361004842778i</v>
      </c>
      <c r="BA133">
        <f t="shared" si="141"/>
        <v>1.0008622520823931</v>
      </c>
      <c r="BB133">
        <f t="shared" si="142"/>
        <v>4.1512238493624974E-2</v>
      </c>
      <c r="BC133" s="42" t="str">
        <f t="shared" si="143"/>
        <v>-0.587699512548846+14.8814252275911i</v>
      </c>
      <c r="BD133">
        <f t="shared" si="144"/>
        <v>23.459658642189439</v>
      </c>
      <c r="BE133" s="44">
        <f t="shared" si="145"/>
        <v>92.261558411670421</v>
      </c>
      <c r="BF133" s="42" t="str">
        <f t="shared" si="146"/>
        <v>22.3138663544976+240.730133432463i</v>
      </c>
      <c r="BG133" s="20">
        <f t="shared" si="147"/>
        <v>47.667763851177128</v>
      </c>
      <c r="BH133" s="44">
        <f t="shared" si="148"/>
        <v>84.704245956065265</v>
      </c>
      <c r="BI133" s="42" t="str">
        <f t="shared" si="152"/>
        <v>15.8932636023945+682.840679600042i</v>
      </c>
      <c r="BJ133" s="20">
        <f t="shared" si="149"/>
        <v>56.688739808991556</v>
      </c>
      <c r="BK133" s="44">
        <f t="shared" si="153"/>
        <v>88.666669151596082</v>
      </c>
      <c r="BL133">
        <f t="shared" si="150"/>
        <v>47.667763851177128</v>
      </c>
      <c r="BM133" s="44">
        <f t="shared" si="151"/>
        <v>84.704245956065265</v>
      </c>
    </row>
    <row r="134" spans="14:65" x14ac:dyDescent="0.35">
      <c r="N134" s="9">
        <v>16</v>
      </c>
      <c r="O134" s="35">
        <f t="shared" si="154"/>
        <v>144.54397707459285</v>
      </c>
      <c r="P134" s="34" t="str">
        <f t="shared" si="103"/>
        <v>16.3709677419355</v>
      </c>
      <c r="Q134" s="4" t="str">
        <f t="shared" si="104"/>
        <v>1+0.133592789163339i</v>
      </c>
      <c r="R134" s="4">
        <f t="shared" si="116"/>
        <v>1.0088840534553216</v>
      </c>
      <c r="S134" s="4">
        <f t="shared" si="117"/>
        <v>0.13280644747706655</v>
      </c>
      <c r="T134" s="4" t="str">
        <f t="shared" si="105"/>
        <v>1+0.000145311454879422i</v>
      </c>
      <c r="U134" s="4">
        <f t="shared" si="118"/>
        <v>1.0000000105577094</v>
      </c>
      <c r="V134" s="4">
        <f t="shared" si="119"/>
        <v>1.4531145385665125E-4</v>
      </c>
      <c r="W134" t="str">
        <f t="shared" si="106"/>
        <v>1-0.00190165245798835i</v>
      </c>
      <c r="X134" s="4">
        <f t="shared" si="120"/>
        <v>1.0000018081394009</v>
      </c>
      <c r="Y134" s="4">
        <f t="shared" si="121"/>
        <v>-1.9016501656894274E-3</v>
      </c>
      <c r="Z134" t="str">
        <f t="shared" si="107"/>
        <v>0.999999981920639+0.000374509649717759i</v>
      </c>
      <c r="AA134" s="4">
        <f t="shared" si="122"/>
        <v>1.0000000520493766</v>
      </c>
      <c r="AB134" s="4">
        <f t="shared" si="123"/>
        <v>3.7450963897939519E-4</v>
      </c>
      <c r="AC134" s="48" t="str">
        <f t="shared" si="124"/>
        <v>16.079330881172-2.18296674513927i</v>
      </c>
      <c r="AD134" s="20">
        <f t="shared" si="125"/>
        <v>24.204677248375074</v>
      </c>
      <c r="AE134" s="44">
        <f t="shared" si="126"/>
        <v>-7.7313375498456898</v>
      </c>
      <c r="AF134" t="str">
        <f t="shared" si="127"/>
        <v>45.9520231294187</v>
      </c>
      <c r="AG134" t="str">
        <f t="shared" si="108"/>
        <v>1+0.0641079947997447i</v>
      </c>
      <c r="AH134">
        <f t="shared" si="128"/>
        <v>1.0020528104831821</v>
      </c>
      <c r="AI134">
        <f t="shared" si="129"/>
        <v>6.4020386305483581E-2</v>
      </c>
      <c r="AJ134" t="str">
        <f t="shared" si="109"/>
        <v>1+0.000145311454879422i</v>
      </c>
      <c r="AK134">
        <f t="shared" si="130"/>
        <v>1.0000000105577094</v>
      </c>
      <c r="AL134">
        <f t="shared" si="131"/>
        <v>1.4531145385665125E-4</v>
      </c>
      <c r="AM134" t="str">
        <f t="shared" si="110"/>
        <v>1-0.000325109367099409i</v>
      </c>
      <c r="AN134">
        <f t="shared" si="132"/>
        <v>1.0000000528480488</v>
      </c>
      <c r="AO134">
        <f t="shared" si="133"/>
        <v>-3.2510935564514562E-4</v>
      </c>
      <c r="AP134" s="42" t="str">
        <f t="shared" si="134"/>
        <v>45.763415548234-2.94206288380569i</v>
      </c>
      <c r="AQ134">
        <f t="shared" si="135"/>
        <v>33.228281078193461</v>
      </c>
      <c r="AR134" s="44">
        <f t="shared" si="136"/>
        <v>-3.6783995990391238</v>
      </c>
      <c r="AS134" t="str">
        <f t="shared" si="111"/>
        <v>-0.000166666666666667</v>
      </c>
      <c r="AT134" t="str">
        <f t="shared" si="112"/>
        <v>0.0000114614410036144i</v>
      </c>
      <c r="AU134">
        <f t="shared" si="137"/>
        <v>1.14614410036144E-5</v>
      </c>
      <c r="AV134">
        <f t="shared" si="138"/>
        <v>1.5707963267948966</v>
      </c>
      <c r="AW134" t="str">
        <f t="shared" si="113"/>
        <v>1+0.0020881325152443i</v>
      </c>
      <c r="AX134">
        <f t="shared" si="139"/>
        <v>1.0000021801463241</v>
      </c>
      <c r="AY134">
        <f t="shared" si="140"/>
        <v>2.0881294802926466E-3</v>
      </c>
      <c r="AZ134" t="str">
        <f t="shared" si="114"/>
        <v>1+0.0425036005522307i</v>
      </c>
      <c r="BA134">
        <f t="shared" si="141"/>
        <v>1.0009028704424339</v>
      </c>
      <c r="BB134">
        <f t="shared" si="142"/>
        <v>4.2478033214096857E-2</v>
      </c>
      <c r="BC134" s="42" t="str">
        <f t="shared" si="143"/>
        <v>-0.587699397215841+14.5427378658811i</v>
      </c>
      <c r="BD134">
        <f t="shared" si="144"/>
        <v>23.260010285402526</v>
      </c>
      <c r="BE134" s="44">
        <f t="shared" si="145"/>
        <v>92.314171018886668</v>
      </c>
      <c r="BF134" s="42" t="str">
        <f t="shared" si="146"/>
        <v>22.2965000779972+235.120422303912i</v>
      </c>
      <c r="BG134" s="20">
        <f t="shared" si="147"/>
        <v>47.464687533777607</v>
      </c>
      <c r="BH134" s="44">
        <f t="shared" si="148"/>
        <v>84.582833469040992</v>
      </c>
      <c r="BI134" s="42" t="str">
        <f t="shared" si="152"/>
        <v>15.8905175718892+667.254404748738i</v>
      </c>
      <c r="BJ134" s="20">
        <f t="shared" si="149"/>
        <v>56.488291363595977</v>
      </c>
      <c r="BK134" s="44">
        <f t="shared" si="153"/>
        <v>88.635771419847543</v>
      </c>
      <c r="BL134">
        <f t="shared" si="150"/>
        <v>47.464687533777607</v>
      </c>
      <c r="BM134" s="44">
        <f t="shared" si="151"/>
        <v>84.582833469040992</v>
      </c>
    </row>
    <row r="135" spans="14:65" x14ac:dyDescent="0.35">
      <c r="N135" s="9">
        <v>17</v>
      </c>
      <c r="O135" s="35">
        <f t="shared" si="154"/>
        <v>147.91083881682084</v>
      </c>
      <c r="P135" s="34" t="str">
        <f t="shared" si="103"/>
        <v>16.3709677419355</v>
      </c>
      <c r="Q135" s="4" t="str">
        <f t="shared" si="104"/>
        <v>1+0.136704564970085i</v>
      </c>
      <c r="R135" s="4">
        <f t="shared" si="116"/>
        <v>1.0093008164485255</v>
      </c>
      <c r="S135" s="4">
        <f t="shared" si="117"/>
        <v>0.13586240345490377</v>
      </c>
      <c r="T135" s="4" t="str">
        <f t="shared" si="105"/>
        <v>1+0.000148696193476233i</v>
      </c>
      <c r="U135" s="4">
        <f t="shared" si="118"/>
        <v>1.0000000110552789</v>
      </c>
      <c r="V135" s="4">
        <f t="shared" si="119"/>
        <v>1.4869619238031442E-4</v>
      </c>
      <c r="W135" t="str">
        <f t="shared" si="106"/>
        <v>1-0.00194594763401295i</v>
      </c>
      <c r="X135" s="4">
        <f t="shared" si="120"/>
        <v>1.0000018933543047</v>
      </c>
      <c r="Y135" s="4">
        <f t="shared" si="121"/>
        <v>-1.9459451777706523E-3</v>
      </c>
      <c r="Z135" t="str">
        <f t="shared" si="107"/>
        <v>0.999999981068585+0.000383233100097703i</v>
      </c>
      <c r="AA135" s="4">
        <f t="shared" si="122"/>
        <v>1.0000000545023882</v>
      </c>
      <c r="AB135" s="4">
        <f t="shared" si="123"/>
        <v>3.8323308859133888E-4</v>
      </c>
      <c r="AC135" s="48" t="str">
        <f t="shared" si="124"/>
        <v>16.0658386049043-2.23197011680683i</v>
      </c>
      <c r="AD135" s="20">
        <f t="shared" si="125"/>
        <v>24.201090631793996</v>
      </c>
      <c r="AE135" s="44">
        <f t="shared" si="126"/>
        <v>-7.9092747326127189</v>
      </c>
      <c r="AF135" t="str">
        <f t="shared" si="127"/>
        <v>45.9520231294187</v>
      </c>
      <c r="AG135" t="str">
        <f t="shared" si="108"/>
        <v>1+0.0656012618277498i</v>
      </c>
      <c r="AH135">
        <f t="shared" si="128"/>
        <v>1.0021494527032349</v>
      </c>
      <c r="AI135">
        <f t="shared" si="129"/>
        <v>6.5507398505860459E-2</v>
      </c>
      <c r="AJ135" t="str">
        <f t="shared" si="109"/>
        <v>1+0.000148696193476233i</v>
      </c>
      <c r="AK135">
        <f t="shared" si="130"/>
        <v>1.0000000110552789</v>
      </c>
      <c r="AL135">
        <f t="shared" si="131"/>
        <v>1.4869619238031442E-4</v>
      </c>
      <c r="AM135" t="str">
        <f t="shared" si="110"/>
        <v>1-0.000332682137077657i</v>
      </c>
      <c r="AN135">
        <f t="shared" si="132"/>
        <v>1.0000000553387007</v>
      </c>
      <c r="AO135">
        <f t="shared" si="133"/>
        <v>-3.3268212480419269E-4</v>
      </c>
      <c r="AP135" s="42" t="str">
        <f t="shared" si="134"/>
        <v>45.7545648360474-3.01001171396016i</v>
      </c>
      <c r="AQ135">
        <f t="shared" si="135"/>
        <v>33.227443440531893</v>
      </c>
      <c r="AR135" s="44">
        <f t="shared" si="136"/>
        <v>-3.7638390786850673</v>
      </c>
      <c r="AS135" t="str">
        <f t="shared" si="111"/>
        <v>-0.000166666666666667</v>
      </c>
      <c r="AT135" t="str">
        <f t="shared" si="112"/>
        <v>0.0000117284122604379i</v>
      </c>
      <c r="AU135">
        <f t="shared" si="137"/>
        <v>1.17284122604379E-5</v>
      </c>
      <c r="AV135">
        <f t="shared" si="138"/>
        <v>1.5707963267948966</v>
      </c>
      <c r="AW135" t="str">
        <f t="shared" si="113"/>
        <v>1+0.00213677136980308i</v>
      </c>
      <c r="AX135">
        <f t="shared" si="139"/>
        <v>1.0000022828933377</v>
      </c>
      <c r="AY135">
        <f t="shared" si="140"/>
        <v>2.1367681177941939E-3</v>
      </c>
      <c r="AZ135" t="str">
        <f t="shared" si="114"/>
        <v>1+0.0434936365917981i</v>
      </c>
      <c r="BA135">
        <f t="shared" si="141"/>
        <v>1.0009454013201617</v>
      </c>
      <c r="BB135">
        <f t="shared" si="142"/>
        <v>4.3466242092725794E-2</v>
      </c>
      <c r="BC135" s="42" t="str">
        <f t="shared" si="143"/>
        <v>-0.587699276447408+14.2117612562608i</v>
      </c>
      <c r="BD135">
        <f t="shared" si="144"/>
        <v>23.0603784703878</v>
      </c>
      <c r="BE135" s="44">
        <f t="shared" si="145"/>
        <v>92.368004428259354</v>
      </c>
      <c r="BF135" s="42" t="str">
        <f t="shared" si="146"/>
        <v>22.2783447075441+229.635589857218i</v>
      </c>
      <c r="BG135" s="20">
        <f t="shared" si="147"/>
        <v>47.261469102181806</v>
      </c>
      <c r="BH135" s="44">
        <f t="shared" si="148"/>
        <v>84.458729695646653</v>
      </c>
      <c r="BI135" s="42" t="str">
        <f t="shared" si="152"/>
        <v>15.8876432090391+652.021933540404i</v>
      </c>
      <c r="BJ135" s="20">
        <f t="shared" si="149"/>
        <v>56.287821910919689</v>
      </c>
      <c r="BK135" s="44">
        <f t="shared" si="153"/>
        <v>88.604165349574302</v>
      </c>
      <c r="BL135">
        <f t="shared" si="150"/>
        <v>47.261469102181806</v>
      </c>
      <c r="BM135" s="44">
        <f t="shared" si="151"/>
        <v>84.458729695646653</v>
      </c>
    </row>
    <row r="136" spans="14:65" x14ac:dyDescent="0.35">
      <c r="N136" s="9">
        <v>18</v>
      </c>
      <c r="O136" s="35">
        <f t="shared" si="154"/>
        <v>151.3561248436209</v>
      </c>
      <c r="P136" s="34" t="str">
        <f t="shared" si="103"/>
        <v>16.3709677419355</v>
      </c>
      <c r="Q136" s="4" t="str">
        <f t="shared" si="104"/>
        <v>1+0.139888823346677i</v>
      </c>
      <c r="R136" s="4">
        <f t="shared" si="116"/>
        <v>1.0097370365086733</v>
      </c>
      <c r="S136" s="4">
        <f t="shared" si="117"/>
        <v>0.1389869003384086</v>
      </c>
      <c r="T136" s="4" t="str">
        <f t="shared" si="105"/>
        <v>1+0.000152159772763052i</v>
      </c>
      <c r="U136" s="4">
        <f t="shared" si="118"/>
        <v>1.0000000115762981</v>
      </c>
      <c r="V136" s="4">
        <f t="shared" si="119"/>
        <v>1.5215977158875409E-4</v>
      </c>
      <c r="W136" t="str">
        <f t="shared" si="106"/>
        <v>1-0.00199127457723076i</v>
      </c>
      <c r="X136" s="4">
        <f t="shared" si="120"/>
        <v>1.0000019825852555</v>
      </c>
      <c r="Y136" s="4">
        <f t="shared" si="121"/>
        <v>-1.9912719453200013E-3</v>
      </c>
      <c r="Z136" t="str">
        <f t="shared" si="107"/>
        <v>0.999999980176375+0.000392159745740008i</v>
      </c>
      <c r="AA136" s="4">
        <f t="shared" si="122"/>
        <v>1.0000000570710066</v>
      </c>
      <c r="AB136" s="4">
        <f t="shared" si="123"/>
        <v>3.921597334107167E-4</v>
      </c>
      <c r="AC136" s="48" t="str">
        <f t="shared" si="124"/>
        <v>16.0517343168863-2.28198634712652i</v>
      </c>
      <c r="AD136" s="20">
        <f t="shared" si="125"/>
        <v>24.197338156443422</v>
      </c>
      <c r="AE136" s="44">
        <f t="shared" si="126"/>
        <v>-8.0912052602215248</v>
      </c>
      <c r="AF136" t="str">
        <f t="shared" si="127"/>
        <v>45.9520231294187</v>
      </c>
      <c r="AG136" t="str">
        <f t="shared" si="108"/>
        <v>1+0.0671293115131112i</v>
      </c>
      <c r="AH136">
        <f t="shared" si="128"/>
        <v>1.002250639542936</v>
      </c>
      <c r="AI136">
        <f t="shared" si="129"/>
        <v>6.7028747345690975E-2</v>
      </c>
      <c r="AJ136" t="str">
        <f t="shared" si="109"/>
        <v>1+0.000152159772763052i</v>
      </c>
      <c r="AK136">
        <f t="shared" si="130"/>
        <v>1.0000000115762981</v>
      </c>
      <c r="AL136">
        <f t="shared" si="131"/>
        <v>1.5215977158875409E-4</v>
      </c>
      <c r="AM136" t="str">
        <f t="shared" si="110"/>
        <v>1-0.000340431299528551i</v>
      </c>
      <c r="AN136">
        <f t="shared" si="132"/>
        <v>1.0000000579467332</v>
      </c>
      <c r="AO136">
        <f t="shared" si="133"/>
        <v>-3.4043128637729707E-4</v>
      </c>
      <c r="AP136" s="42" t="str">
        <f t="shared" si="134"/>
        <v>45.7453006609444-3.07950199588201i</v>
      </c>
      <c r="AQ136">
        <f t="shared" si="135"/>
        <v>33.226566499358093</v>
      </c>
      <c r="AR136" s="44">
        <f t="shared" si="136"/>
        <v>-3.8512514921567331</v>
      </c>
      <c r="AS136" t="str">
        <f t="shared" si="111"/>
        <v>-0.000166666666666667</v>
      </c>
      <c r="AT136" t="str">
        <f t="shared" si="112"/>
        <v>0.0000120016020766858i</v>
      </c>
      <c r="AU136">
        <f t="shared" si="137"/>
        <v>1.20016020766858E-5</v>
      </c>
      <c r="AV136">
        <f t="shared" si="138"/>
        <v>1.5707963267948966</v>
      </c>
      <c r="AW136" t="str">
        <f t="shared" si="113"/>
        <v>1+0.00218654316882564i</v>
      </c>
      <c r="AX136">
        <f t="shared" si="139"/>
        <v>1.0000023904826574</v>
      </c>
      <c r="AY136">
        <f t="shared" si="140"/>
        <v>2.1865396842357878E-3</v>
      </c>
      <c r="AZ136" t="str">
        <f t="shared" si="114"/>
        <v>1+0.0445067335331928i</v>
      </c>
      <c r="BA136">
        <f t="shared" si="141"/>
        <v>1.0009899346795623</v>
      </c>
      <c r="BB136">
        <f t="shared" si="142"/>
        <v>4.447738136620534E-2</v>
      </c>
      <c r="BC136" s="42" t="str">
        <f t="shared" si="143"/>
        <v>-0.587699149987385+13.8883199105492i</v>
      </c>
      <c r="BD136">
        <f t="shared" si="144"/>
        <v>22.86076397378249</v>
      </c>
      <c r="BE136" s="44">
        <f t="shared" si="145"/>
        <v>92.423086740432794</v>
      </c>
      <c r="BF136" s="42" t="str">
        <f t="shared" si="146"/>
        <v>22.2593658065413+224.272742748547i</v>
      </c>
      <c r="BG136" s="20">
        <f t="shared" si="147"/>
        <v>47.058102130225919</v>
      </c>
      <c r="BH136" s="44">
        <f t="shared" si="148"/>
        <v>84.331881480211251</v>
      </c>
      <c r="BI136" s="42" t="str">
        <f t="shared" si="152"/>
        <v>15.8846345696297+637.135190688818i</v>
      </c>
      <c r="BJ136" s="20">
        <f t="shared" si="149"/>
        <v>56.087330473140582</v>
      </c>
      <c r="BK136" s="44">
        <f t="shared" si="153"/>
        <v>88.571835248276059</v>
      </c>
      <c r="BL136">
        <f t="shared" si="150"/>
        <v>47.058102130225919</v>
      </c>
      <c r="BM136" s="44">
        <f t="shared" si="151"/>
        <v>84.331881480211251</v>
      </c>
    </row>
    <row r="137" spans="14:65" x14ac:dyDescent="0.35">
      <c r="N137" s="9">
        <v>19</v>
      </c>
      <c r="O137" s="35">
        <f t="shared" si="154"/>
        <v>154.8816618912482</v>
      </c>
      <c r="P137" s="34" t="str">
        <f t="shared" si="103"/>
        <v>16.3709677419355</v>
      </c>
      <c r="Q137" s="4" t="str">
        <f t="shared" si="104"/>
        <v>1+0.143147252629055i</v>
      </c>
      <c r="R137" s="4">
        <f t="shared" si="116"/>
        <v>1.0101936130936715</v>
      </c>
      <c r="S137" s="4">
        <f t="shared" si="117"/>
        <v>0.14218135062619061</v>
      </c>
      <c r="T137" s="4" t="str">
        <f t="shared" si="105"/>
        <v>1+0.000155704029175464i</v>
      </c>
      <c r="U137" s="4">
        <f t="shared" si="118"/>
        <v>1.0000000121218724</v>
      </c>
      <c r="V137" s="4">
        <f t="shared" si="119"/>
        <v>1.557040279171811E-4</v>
      </c>
      <c r="W137" t="str">
        <f t="shared" si="106"/>
        <v>1-0.00203765732058706i</v>
      </c>
      <c r="X137" s="4">
        <f t="shared" si="120"/>
        <v>1.0000020760215231</v>
      </c>
      <c r="Y137" s="4">
        <f t="shared" si="121"/>
        <v>-2.0376545004441885E-3</v>
      </c>
      <c r="Z137" t="str">
        <f t="shared" si="107"/>
        <v>0.999999979242116+0.000401294319670353i</v>
      </c>
      <c r="AA137" s="4">
        <f t="shared" si="122"/>
        <v>1.00000005976068</v>
      </c>
      <c r="AB137" s="4">
        <f t="shared" si="123"/>
        <v>4.0129430645927951E-4</v>
      </c>
      <c r="AC137" s="48" t="str">
        <f t="shared" si="124"/>
        <v>16.0369914080432-2.33303023046223i</v>
      </c>
      <c r="AD137" s="20">
        <f t="shared" si="125"/>
        <v>24.193412305778381</v>
      </c>
      <c r="AE137" s="44">
        <f t="shared" si="126"/>
        <v>-8.2772116057816465</v>
      </c>
      <c r="AF137" t="str">
        <f t="shared" si="127"/>
        <v>45.9520231294187</v>
      </c>
      <c r="AG137" t="str">
        <f t="shared" si="108"/>
        <v>1+0.0686929540479984i</v>
      </c>
      <c r="AH137">
        <f t="shared" si="128"/>
        <v>1.0023565842233195</v>
      </c>
      <c r="AI137">
        <f t="shared" si="129"/>
        <v>6.858521127908751E-2</v>
      </c>
      <c r="AJ137" t="str">
        <f t="shared" si="109"/>
        <v>1+0.000155704029175464i</v>
      </c>
      <c r="AK137">
        <f t="shared" si="130"/>
        <v>1.0000000121218724</v>
      </c>
      <c r="AL137">
        <f t="shared" si="131"/>
        <v>1.557040279171811E-4</v>
      </c>
      <c r="AM137" t="str">
        <f t="shared" si="110"/>
        <v>1-0.000348360963160597i</v>
      </c>
      <c r="AN137">
        <f t="shared" si="132"/>
        <v>1.0000000606776784</v>
      </c>
      <c r="AO137">
        <f t="shared" si="133"/>
        <v>-3.4836094906877456E-4</v>
      </c>
      <c r="AP137" s="42" t="str">
        <f t="shared" si="134"/>
        <v>45.735603887533-3.15056671209029i</v>
      </c>
      <c r="AQ137">
        <f t="shared" si="135"/>
        <v>33.225648418981578</v>
      </c>
      <c r="AR137" s="44">
        <f t="shared" si="136"/>
        <v>-3.9406815717807371</v>
      </c>
      <c r="AS137" t="str">
        <f t="shared" si="111"/>
        <v>-0.000166666666666667</v>
      </c>
      <c r="AT137" t="str">
        <f t="shared" si="112"/>
        <v>0.0000122811553012147i</v>
      </c>
      <c r="AU137">
        <f t="shared" si="137"/>
        <v>1.22811553012147E-5</v>
      </c>
      <c r="AV137">
        <f t="shared" si="138"/>
        <v>1.5707963267948966</v>
      </c>
      <c r="AW137" t="str">
        <f t="shared" si="113"/>
        <v>1+0.00223747430197863i</v>
      </c>
      <c r="AX137">
        <f t="shared" si="139"/>
        <v>1.0000025031424931</v>
      </c>
      <c r="AY137">
        <f t="shared" si="140"/>
        <v>2.2374705681738375E-3</v>
      </c>
      <c r="AZ137" t="str">
        <f t="shared" si="114"/>
        <v>1+0.045543428533823i</v>
      </c>
      <c r="BA137">
        <f t="shared" si="141"/>
        <v>1.0010365647081105</v>
      </c>
      <c r="BB137">
        <f t="shared" si="142"/>
        <v>4.5511978878921618E-2</v>
      </c>
      <c r="BC137" s="42" t="str">
        <f t="shared" si="143"/>
        <v>-0.587699017567546+13.5722423358617i</v>
      </c>
      <c r="BD137">
        <f t="shared" si="144"/>
        <v>22.661167608541533</v>
      </c>
      <c r="BE137" s="44">
        <f t="shared" si="145"/>
        <v>92.47944668670965</v>
      </c>
      <c r="BF137" s="42" t="str">
        <f t="shared" si="146"/>
        <v>22.2395275694785+219.029053302492i</v>
      </c>
      <c r="BG137" s="20">
        <f t="shared" si="147"/>
        <v>46.854579914319899</v>
      </c>
      <c r="BH137" s="44">
        <f t="shared" si="148"/>
        <v>84.202235080928006</v>
      </c>
      <c r="BI137" s="42" t="str">
        <f t="shared" si="152"/>
        <v>15.8814854392269+622.586284300053i</v>
      </c>
      <c r="BJ137" s="20">
        <f t="shared" si="149"/>
        <v>55.886816027523111</v>
      </c>
      <c r="BK137" s="44">
        <f t="shared" si="153"/>
        <v>88.538765114928921</v>
      </c>
      <c r="BL137">
        <f t="shared" si="150"/>
        <v>46.854579914319899</v>
      </c>
      <c r="BM137" s="44">
        <f t="shared" si="151"/>
        <v>84.202235080928006</v>
      </c>
    </row>
    <row r="138" spans="14:65" x14ac:dyDescent="0.35">
      <c r="N138" s="9">
        <v>20</v>
      </c>
      <c r="O138" s="35">
        <f t="shared" si="154"/>
        <v>158.48931924611153</v>
      </c>
      <c r="P138" s="34" t="str">
        <f t="shared" si="103"/>
        <v>16.3709677419355</v>
      </c>
      <c r="Q138" s="4" t="str">
        <f t="shared" si="104"/>
        <v>1+0.146481580479555i</v>
      </c>
      <c r="R138" s="4">
        <f t="shared" si="116"/>
        <v>1.010671486398913</v>
      </c>
      <c r="S138" s="4">
        <f t="shared" si="117"/>
        <v>0.14544718713910654</v>
      </c>
      <c r="T138" s="4" t="str">
        <f t="shared" si="105"/>
        <v>1+0.00015933084192513i</v>
      </c>
      <c r="U138" s="4">
        <f t="shared" si="118"/>
        <v>1.0000000126931585</v>
      </c>
      <c r="V138" s="4">
        <f t="shared" si="119"/>
        <v>1.5933084057685558E-4</v>
      </c>
      <c r="W138" t="str">
        <f t="shared" si="106"/>
        <v>1-0.00208512045682632i</v>
      </c>
      <c r="X138" s="4">
        <f t="shared" si="120"/>
        <v>1.000002173861297</v>
      </c>
      <c r="Y138" s="4">
        <f t="shared" si="121"/>
        <v>-2.0851174349891446E-3</v>
      </c>
      <c r="Z138" t="str">
        <f t="shared" si="107"/>
        <v>0.999999978263827+0.000410641665160745i</v>
      </c>
      <c r="AA138" s="4">
        <f t="shared" si="122"/>
        <v>1.0000000625771137</v>
      </c>
      <c r="AB138" s="4">
        <f t="shared" si="123"/>
        <v>4.1064165100482481E-4</v>
      </c>
      <c r="AC138" s="48" t="str">
        <f t="shared" si="124"/>
        <v>16.0215822210319-2.38511632339807i</v>
      </c>
      <c r="AD138" s="20">
        <f t="shared" si="125"/>
        <v>24.189305237094011</v>
      </c>
      <c r="AE138" s="44">
        <f t="shared" si="126"/>
        <v>-8.4673774427178543</v>
      </c>
      <c r="AF138" t="str">
        <f t="shared" si="127"/>
        <v>45.9520231294187</v>
      </c>
      <c r="AG138" t="str">
        <f t="shared" si="108"/>
        <v>1+0.0702930184963808i</v>
      </c>
      <c r="AH138">
        <f t="shared" si="128"/>
        <v>1.0024675099220586</v>
      </c>
      <c r="AI138">
        <f t="shared" si="129"/>
        <v>7.0177585381598781E-2</v>
      </c>
      <c r="AJ138" t="str">
        <f t="shared" si="109"/>
        <v>1+0.00015933084192513i</v>
      </c>
      <c r="AK138">
        <f t="shared" si="130"/>
        <v>1.0000000126931585</v>
      </c>
      <c r="AL138">
        <f t="shared" si="131"/>
        <v>1.5933084057685558E-4</v>
      </c>
      <c r="AM138" t="str">
        <f t="shared" si="110"/>
        <v>1-0.000356475332386413i</v>
      </c>
      <c r="AN138">
        <f t="shared" si="132"/>
        <v>1.0000000635373292</v>
      </c>
      <c r="AO138">
        <f t="shared" si="133"/>
        <v>-3.5647531728675333E-4</v>
      </c>
      <c r="AP138" s="42" t="str">
        <f t="shared" si="134"/>
        <v>45.7254545120576-3.223239407957i</v>
      </c>
      <c r="AQ138">
        <f t="shared" si="135"/>
        <v>33.224687278791329</v>
      </c>
      <c r="AR138" s="44">
        <f t="shared" si="136"/>
        <v>-4.0321750052543877</v>
      </c>
      <c r="AS138" t="str">
        <f t="shared" si="111"/>
        <v>-0.000166666666666667</v>
      </c>
      <c r="AT138" t="str">
        <f t="shared" si="112"/>
        <v>0.0000125672201568446i</v>
      </c>
      <c r="AU138">
        <f t="shared" si="137"/>
        <v>1.25672201568446E-5</v>
      </c>
      <c r="AV138">
        <f t="shared" si="138"/>
        <v>1.5707963267948966</v>
      </c>
      <c r="AW138" t="str">
        <f t="shared" si="113"/>
        <v>1+0.00228959177362301i</v>
      </c>
      <c r="AX138">
        <f t="shared" si="139"/>
        <v>1.0000026211118098</v>
      </c>
      <c r="AY138">
        <f t="shared" si="140"/>
        <v>2.2895877727796589E-3</v>
      </c>
      <c r="AZ138" t="str">
        <f t="shared" si="114"/>
        <v>1+0.0466042712631005i</v>
      </c>
      <c r="BA138">
        <f t="shared" si="141"/>
        <v>1.0010853900142409</v>
      </c>
      <c r="BB138">
        <f t="shared" si="142"/>
        <v>4.6570574323728971E-2</v>
      </c>
      <c r="BC138" s="42" t="str">
        <f t="shared" si="143"/>
        <v>-0.587698878907016+13.2633609436827i</v>
      </c>
      <c r="BD138">
        <f t="shared" si="144"/>
        <v>22.461590225622121</v>
      </c>
      <c r="BE138" s="44">
        <f t="shared" si="145"/>
        <v>92.537113642044943</v>
      </c>
      <c r="BF138" s="42" t="str">
        <f t="shared" si="146"/>
        <v>22.218792780281+213.901758075759i</v>
      </c>
      <c r="BG138" s="20">
        <f t="shared" si="147"/>
        <v>46.650895462716107</v>
      </c>
      <c r="BH138" s="44">
        <f t="shared" si="148"/>
        <v>84.069736199327082</v>
      </c>
      <c r="BI138" s="42" t="str">
        <f t="shared" si="152"/>
        <v>15.8781893213858+608.36750169387i</v>
      </c>
      <c r="BJ138" s="20">
        <f t="shared" si="149"/>
        <v>55.686277504413454</v>
      </c>
      <c r="BK138" s="44">
        <f t="shared" si="153"/>
        <v>88.504938636790556</v>
      </c>
      <c r="BL138">
        <f t="shared" si="150"/>
        <v>46.650895462716107</v>
      </c>
      <c r="BM138" s="44">
        <f t="shared" si="151"/>
        <v>84.069736199327082</v>
      </c>
    </row>
    <row r="139" spans="14:65" x14ac:dyDescent="0.35">
      <c r="N139" s="9">
        <v>21</v>
      </c>
      <c r="O139" s="35">
        <f t="shared" si="154"/>
        <v>162.18100973589304</v>
      </c>
      <c r="P139" s="34" t="str">
        <f t="shared" si="103"/>
        <v>16.3709677419355</v>
      </c>
      <c r="Q139" s="4" t="str">
        <f t="shared" si="104"/>
        <v>1+0.149893574802937i</v>
      </c>
      <c r="R139" s="4">
        <f t="shared" si="116"/>
        <v>1.0111716391232517</v>
      </c>
      <c r="S139" s="4">
        <f t="shared" si="117"/>
        <v>0.14878586266253604</v>
      </c>
      <c r="T139" s="4" t="str">
        <f t="shared" si="105"/>
        <v>1+0.000163042133996178i</v>
      </c>
      <c r="U139" s="4">
        <f t="shared" si="118"/>
        <v>1.0000000132913687</v>
      </c>
      <c r="V139" s="4">
        <f t="shared" si="119"/>
        <v>1.6304213255147594E-4</v>
      </c>
      <c r="W139" t="str">
        <f t="shared" si="106"/>
        <v>1-0.00213368915153161i</v>
      </c>
      <c r="X139" s="4">
        <f t="shared" si="120"/>
        <v>1.000002276312107</v>
      </c>
      <c r="Y139" s="4">
        <f t="shared" si="121"/>
        <v>-2.1336859135751376E-3</v>
      </c>
      <c r="Z139" t="str">
        <f t="shared" si="107"/>
        <v>0.999999977239433+0.000420206738297489i</v>
      </c>
      <c r="AA139" s="4">
        <f t="shared" si="122"/>
        <v>1.0000000655262826</v>
      </c>
      <c r="AB139" s="4">
        <f t="shared" si="123"/>
        <v>4.2020672312914723E-4</v>
      </c>
      <c r="AC139" s="48" t="str">
        <f t="shared" si="124"/>
        <v>16.0054780192987-2.43825890298432i</v>
      </c>
      <c r="AD139" s="20">
        <f t="shared" si="125"/>
        <v>24.185008768738477</v>
      </c>
      <c r="AE139" s="44">
        <f t="shared" si="126"/>
        <v>-8.6617876251110975</v>
      </c>
      <c r="AF139" t="str">
        <f t="shared" si="127"/>
        <v>45.9520231294187</v>
      </c>
      <c r="AG139" t="str">
        <f t="shared" si="108"/>
        <v>1+0.0719303532336076i</v>
      </c>
      <c r="AH139">
        <f t="shared" si="128"/>
        <v>1.0025836502338903</v>
      </c>
      <c r="AI139">
        <f t="shared" si="129"/>
        <v>7.180668163120886E-2</v>
      </c>
      <c r="AJ139" t="str">
        <f t="shared" si="109"/>
        <v>1+0.000163042133996178i</v>
      </c>
      <c r="AK139">
        <f t="shared" si="130"/>
        <v>1.0000000132913687</v>
      </c>
      <c r="AL139">
        <f t="shared" si="131"/>
        <v>1.6304213255147594E-4</v>
      </c>
      <c r="AM139" t="str">
        <f t="shared" si="110"/>
        <v>1-0.000364778709551968i</v>
      </c>
      <c r="AN139">
        <f t="shared" si="132"/>
        <v>1.0000000665317512</v>
      </c>
      <c r="AO139">
        <f t="shared" si="133"/>
        <v>-3.647786933723912E-4</v>
      </c>
      <c r="AP139" s="42" t="str">
        <f t="shared" si="134"/>
        <v>45.714831624649-3.29755419056189i</v>
      </c>
      <c r="AQ139">
        <f t="shared" si="135"/>
        <v>33.223681069405508</v>
      </c>
      <c r="AR139" s="44">
        <f t="shared" si="136"/>
        <v>-4.1257784518163678</v>
      </c>
      <c r="AS139" t="str">
        <f t="shared" si="111"/>
        <v>-0.000166666666666667</v>
      </c>
      <c r="AT139" t="str">
        <f t="shared" si="112"/>
        <v>0.0000128599483189485i</v>
      </c>
      <c r="AU139">
        <f t="shared" si="137"/>
        <v>1.2859948318948499E-5</v>
      </c>
      <c r="AV139">
        <f t="shared" si="138"/>
        <v>1.5707963267948966</v>
      </c>
      <c r="AW139" t="str">
        <f t="shared" si="113"/>
        <v>1+0.00234292321713208i</v>
      </c>
      <c r="AX139">
        <f t="shared" si="139"/>
        <v>1.0000027446408342</v>
      </c>
      <c r="AY139">
        <f t="shared" si="140"/>
        <v>2.3429189301518273E-3</v>
      </c>
      <c r="AZ139" t="str">
        <f t="shared" si="114"/>
        <v>1+0.0476898241938819i</v>
      </c>
      <c r="BA139">
        <f t="shared" si="141"/>
        <v>1.0011365138339743</v>
      </c>
      <c r="BB139">
        <f t="shared" si="142"/>
        <v>4.7653719486242661E-2</v>
      </c>
      <c r="BC139" s="42" t="str">
        <f t="shared" si="143"/>
        <v>-0.587698733711685+12.9615119610073i</v>
      </c>
      <c r="BD139">
        <f t="shared" si="144"/>
        <v>22.262032715744411</v>
      </c>
      <c r="BE139" s="44">
        <f t="shared" si="145"/>
        <v>92.596117638223035</v>
      </c>
      <c r="BF139" s="42" t="str">
        <f t="shared" si="146"/>
        <v>22.1971227706717+208.888156458525i</v>
      </c>
      <c r="BG139" s="20">
        <f t="shared" si="147"/>
        <v>46.447041484482902</v>
      </c>
      <c r="BH139" s="44">
        <f t="shared" si="148"/>
        <v>83.934330013111975</v>
      </c>
      <c r="BI139" s="42" t="str">
        <f t="shared" si="152"/>
        <v>15.8747394253886+594.471305320462i</v>
      </c>
      <c r="BJ139" s="20">
        <f t="shared" si="149"/>
        <v>55.485713785149919</v>
      </c>
      <c r="BK139" s="44">
        <f t="shared" si="153"/>
        <v>88.470339186406676</v>
      </c>
      <c r="BL139">
        <f t="shared" si="150"/>
        <v>46.447041484482902</v>
      </c>
      <c r="BM139" s="44">
        <f t="shared" si="151"/>
        <v>83.934330013111975</v>
      </c>
    </row>
    <row r="140" spans="14:65" x14ac:dyDescent="0.35">
      <c r="N140" s="9">
        <v>22</v>
      </c>
      <c r="O140" s="35">
        <f t="shared" si="154"/>
        <v>165.95869074375622</v>
      </c>
      <c r="P140" s="34" t="str">
        <f t="shared" si="103"/>
        <v>16.3709677419355</v>
      </c>
      <c r="Q140" s="4" t="str">
        <f t="shared" si="104"/>
        <v>1+0.153385044683757i</v>
      </c>
      <c r="R140" s="4">
        <f t="shared" si="116"/>
        <v>1.0116950983041473</v>
      </c>
      <c r="S140" s="4">
        <f t="shared" si="117"/>
        <v>0.15219884952883733</v>
      </c>
      <c r="T140" s="4" t="str">
        <f t="shared" si="105"/>
        <v>1+0.000166839873164789i</v>
      </c>
      <c r="U140" s="4">
        <f t="shared" si="118"/>
        <v>1.0000000139177716</v>
      </c>
      <c r="V140" s="4">
        <f t="shared" si="119"/>
        <v>1.6683987161676285E-4</v>
      </c>
      <c r="W140" t="str">
        <f t="shared" si="106"/>
        <v>1-0.00218338915646777i</v>
      </c>
      <c r="X140" s="4">
        <f t="shared" si="120"/>
        <v>1.0000023835912635</v>
      </c>
      <c r="Y140" s="4">
        <f t="shared" si="121"/>
        <v>-2.1833856869353471E-3</v>
      </c>
      <c r="Z140" t="str">
        <f t="shared" si="107"/>
        <v>0.999999976166761+0.000429994610608975i</v>
      </c>
      <c r="AA140" s="4">
        <f t="shared" si="122"/>
        <v>1.0000000686144415</v>
      </c>
      <c r="AB140" s="4">
        <f t="shared" si="123"/>
        <v>4.2999459435580378E-4</v>
      </c>
      <c r="AC140" s="48" t="str">
        <f t="shared" si="124"/>
        <v>15.9886489562627-2.4924719220369i</v>
      </c>
      <c r="AD140" s="20">
        <f t="shared" si="125"/>
        <v>24.180514366953929</v>
      </c>
      <c r="AE140" s="44">
        <f t="shared" si="126"/>
        <v>-8.8605281646316634</v>
      </c>
      <c r="AF140" t="str">
        <f t="shared" si="127"/>
        <v>45.9520231294187</v>
      </c>
      <c r="AG140" t="str">
        <f t="shared" si="108"/>
        <v>1+0.0736058263962302i</v>
      </c>
      <c r="AH140">
        <f t="shared" si="128"/>
        <v>1.0027052496518964</v>
      </c>
      <c r="AI140">
        <f t="shared" si="129"/>
        <v>7.3473329188522507E-2</v>
      </c>
      <c r="AJ140" t="str">
        <f t="shared" si="109"/>
        <v>1+0.000166839873164789i</v>
      </c>
      <c r="AK140">
        <f t="shared" si="130"/>
        <v>1.0000000139177716</v>
      </c>
      <c r="AL140">
        <f t="shared" si="131"/>
        <v>1.6683987161676285E-4</v>
      </c>
      <c r="AM140" t="str">
        <f t="shared" si="110"/>
        <v>1-0.000373275497217746i</v>
      </c>
      <c r="AN140">
        <f t="shared" si="132"/>
        <v>1.0000000696672959</v>
      </c>
      <c r="AO140">
        <f t="shared" si="133"/>
        <v>-3.7327547988101715E-4</v>
      </c>
      <c r="AP140" s="42" t="str">
        <f t="shared" si="134"/>
        <v>45.7037133700953-3.37354572655351i</v>
      </c>
      <c r="AQ140">
        <f t="shared" si="135"/>
        <v>33.222627688654292</v>
      </c>
      <c r="AR140" s="44">
        <f t="shared" si="136"/>
        <v>-4.2215395583724495</v>
      </c>
      <c r="AS140" t="str">
        <f t="shared" si="111"/>
        <v>-0.000166666666666667</v>
      </c>
      <c r="AT140" t="str">
        <f t="shared" si="112"/>
        <v>0.0000131594949958727i</v>
      </c>
      <c r="AU140">
        <f t="shared" si="137"/>
        <v>1.3159494995872699E-5</v>
      </c>
      <c r="AV140">
        <f t="shared" si="138"/>
        <v>1.5707963267948966</v>
      </c>
      <c r="AW140" t="str">
        <f t="shared" si="113"/>
        <v>1+0.00239749690954314i</v>
      </c>
      <c r="AX140">
        <f t="shared" si="139"/>
        <v>1.0000028739915858</v>
      </c>
      <c r="AY140">
        <f t="shared" si="140"/>
        <v>2.3974923159617513E-3</v>
      </c>
      <c r="AZ140" t="str">
        <f t="shared" si="114"/>
        <v>1+0.0488006629007007i</v>
      </c>
      <c r="BA140">
        <f t="shared" si="141"/>
        <v>1.0011900442471189</v>
      </c>
      <c r="BB140">
        <f t="shared" si="142"/>
        <v>4.8761978492587815E-2</v>
      </c>
      <c r="BC140" s="42" t="str">
        <f t="shared" si="143"/>
        <v>-0.587698581673586+12.6665353435075i</v>
      </c>
      <c r="BD140">
        <f t="shared" si="144"/>
        <v>22.062496011233272</v>
      </c>
      <c r="BE140" s="44">
        <f t="shared" si="145"/>
        <v>92.656489377213305</v>
      </c>
      <c r="BF140" s="42" t="str">
        <f t="shared" si="146"/>
        <v>22.174477378708+203.985609312878i</v>
      </c>
      <c r="BG140" s="20">
        <f t="shared" si="147"/>
        <v>46.243010378187194</v>
      </c>
      <c r="BH140" s="44">
        <f t="shared" si="148"/>
        <v>83.795961212581659</v>
      </c>
      <c r="BI140" s="42" t="str">
        <f t="shared" si="152"/>
        <v>15.8711286535076+580.890328770555i</v>
      </c>
      <c r="BJ140" s="20">
        <f t="shared" si="149"/>
        <v>55.285123699887571</v>
      </c>
      <c r="BK140" s="44">
        <f t="shared" si="153"/>
        <v>88.434949818840877</v>
      </c>
      <c r="BL140">
        <f t="shared" si="150"/>
        <v>46.243010378187194</v>
      </c>
      <c r="BM140" s="44">
        <f t="shared" si="151"/>
        <v>83.795961212581659</v>
      </c>
    </row>
    <row r="141" spans="14:65" x14ac:dyDescent="0.35">
      <c r="N141" s="9">
        <v>23</v>
      </c>
      <c r="O141" s="35">
        <f t="shared" si="154"/>
        <v>169.82436524617444</v>
      </c>
      <c r="P141" s="34" t="str">
        <f t="shared" si="103"/>
        <v>16.3709677419355</v>
      </c>
      <c r="Q141" s="4" t="str">
        <f t="shared" si="104"/>
        <v>1+0.156957841345559i</v>
      </c>
      <c r="R141" s="4">
        <f t="shared" si="116"/>
        <v>1.0122429372239936</v>
      </c>
      <c r="S141" s="4">
        <f t="shared" si="117"/>
        <v>0.15568763913578532</v>
      </c>
      <c r="T141" s="4" t="str">
        <f t="shared" si="105"/>
        <v>1+0.000170726073042538i</v>
      </c>
      <c r="U141" s="4">
        <f t="shared" si="118"/>
        <v>1.000000014573696</v>
      </c>
      <c r="V141" s="4">
        <f t="shared" si="119"/>
        <v>1.707260713837981E-4</v>
      </c>
      <c r="W141" t="str">
        <f t="shared" si="106"/>
        <v>1-0.00223424682323525i</v>
      </c>
      <c r="X141" s="4">
        <f t="shared" si="120"/>
        <v>1.0000024959263187</v>
      </c>
      <c r="Y141" s="4">
        <f t="shared" si="121"/>
        <v>-2.2342431055647795E-3</v>
      </c>
      <c r="Z141" t="str">
        <f t="shared" si="107"/>
        <v>0.999999975043535+0.000440010471754654i</v>
      </c>
      <c r="AA141" s="4">
        <f t="shared" si="122"/>
        <v>1.0000000718481403</v>
      </c>
      <c r="AB141" s="4">
        <f t="shared" si="123"/>
        <v>4.4001045433906736E-4</v>
      </c>
      <c r="AC141" s="48" t="str">
        <f t="shared" si="124"/>
        <v>15.9710640447587-2.54776896134763i</v>
      </c>
      <c r="AD141" s="20">
        <f t="shared" si="125"/>
        <v>24.175813132348786</v>
      </c>
      <c r="AE141" s="44">
        <f t="shared" si="126"/>
        <v>-9.0636862038234991</v>
      </c>
      <c r="AF141" t="str">
        <f t="shared" si="127"/>
        <v>45.9520231294187</v>
      </c>
      <c r="AG141" t="str">
        <f t="shared" si="108"/>
        <v>1+0.0753203263422958i</v>
      </c>
      <c r="AH141">
        <f t="shared" si="128"/>
        <v>1.002832564070548</v>
      </c>
      <c r="AI141">
        <f t="shared" si="129"/>
        <v>7.5178374675608728E-2</v>
      </c>
      <c r="AJ141" t="str">
        <f t="shared" si="109"/>
        <v>1+0.000170726073042538i</v>
      </c>
      <c r="AK141">
        <f t="shared" si="130"/>
        <v>1.000000014573696</v>
      </c>
      <c r="AL141">
        <f t="shared" si="131"/>
        <v>1.707260713837981E-4</v>
      </c>
      <c r="AM141" t="str">
        <f t="shared" si="110"/>
        <v>1-0.000381970200493033i</v>
      </c>
      <c r="AN141">
        <f t="shared" si="132"/>
        <v>1.0000000729506144</v>
      </c>
      <c r="AO141">
        <f t="shared" si="133"/>
        <v>-3.8197018191639344E-4</v>
      </c>
      <c r="AP141" s="42" t="str">
        <f t="shared" si="134"/>
        <v>45.6920769070897-3.45124923892983i</v>
      </c>
      <c r="AQ141">
        <f t="shared" si="135"/>
        <v>33.221524937389162</v>
      </c>
      <c r="AR141" s="44">
        <f t="shared" si="136"/>
        <v>-4.3195069755460782</v>
      </c>
      <c r="AS141" t="str">
        <f t="shared" si="111"/>
        <v>-0.000166666666666667</v>
      </c>
      <c r="AT141" t="str">
        <f t="shared" si="112"/>
        <v>0.0000134660190112302i</v>
      </c>
      <c r="AU141">
        <f t="shared" si="137"/>
        <v>1.34660190112302E-5</v>
      </c>
      <c r="AV141">
        <f t="shared" si="138"/>
        <v>1.5707963267948966</v>
      </c>
      <c r="AW141" t="str">
        <f t="shared" si="113"/>
        <v>1+0.00245334178655025i</v>
      </c>
      <c r="AX141">
        <f t="shared" si="139"/>
        <v>1.0000030094384325</v>
      </c>
      <c r="AY141">
        <f t="shared" si="140"/>
        <v>2.453336864439912E-3</v>
      </c>
      <c r="AZ141" t="str">
        <f t="shared" si="114"/>
        <v>1+0.0499373763649422i</v>
      </c>
      <c r="BA141">
        <f t="shared" si="141"/>
        <v>1.0012460944034758</v>
      </c>
      <c r="BB141">
        <f t="shared" si="142"/>
        <v>4.9895928060522371E-2</v>
      </c>
      <c r="BC141" s="42" t="str">
        <f t="shared" si="143"/>
        <v>-0.587698422470235+12.3782746906739i</v>
      </c>
      <c r="BD141">
        <f t="shared" si="144"/>
        <v>21.862981087942739</v>
      </c>
      <c r="BE141" s="44">
        <f t="shared" si="145"/>
        <v>92.718260244700033</v>
      </c>
      <c r="BF141" s="42" t="str">
        <f t="shared" si="146"/>
        <v>22.1508149076581+199.191537647771i</v>
      </c>
      <c r="BG141" s="20">
        <f t="shared" si="147"/>
        <v>46.038794220291514</v>
      </c>
      <c r="BH141" s="44">
        <f t="shared" si="148"/>
        <v>83.654574040876554</v>
      </c>
      <c r="BI141" s="42" t="str">
        <f t="shared" si="152"/>
        <v>15.8673495877674+567.617372876624i</v>
      </c>
      <c r="BJ141" s="20">
        <f t="shared" si="149"/>
        <v>55.084506025331891</v>
      </c>
      <c r="BK141" s="44">
        <f t="shared" si="153"/>
        <v>88.398753269153957</v>
      </c>
      <c r="BL141">
        <f t="shared" si="150"/>
        <v>46.038794220291514</v>
      </c>
      <c r="BM141" s="44">
        <f t="shared" si="151"/>
        <v>83.654574040876554</v>
      </c>
    </row>
    <row r="142" spans="14:65" x14ac:dyDescent="0.35">
      <c r="N142" s="9">
        <v>24</v>
      </c>
      <c r="O142" s="35">
        <f t="shared" si="154"/>
        <v>173.78008287493768</v>
      </c>
      <c r="P142" s="34" t="str">
        <f t="shared" si="103"/>
        <v>16.3709677419355</v>
      </c>
      <c r="Q142" s="4" t="str">
        <f t="shared" si="104"/>
        <v>1+0.160613859132425i</v>
      </c>
      <c r="R142" s="4">
        <f t="shared" si="116"/>
        <v>1.012816277389641</v>
      </c>
      <c r="S142" s="4">
        <f t="shared" si="117"/>
        <v>0.15925374139664542</v>
      </c>
      <c r="T142" s="4" t="str">
        <f t="shared" si="105"/>
        <v>1+0.000174702794144042i</v>
      </c>
      <c r="U142" s="4">
        <f t="shared" si="118"/>
        <v>1.0000000152605331</v>
      </c>
      <c r="V142" s="4">
        <f t="shared" si="119"/>
        <v>1.7470279236667018E-4</v>
      </c>
      <c r="W142" t="str">
        <f t="shared" si="106"/>
        <v>1-0.00228628911724218i</v>
      </c>
      <c r="X142" s="4">
        <f t="shared" si="120"/>
        <v>1.0000026135555484</v>
      </c>
      <c r="Y142" s="4">
        <f t="shared" si="121"/>
        <v>-2.2862851336870626E-3</v>
      </c>
      <c r="Z142" t="str">
        <f t="shared" si="107"/>
        <v>0.999999973867373+0.000450259632276688i</v>
      </c>
      <c r="AA142" s="4">
        <f t="shared" si="122"/>
        <v>1.0000000752342388</v>
      </c>
      <c r="AB142" s="4">
        <f t="shared" si="123"/>
        <v>4.5025961361555073E-4</v>
      </c>
      <c r="AC142" s="48" t="str">
        <f t="shared" si="124"/>
        <v>15.9526911268851-2.60416317866207i</v>
      </c>
      <c r="AD142" s="20">
        <f t="shared" si="125"/>
        <v>24.170895786004817</v>
      </c>
      <c r="AE142" s="44">
        <f t="shared" si="126"/>
        <v>-9.2713499854930248</v>
      </c>
      <c r="AF142" t="str">
        <f t="shared" si="127"/>
        <v>45.9520231294187</v>
      </c>
      <c r="AG142" t="str">
        <f t="shared" si="108"/>
        <v>1+0.0770747621223711i</v>
      </c>
      <c r="AH142">
        <f t="shared" si="128"/>
        <v>1.0029658613114507</v>
      </c>
      <c r="AI142">
        <f t="shared" si="129"/>
        <v>7.692268245295536E-2</v>
      </c>
      <c r="AJ142" t="str">
        <f t="shared" si="109"/>
        <v>1+0.000174702794144042i</v>
      </c>
      <c r="AK142">
        <f t="shared" si="130"/>
        <v>1.0000000152605331</v>
      </c>
      <c r="AL142">
        <f t="shared" si="131"/>
        <v>1.7470279236667018E-4</v>
      </c>
      <c r="AM142" t="str">
        <f t="shared" si="110"/>
        <v>1-0.000390867429424597i</v>
      </c>
      <c r="AN142">
        <f t="shared" si="132"/>
        <v>1.0000000763886707</v>
      </c>
      <c r="AO142">
        <f t="shared" si="133"/>
        <v>-3.9086740951936914E-4</v>
      </c>
      <c r="AP142" s="42" t="str">
        <f t="shared" si="134"/>
        <v>45.6798983659147-3.53070050264714i</v>
      </c>
      <c r="AQ142">
        <f t="shared" si="135"/>
        <v>33.220370515111874</v>
      </c>
      <c r="AR142" s="44">
        <f t="shared" si="136"/>
        <v>-4.4197303736222882</v>
      </c>
      <c r="AS142" t="str">
        <f t="shared" si="111"/>
        <v>-0.000166666666666667</v>
      </c>
      <c r="AT142" t="str">
        <f t="shared" si="112"/>
        <v>0.0000137796828881113i</v>
      </c>
      <c r="AU142">
        <f t="shared" si="137"/>
        <v>1.3779682888111299E-5</v>
      </c>
      <c r="AV142">
        <f t="shared" si="138"/>
        <v>1.5707963267948966</v>
      </c>
      <c r="AW142" t="str">
        <f t="shared" si="113"/>
        <v>1+0.00251048745784643i</v>
      </c>
      <c r="AX142">
        <f t="shared" si="139"/>
        <v>1.0000031512686729</v>
      </c>
      <c r="AY142">
        <f t="shared" si="140"/>
        <v>2.5104821837110781E-3</v>
      </c>
      <c r="AZ142" t="str">
        <f t="shared" si="114"/>
        <v>1+0.0511005672871321i</v>
      </c>
      <c r="BA142">
        <f t="shared" si="141"/>
        <v>1.0013047827595085</v>
      </c>
      <c r="BB142">
        <f t="shared" si="142"/>
        <v>5.1056157753854893E-2</v>
      </c>
      <c r="BC142" s="42" t="str">
        <f t="shared" si="143"/>
        <v>-0.587698255763955+12.0965771628902i</v>
      </c>
      <c r="BD142">
        <f t="shared" si="144"/>
        <v>21.663488967268222</v>
      </c>
      <c r="BE142" s="44">
        <f t="shared" si="145"/>
        <v>92.781462323780588</v>
      </c>
      <c r="BF142" s="42" t="str">
        <f t="shared" si="146"/>
        <v>22.1260920854317+194.503421329944i</v>
      </c>
      <c r="BG142" s="20">
        <f t="shared" si="147"/>
        <v>45.834384753273042</v>
      </c>
      <c r="BH142" s="44">
        <f t="shared" si="148"/>
        <v>83.51011233828757</v>
      </c>
      <c r="BI142" s="42" t="str">
        <f t="shared" si="152"/>
        <v>15.8633944762035+554.6454019033i</v>
      </c>
      <c r="BJ142" s="20">
        <f t="shared" si="149"/>
        <v>54.883859482380103</v>
      </c>
      <c r="BK142" s="44">
        <f t="shared" si="153"/>
        <v>88.361731950158301</v>
      </c>
      <c r="BL142">
        <f t="shared" si="150"/>
        <v>45.834384753273042</v>
      </c>
      <c r="BM142" s="44">
        <f t="shared" si="151"/>
        <v>83.51011233828757</v>
      </c>
    </row>
    <row r="143" spans="14:65" x14ac:dyDescent="0.35">
      <c r="N143" s="9">
        <v>25</v>
      </c>
      <c r="O143" s="35">
        <f t="shared" si="154"/>
        <v>177.82794100389242</v>
      </c>
      <c r="P143" s="34" t="str">
        <f t="shared" si="103"/>
        <v>16.3709677419355</v>
      </c>
      <c r="Q143" s="4" t="str">
        <f t="shared" si="104"/>
        <v>1+0.16435503651338i</v>
      </c>
      <c r="R143" s="4">
        <f t="shared" si="116"/>
        <v>1.0134162905870985</v>
      </c>
      <c r="S143" s="4">
        <f t="shared" si="117"/>
        <v>0.16289868411728406</v>
      </c>
      <c r="T143" s="4" t="str">
        <f t="shared" si="105"/>
        <v>1+0.000178772144979466i</v>
      </c>
      <c r="U143" s="4">
        <f t="shared" si="118"/>
        <v>1.0000000159797398</v>
      </c>
      <c r="V143" s="4">
        <f t="shared" si="119"/>
        <v>1.7877214307497778E-4</v>
      </c>
      <c r="W143" t="str">
        <f t="shared" si="106"/>
        <v>1-0.00233954363200168i</v>
      </c>
      <c r="X143" s="4">
        <f t="shared" si="120"/>
        <v>1.0000027367284581</v>
      </c>
      <c r="Y143" s="4">
        <f t="shared" si="121"/>
        <v>-2.3395393635460993E-3</v>
      </c>
      <c r="Z143" t="str">
        <f t="shared" si="107"/>
        <v>0.99999997263578+0.000460747526415645i</v>
      </c>
      <c r="AA143" s="4">
        <f t="shared" si="122"/>
        <v>1.0000000787799188</v>
      </c>
      <c r="AB143" s="4">
        <f t="shared" si="123"/>
        <v>4.6074750641987637E-4</v>
      </c>
      <c r="AC143" s="48" t="str">
        <f t="shared" si="124"/>
        <v>15.9334968444208-2.66166725427929i</v>
      </c>
      <c r="AD143" s="20">
        <f t="shared" si="125"/>
        <v>24.1657526552255</v>
      </c>
      <c r="AE143" s="44">
        <f t="shared" si="126"/>
        <v>-9.4836088179373679</v>
      </c>
      <c r="AF143" t="str">
        <f t="shared" si="127"/>
        <v>45.9520231294187</v>
      </c>
      <c r="AG143" t="str">
        <f t="shared" si="108"/>
        <v>1+0.0788700639615287i</v>
      </c>
      <c r="AH143">
        <f t="shared" si="128"/>
        <v>1.0031054216727651</v>
      </c>
      <c r="AI143">
        <f t="shared" si="129"/>
        <v>7.8707134893907099E-2</v>
      </c>
      <c r="AJ143" t="str">
        <f t="shared" si="109"/>
        <v>1+0.000178772144979466i</v>
      </c>
      <c r="AK143">
        <f t="shared" si="130"/>
        <v>1.0000000159797398</v>
      </c>
      <c r="AL143">
        <f t="shared" si="131"/>
        <v>1.7877214307497778E-4</v>
      </c>
      <c r="AM143" t="str">
        <f t="shared" si="110"/>
        <v>1-0.000399971901440983i</v>
      </c>
      <c r="AN143">
        <f t="shared" si="132"/>
        <v>1.0000000799887578</v>
      </c>
      <c r="AO143">
        <f t="shared" si="133"/>
        <v>-3.9997188011214717E-4</v>
      </c>
      <c r="AP143" s="42" t="str">
        <f t="shared" si="134"/>
        <v>45.667152804521-3.61193583895862i</v>
      </c>
      <c r="AQ143">
        <f t="shared" si="135"/>
        <v>33.219162015416323</v>
      </c>
      <c r="AR143" s="44">
        <f t="shared" si="136"/>
        <v>-4.5222604583493649</v>
      </c>
      <c r="AS143" t="str">
        <f t="shared" si="111"/>
        <v>-0.000166666666666667</v>
      </c>
      <c r="AT143" t="str">
        <f t="shared" si="112"/>
        <v>0.0000141006529352553i</v>
      </c>
      <c r="AU143">
        <f t="shared" si="137"/>
        <v>1.41006529352553E-5</v>
      </c>
      <c r="AV143">
        <f t="shared" si="138"/>
        <v>1.5707963267948966</v>
      </c>
      <c r="AW143" t="str">
        <f t="shared" si="113"/>
        <v>1+0.00256896422282299i</v>
      </c>
      <c r="AX143">
        <f t="shared" si="139"/>
        <v>1.0000032997831447</v>
      </c>
      <c r="AY143">
        <f t="shared" si="140"/>
        <v>2.5689585714861493E-3</v>
      </c>
      <c r="AZ143" t="str">
        <f t="shared" si="114"/>
        <v>1+0.0522908524064936i</v>
      </c>
      <c r="BA143">
        <f t="shared" si="141"/>
        <v>1.0013662333259483</v>
      </c>
      <c r="BB143">
        <f t="shared" si="142"/>
        <v>5.2243270240044569E-2</v>
      </c>
      <c r="BC143" s="42" t="str">
        <f t="shared" si="143"/>
        <v>-0.587698081201155+11.8212934003961i</v>
      </c>
      <c r="BD143">
        <f t="shared" si="144"/>
        <v>21.464020718250097</v>
      </c>
      <c r="BE143" s="44">
        <f t="shared" si="145"/>
        <v>92.846128408825848</v>
      </c>
      <c r="BF143" s="42" t="str">
        <f t="shared" si="146"/>
        <v>22.1002640247714+189.91879783032i</v>
      </c>
      <c r="BG143" s="20">
        <f t="shared" si="147"/>
        <v>45.629773373475615</v>
      </c>
      <c r="BH143" s="44">
        <f t="shared" si="148"/>
        <v>83.36251959088851</v>
      </c>
      <c r="BI143" s="42" t="str">
        <f t="shared" si="152"/>
        <v>15.8592552185987+541.967539824942i</v>
      </c>
      <c r="BJ143" s="20">
        <f t="shared" si="149"/>
        <v>54.68318273366642</v>
      </c>
      <c r="BK143" s="44">
        <f t="shared" si="153"/>
        <v>88.323867950476497</v>
      </c>
      <c r="BL143">
        <f t="shared" si="150"/>
        <v>45.629773373475615</v>
      </c>
      <c r="BM143" s="44">
        <f t="shared" si="151"/>
        <v>83.36251959088851</v>
      </c>
    </row>
    <row r="144" spans="14:65" x14ac:dyDescent="0.35">
      <c r="N144" s="9">
        <v>26</v>
      </c>
      <c r="O144" s="35">
        <f t="shared" si="154"/>
        <v>181.9700858609983</v>
      </c>
      <c r="P144" s="34" t="str">
        <f t="shared" si="103"/>
        <v>16.3709677419355</v>
      </c>
      <c r="Q144" s="4" t="str">
        <f t="shared" si="104"/>
        <v>1+0.168183357110188i</v>
      </c>
      <c r="R144" s="4">
        <f t="shared" si="116"/>
        <v>1.0140442010133746</v>
      </c>
      <c r="S144" s="4">
        <f t="shared" si="117"/>
        <v>0.16662401229554294</v>
      </c>
      <c r="T144" s="4" t="str">
        <f t="shared" si="105"/>
        <v>1+0.000182936283172485i</v>
      </c>
      <c r="U144" s="4">
        <f t="shared" si="118"/>
        <v>1.0000000167328418</v>
      </c>
      <c r="V144" s="4">
        <f t="shared" si="119"/>
        <v>1.829362811317891E-4</v>
      </c>
      <c r="W144" t="str">
        <f t="shared" si="106"/>
        <v>1-0.00239403860376236i</v>
      </c>
      <c r="X144" s="4">
        <f t="shared" si="120"/>
        <v>1.000002865706312</v>
      </c>
      <c r="Y144" s="4">
        <f t="shared" si="121"/>
        <v>-2.3940340300305095E-3</v>
      </c>
      <c r="Z144" t="str">
        <f t="shared" si="107"/>
        <v>0.999999971346144+0.000471479714991818i</v>
      </c>
      <c r="AA144" s="4">
        <f t="shared" si="122"/>
        <v>1.000000082492702</v>
      </c>
      <c r="AB144" s="4">
        <f t="shared" si="123"/>
        <v>4.7147969356596601E-4</v>
      </c>
      <c r="AC144" s="48" t="str">
        <f t="shared" si="124"/>
        <v>15.9134466099889-2.72029333312889i</v>
      </c>
      <c r="AD144" s="20">
        <f t="shared" si="125"/>
        <v>24.16037365893277</v>
      </c>
      <c r="AE144" s="44">
        <f t="shared" si="126"/>
        <v>-9.7005530357407501</v>
      </c>
      <c r="AF144" t="str">
        <f t="shared" si="127"/>
        <v>45.9520231294187</v>
      </c>
      <c r="AG144" t="str">
        <f t="shared" si="108"/>
        <v>1+0.0807071837525666i</v>
      </c>
      <c r="AH144">
        <f t="shared" si="128"/>
        <v>1.0032515385033161</v>
      </c>
      <c r="AI144">
        <f t="shared" si="129"/>
        <v>8.0532632655942127E-2</v>
      </c>
      <c r="AJ144" t="str">
        <f t="shared" si="109"/>
        <v>1+0.000182936283172485i</v>
      </c>
      <c r="AK144">
        <f t="shared" si="130"/>
        <v>1.0000000167328418</v>
      </c>
      <c r="AL144">
        <f t="shared" si="131"/>
        <v>1.829362811317891E-4</v>
      </c>
      <c r="AM144" t="str">
        <f t="shared" si="110"/>
        <v>1-0.000409288443853764i</v>
      </c>
      <c r="AN144">
        <f t="shared" si="132"/>
        <v>1.0000000837585117</v>
      </c>
      <c r="AO144">
        <f t="shared" si="133"/>
        <v>-4.0928842099950479E-4</v>
      </c>
      <c r="AP144" s="42" t="str">
        <f t="shared" si="134"/>
        <v>45.6538141629618-3.6949921083787i</v>
      </c>
      <c r="AQ144">
        <f t="shared" si="135"/>
        <v>33.217896921236196</v>
      </c>
      <c r="AR144" s="44">
        <f t="shared" si="136"/>
        <v>-4.6271489865610818</v>
      </c>
      <c r="AS144" t="str">
        <f t="shared" si="111"/>
        <v>-0.000166666666666667</v>
      </c>
      <c r="AT144" t="str">
        <f t="shared" si="112"/>
        <v>0.0000144290993352298i</v>
      </c>
      <c r="AU144">
        <f t="shared" si="137"/>
        <v>1.44290993352298E-5</v>
      </c>
      <c r="AV144">
        <f t="shared" si="138"/>
        <v>1.5707963267948966</v>
      </c>
      <c r="AW144" t="str">
        <f t="shared" si="113"/>
        <v>1+0.00262880308663472i</v>
      </c>
      <c r="AX144">
        <f t="shared" si="139"/>
        <v>1.0000034552968646</v>
      </c>
      <c r="AY144">
        <f t="shared" si="140"/>
        <v>2.6287970311193246E-3</v>
      </c>
      <c r="AZ144" t="str">
        <f t="shared" si="114"/>
        <v>1+0.0535088628279517i</v>
      </c>
      <c r="BA144">
        <f t="shared" si="141"/>
        <v>1.0014305759268289</v>
      </c>
      <c r="BB144">
        <f t="shared" si="142"/>
        <v>5.345788155087617E-2</v>
      </c>
      <c r="BC144" s="42" t="str">
        <f t="shared" si="143"/>
        <v>-0.587697898411566+11.5522774440938i</v>
      </c>
      <c r="BD144">
        <f t="shared" si="144"/>
        <v>21.264577459771242</v>
      </c>
      <c r="BE144" s="44">
        <f t="shared" si="145"/>
        <v>92.912292019495808</v>
      </c>
      <c r="BF144" s="42" t="str">
        <f t="shared" si="146"/>
        <v>22.0732841844485+185.435261005309i</v>
      </c>
      <c r="BG144" s="20">
        <f t="shared" si="147"/>
        <v>45.424951118704023</v>
      </c>
      <c r="BH144" s="44">
        <f t="shared" si="148"/>
        <v>83.211738983755083</v>
      </c>
      <c r="BI144" s="42" t="str">
        <f t="shared" si="152"/>
        <v>15.854923351683+529.577066688375i</v>
      </c>
      <c r="BJ144" s="20">
        <f t="shared" si="149"/>
        <v>54.482474381007435</v>
      </c>
      <c r="BK144" s="44">
        <f t="shared" si="153"/>
        <v>88.285143032934741</v>
      </c>
      <c r="BL144">
        <f t="shared" si="150"/>
        <v>45.424951118704023</v>
      </c>
      <c r="BM144" s="44">
        <f t="shared" si="151"/>
        <v>83.211738983755083</v>
      </c>
    </row>
    <row r="145" spans="14:65" x14ac:dyDescent="0.35">
      <c r="N145" s="9">
        <v>27</v>
      </c>
      <c r="O145" s="35">
        <f t="shared" si="154"/>
        <v>186.20871366628685</v>
      </c>
      <c r="P145" s="34" t="str">
        <f t="shared" si="103"/>
        <v>16.3709677419355</v>
      </c>
      <c r="Q145" s="4" t="str">
        <f t="shared" si="104"/>
        <v>1+0.172100850749106i</v>
      </c>
      <c r="R145" s="4">
        <f t="shared" si="116"/>
        <v>1.0147012874873897</v>
      </c>
      <c r="S145" s="4">
        <f t="shared" si="117"/>
        <v>0.17043128733792137</v>
      </c>
      <c r="T145" s="4" t="str">
        <f t="shared" si="105"/>
        <v>1+0.000187197416604291i</v>
      </c>
      <c r="U145" s="4">
        <f t="shared" si="118"/>
        <v>1.0000000175214363</v>
      </c>
      <c r="V145" s="4">
        <f t="shared" si="119"/>
        <v>1.8719741441764596E-4</v>
      </c>
      <c r="W145" t="str">
        <f t="shared" si="106"/>
        <v>1-0.00244980292647963i</v>
      </c>
      <c r="X145" s="4">
        <f t="shared" si="120"/>
        <v>1.000003000762687</v>
      </c>
      <c r="Y145" s="4">
        <f t="shared" si="121"/>
        <v>-2.4497980256384497E-3</v>
      </c>
      <c r="Z145" t="str">
        <f t="shared" si="107"/>
        <v>0.99999996999573+0.000482461888353654i</v>
      </c>
      <c r="AA145" s="4">
        <f t="shared" si="122"/>
        <v>1.0000000863804634</v>
      </c>
      <c r="AB145" s="4">
        <f t="shared" si="123"/>
        <v>4.8246186539543972E-4</v>
      </c>
      <c r="AC145" s="48" t="str">
        <f t="shared" si="124"/>
        <v>15.892504579166-2.78005296318139i</v>
      </c>
      <c r="AD145" s="20">
        <f t="shared" si="125"/>
        <v>24.154748292722882</v>
      </c>
      <c r="AE145" s="44">
        <f t="shared" si="126"/>
        <v>-9.9222739558541981</v>
      </c>
      <c r="AF145" t="str">
        <f t="shared" si="127"/>
        <v>45.9520231294187</v>
      </c>
      <c r="AG145" t="str">
        <f t="shared" si="108"/>
        <v>1+0.0825870955607165i</v>
      </c>
      <c r="AH145">
        <f t="shared" si="128"/>
        <v>1.0034045188024394</v>
      </c>
      <c r="AI145">
        <f t="shared" si="129"/>
        <v>8.240009494806641E-2</v>
      </c>
      <c r="AJ145" t="str">
        <f t="shared" si="109"/>
        <v>1+0.000187197416604291i</v>
      </c>
      <c r="AK145">
        <f t="shared" si="130"/>
        <v>1.0000000175214363</v>
      </c>
      <c r="AL145">
        <f t="shared" si="131"/>
        <v>1.8719741441764596E-4</v>
      </c>
      <c r="AM145" t="str">
        <f t="shared" si="110"/>
        <v>1-0.000418821996417051i</v>
      </c>
      <c r="AN145">
        <f t="shared" si="132"/>
        <v>1.0000000877059285</v>
      </c>
      <c r="AO145">
        <f t="shared" si="133"/>
        <v>-4.1882197192827115E-4</v>
      </c>
      <c r="AP145" s="42" t="str">
        <f t="shared" si="134"/>
        <v>45.6398552161454-3.77990670216196i</v>
      </c>
      <c r="AQ145">
        <f t="shared" si="135"/>
        <v>33.2165725998914</v>
      </c>
      <c r="AR145" s="44">
        <f t="shared" si="136"/>
        <v>-4.7344487815784015</v>
      </c>
      <c r="AS145" t="str">
        <f t="shared" si="111"/>
        <v>-0.000166666666666667</v>
      </c>
      <c r="AT145" t="str">
        <f t="shared" si="112"/>
        <v>0.0000147651962346635i</v>
      </c>
      <c r="AU145">
        <f t="shared" si="137"/>
        <v>1.47651962346635E-5</v>
      </c>
      <c r="AV145">
        <f t="shared" si="138"/>
        <v>1.5707963267948966</v>
      </c>
      <c r="AW145" t="str">
        <f t="shared" si="113"/>
        <v>1+0.00269003577663932i</v>
      </c>
      <c r="AX145">
        <f t="shared" si="139"/>
        <v>1.0000036181396943</v>
      </c>
      <c r="AY145">
        <f t="shared" si="140"/>
        <v>2.6900292880389387E-3</v>
      </c>
      <c r="AZ145" t="str">
        <f t="shared" si="114"/>
        <v>1+0.0547552443567551i</v>
      </c>
      <c r="BA145">
        <f t="shared" si="141"/>
        <v>1.0014979464704699</v>
      </c>
      <c r="BB145">
        <f t="shared" si="142"/>
        <v>5.4700621346074819E-2</v>
      </c>
      <c r="BC145" s="42" t="str">
        <f t="shared" si="143"/>
        <v>-0.587697707007498+11.2893866581596i</v>
      </c>
      <c r="BD145">
        <f t="shared" si="144"/>
        <v>21.065160362855096</v>
      </c>
      <c r="BE145" s="44">
        <f t="shared" si="145"/>
        <v>92.979987414902084</v>
      </c>
      <c r="BF145" s="42" t="str">
        <f t="shared" si="146"/>
        <v>22.045104331735+181.050459912598i</v>
      </c>
      <c r="BG145" s="20">
        <f t="shared" si="147"/>
        <v>45.219908655577974</v>
      </c>
      <c r="BH145" s="44">
        <f t="shared" si="148"/>
        <v>83.057713459047903</v>
      </c>
      <c r="BI145" s="42" t="str">
        <f t="shared" si="152"/>
        <v>15.8503900337924+517.46741505905i</v>
      </c>
      <c r="BJ145" s="20">
        <f t="shared" si="149"/>
        <v>54.281732962746489</v>
      </c>
      <c r="BK145" s="44">
        <f t="shared" si="153"/>
        <v>88.245538633323704</v>
      </c>
      <c r="BL145">
        <f t="shared" si="150"/>
        <v>45.219908655577974</v>
      </c>
      <c r="BM145" s="44">
        <f t="shared" si="151"/>
        <v>83.057713459047903</v>
      </c>
    </row>
    <row r="146" spans="14:65" x14ac:dyDescent="0.35">
      <c r="N146" s="9">
        <v>28</v>
      </c>
      <c r="O146" s="35">
        <f t="shared" si="154"/>
        <v>190.54607179632498</v>
      </c>
      <c r="P146" s="34" t="str">
        <f t="shared" si="103"/>
        <v>16.3709677419355</v>
      </c>
      <c r="Q146" s="4" t="str">
        <f t="shared" si="104"/>
        <v>1+0.176109594537118i</v>
      </c>
      <c r="R146" s="4">
        <f t="shared" si="116"/>
        <v>1.0153888857418265</v>
      </c>
      <c r="S146" s="4">
        <f t="shared" si="117"/>
        <v>0.17432208618835807</v>
      </c>
      <c r="T146" s="4" t="str">
        <f t="shared" si="105"/>
        <v>1+0.000191557804584234i</v>
      </c>
      <c r="U146" s="4">
        <f t="shared" si="118"/>
        <v>1.000000018347196</v>
      </c>
      <c r="V146" s="4">
        <f t="shared" si="119"/>
        <v>1.9155780224120163E-4</v>
      </c>
      <c r="W146" t="str">
        <f t="shared" si="106"/>
        <v>1-0.0025068661671355i</v>
      </c>
      <c r="X146" s="4">
        <f t="shared" si="120"/>
        <v>1.0000031421840534</v>
      </c>
      <c r="Y146" s="4">
        <f t="shared" si="121"/>
        <v>-2.5068609157904544E-3</v>
      </c>
      <c r="Z146" t="str">
        <f t="shared" si="107"/>
        <v>0.999999968581672+0.000493699869394838i</v>
      </c>
      <c r="AA146" s="4">
        <f t="shared" si="122"/>
        <v>1.0000000904514488</v>
      </c>
      <c r="AB146" s="4">
        <f t="shared" si="123"/>
        <v>4.9369984479466858E-4</v>
      </c>
      <c r="AC146" s="48" t="str">
        <f t="shared" si="124"/>
        <v>15.870633623753-2.84095703004963i</v>
      </c>
      <c r="AD146" s="20">
        <f t="shared" si="125"/>
        <v>24.14886561359388</v>
      </c>
      <c r="AE146" s="44">
        <f t="shared" si="126"/>
        <v>-10.148863828661581</v>
      </c>
      <c r="AF146" t="str">
        <f t="shared" si="127"/>
        <v>45.9520231294187</v>
      </c>
      <c r="AG146" t="str">
        <f t="shared" si="108"/>
        <v>1+0.0845107961401029i</v>
      </c>
      <c r="AH146">
        <f t="shared" si="128"/>
        <v>1.0035646838466536</v>
      </c>
      <c r="AI146">
        <f t="shared" si="129"/>
        <v>8.4310459793549189E-2</v>
      </c>
      <c r="AJ146" t="str">
        <f t="shared" si="109"/>
        <v>1+0.000191557804584234i</v>
      </c>
      <c r="AK146">
        <f t="shared" si="130"/>
        <v>1.000000018347196</v>
      </c>
      <c r="AL146">
        <f t="shared" si="131"/>
        <v>1.9155780224120163E-4</v>
      </c>
      <c r="AM146" t="str">
        <f t="shared" si="110"/>
        <v>1-0.000428577613946607i</v>
      </c>
      <c r="AN146">
        <f t="shared" si="132"/>
        <v>1.0000000918393814</v>
      </c>
      <c r="AO146">
        <f t="shared" si="133"/>
        <v>-4.2857758770640673E-4</v>
      </c>
      <c r="AP146" s="42" t="str">
        <f t="shared" si="134"/>
        <v>45.6252475248665-3.86671753217767i</v>
      </c>
      <c r="AQ146">
        <f t="shared" si="135"/>
        <v>33.215186297925456</v>
      </c>
      <c r="AR146" s="44">
        <f t="shared" si="136"/>
        <v>-4.8442137483460286</v>
      </c>
      <c r="AS146" t="str">
        <f t="shared" si="111"/>
        <v>-0.000166666666666667</v>
      </c>
      <c r="AT146" t="str">
        <f t="shared" si="112"/>
        <v>0.0000151091218365814i</v>
      </c>
      <c r="AU146">
        <f t="shared" si="137"/>
        <v>1.5109121836581401E-5</v>
      </c>
      <c r="AV146">
        <f t="shared" si="138"/>
        <v>1.5707963267948966</v>
      </c>
      <c r="AW146" t="str">
        <f t="shared" si="113"/>
        <v>1+0.00275269475921956i</v>
      </c>
      <c r="AX146">
        <f t="shared" si="139"/>
        <v>1.0000037886570416</v>
      </c>
      <c r="AY146">
        <f t="shared" si="140"/>
        <v>2.7526878065604098E-3</v>
      </c>
      <c r="AZ146" t="str">
        <f t="shared" si="114"/>
        <v>1+0.0560306578408882i</v>
      </c>
      <c r="BA146">
        <f t="shared" si="141"/>
        <v>1.0015684872329413</v>
      </c>
      <c r="BB146">
        <f t="shared" si="142"/>
        <v>5.5972133179706549E-2</v>
      </c>
      <c r="BC146" s="42" t="str">
        <f t="shared" si="143"/>
        <v>-0.587697506582968+11.0324816544157i</v>
      </c>
      <c r="BD146">
        <f t="shared" si="144"/>
        <v>20.865770653065738</v>
      </c>
      <c r="BE146" s="44">
        <f t="shared" si="145"/>
        <v>93.049249607908294</v>
      </c>
      <c r="BF146" s="42" t="str">
        <f t="shared" si="146"/>
        <v>22.0156745064344+176.762097660877i</v>
      </c>
      <c r="BG146" s="20">
        <f t="shared" si="147"/>
        <v>45.014636266659593</v>
      </c>
      <c r="BH146" s="44">
        <f t="shared" si="148"/>
        <v>82.900385779246704</v>
      </c>
      <c r="BI146" s="42" t="str">
        <f t="shared" si="152"/>
        <v>15.8456460289629+505.632166548586i</v>
      </c>
      <c r="BJ146" s="20">
        <f t="shared" si="149"/>
        <v>54.08095695099118</v>
      </c>
      <c r="BK146" s="44">
        <f t="shared" si="153"/>
        <v>88.205035859562273</v>
      </c>
      <c r="BL146">
        <f t="shared" si="150"/>
        <v>45.014636266659593</v>
      </c>
      <c r="BM146" s="44">
        <f t="shared" si="151"/>
        <v>82.900385779246704</v>
      </c>
    </row>
    <row r="147" spans="14:65" x14ac:dyDescent="0.35">
      <c r="N147" s="9">
        <v>29</v>
      </c>
      <c r="O147" s="35">
        <f t="shared" si="154"/>
        <v>194.98445997580458</v>
      </c>
      <c r="P147" s="34" t="str">
        <f t="shared" ref="P147:P210" si="155">COMPLEX(Adc,0)</f>
        <v>16.3709677419355</v>
      </c>
      <c r="Q147" s="4" t="str">
        <f t="shared" ref="Q147:Q210" si="156">IMSUM(COMPLEX(1,0),IMDIV(COMPLEX(0,2*PI()*O147),COMPLEX(wp_lf,0)))</f>
        <v>1+0.180211713963237i</v>
      </c>
      <c r="R147" s="4">
        <f t="shared" si="116"/>
        <v>1.0161083907977375</v>
      </c>
      <c r="S147" s="4">
        <f t="shared" si="117"/>
        <v>0.17829800036375898</v>
      </c>
      <c r="T147" s="4" t="str">
        <f t="shared" ref="T147:T210" si="157">IMSUM(COMPLEX(1,0),IMDIV(COMPLEX(0,2*PI()*O147),COMPLEX(wz_esr,0)))</f>
        <v>1+0.000196019759047731i</v>
      </c>
      <c r="U147" s="4">
        <f t="shared" si="118"/>
        <v>1.0000000192118728</v>
      </c>
      <c r="V147" s="4">
        <f t="shared" si="119"/>
        <v>1.9601975653712659E-4</v>
      </c>
      <c r="W147" t="str">
        <f t="shared" ref="W147:W210" si="158">IMSUB(COMPLEX(1,0),IMDIV(COMPLEX(0,2*PI()*O147),COMPLEX(wz_rhp,0)))</f>
        <v>1-0.00256525858141546i</v>
      </c>
      <c r="X147" s="4">
        <f t="shared" si="120"/>
        <v>1.0000032902703817</v>
      </c>
      <c r="Y147" s="4">
        <f t="shared" si="121"/>
        <v>-2.565252954498865E-3</v>
      </c>
      <c r="Z147" t="str">
        <f t="shared" ref="Z147:Z210" si="159">IMSUM(COMPLEX(1,0),IMDIV(COMPLEX(0,2*PI()*O147),COMPLEX(Q*(wsl/2),0)),IMDIV(IMPOWER(COMPLEX(0,2*PI()*O147),2),IMPOWER(COMPLEX(wsl/2,0),2)))</f>
        <v>0.999999967100972+0.000505199616641658i</v>
      </c>
      <c r="AA147" s="4">
        <f t="shared" si="122"/>
        <v>1.0000000947142944</v>
      </c>
      <c r="AB147" s="4">
        <f t="shared" si="123"/>
        <v>5.0519959028210153E-4</v>
      </c>
      <c r="AC147" s="48" t="str">
        <f t="shared" si="124"/>
        <v>15.8477953064449-2.90301568764292i</v>
      </c>
      <c r="AD147" s="20">
        <f t="shared" si="125"/>
        <v>24.142714224360024</v>
      </c>
      <c r="AE147" s="44">
        <f t="shared" si="126"/>
        <v>-10.380415783725754</v>
      </c>
      <c r="AF147" t="str">
        <f t="shared" si="127"/>
        <v>45.9520231294187</v>
      </c>
      <c r="AG147" t="str">
        <f t="shared" ref="AG147:AG210" si="160">IMSUM(COMPLEX(1,0),IMDIV(COMPLEX(0,2*PI()*O147),COMPLEX(wp_lf_DCM,0)))</f>
        <v>1+0.0864793054622341i</v>
      </c>
      <c r="AH147">
        <f t="shared" si="128"/>
        <v>1.0037323698442879</v>
      </c>
      <c r="AI147">
        <f t="shared" si="129"/>
        <v>8.6264684287174057E-2</v>
      </c>
      <c r="AJ147" t="str">
        <f t="shared" ref="AJ147:AJ210" si="161">IMSUM(COMPLEX(1,0),IMDIV(COMPLEX(0,2*PI()*O147),COMPLEX(wz1_dcm,0)))</f>
        <v>1+0.000196019759047731i</v>
      </c>
      <c r="AK147">
        <f t="shared" si="130"/>
        <v>1.0000000192118728</v>
      </c>
      <c r="AL147">
        <f t="shared" si="131"/>
        <v>1.9601975653712659E-4</v>
      </c>
      <c r="AM147" t="str">
        <f t="shared" ref="AM147:AM210" si="162">IMSUB(COMPLEX(1,0),IMDIV(COMPLEX(0,2*PI()*O147),COMPLEX(wz2_dcm,0)))</f>
        <v>1-0.000438560468999967i</v>
      </c>
      <c r="AN147">
        <f t="shared" si="132"/>
        <v>1.0000000961676379</v>
      </c>
      <c r="AO147">
        <f t="shared" si="133"/>
        <v>-4.3856044088308601E-4</v>
      </c>
      <c r="AP147" s="42" t="str">
        <f t="shared" si="134"/>
        <v>45.6099613850847-3.95546301905499i</v>
      </c>
      <c r="AQ147">
        <f t="shared" si="135"/>
        <v>33.213735135726822</v>
      </c>
      <c r="AR147" s="44">
        <f t="shared" si="136"/>
        <v>-4.9564988882568164</v>
      </c>
      <c r="AS147" t="str">
        <f t="shared" ref="AS147:AS210" si="163">COMPLEX(Adc_ea,0)</f>
        <v>-0.000166666666666667</v>
      </c>
      <c r="AT147" t="str">
        <f t="shared" ref="AT147:AT210" si="164">COMPLEX(0,2*PI()*O147*wp0_ea)</f>
        <v>0.0000154610584948898i</v>
      </c>
      <c r="AU147">
        <f t="shared" si="137"/>
        <v>1.5461058494889799E-5</v>
      </c>
      <c r="AV147">
        <f t="shared" si="138"/>
        <v>1.5707963267948966</v>
      </c>
      <c r="AW147" t="str">
        <f t="shared" ref="AW147:AW210" si="165">IMSUM(COMPLEX(1,0),IMDIV(COMPLEX(0,2*PI()*O147),COMPLEX(wp1_ea,0)))</f>
        <v>1+0.00281681325699731i</v>
      </c>
      <c r="AX147">
        <f t="shared" si="139"/>
        <v>1.0000039672105929</v>
      </c>
      <c r="AY147">
        <f t="shared" si="140"/>
        <v>2.8168058070904044E-3</v>
      </c>
      <c r="AZ147" t="str">
        <f t="shared" ref="AZ147:AZ210" si="166">IMSUM(COMPLEX(1,0),IMDIV(COMPLEX(0,2*PI()*O147),COMPLEX(wz_ea,0)))</f>
        <v>1+0.0573357795214613i</v>
      </c>
      <c r="BA147">
        <f t="shared" si="141"/>
        <v>1.0016423471545788</v>
      </c>
      <c r="BB147">
        <f t="shared" si="142"/>
        <v>5.7273074769203756E-2</v>
      </c>
      <c r="BC147" s="42" t="str">
        <f t="shared" si="143"/>
        <v>-0.587697296712865+10.7814262184251i</v>
      </c>
      <c r="BD147">
        <f t="shared" si="144"/>
        <v>20.666409613016505</v>
      </c>
      <c r="BE147" s="44">
        <f t="shared" si="145"/>
        <v>93.120114379558359</v>
      </c>
      <c r="BF147" s="42" t="str">
        <f t="shared" si="146"/>
        <v>21.9849429867962+172.567930293082i</v>
      </c>
      <c r="BG147" s="20">
        <f t="shared" si="147"/>
        <v>44.809123837376525</v>
      </c>
      <c r="BH147" s="44">
        <f t="shared" si="148"/>
        <v>82.739698595832621</v>
      </c>
      <c r="BI147" s="42" t="str">
        <f t="shared" si="152"/>
        <v>15.8406816904579+494.065048422055i</v>
      </c>
      <c r="BJ147" s="20">
        <f t="shared" si="149"/>
        <v>53.880144748743326</v>
      </c>
      <c r="BK147" s="44">
        <f t="shared" si="153"/>
        <v>88.163615491301542</v>
      </c>
      <c r="BL147">
        <f t="shared" si="150"/>
        <v>44.809123837376525</v>
      </c>
      <c r="BM147" s="44">
        <f t="shared" si="151"/>
        <v>82.739698595832621</v>
      </c>
    </row>
    <row r="148" spans="14:65" x14ac:dyDescent="0.35">
      <c r="N148" s="9">
        <v>30</v>
      </c>
      <c r="O148" s="35">
        <f t="shared" si="154"/>
        <v>199.52623149688802</v>
      </c>
      <c r="P148" s="34" t="str">
        <f t="shared" si="155"/>
        <v>16.3709677419355</v>
      </c>
      <c r="Q148" s="4" t="str">
        <f t="shared" si="156"/>
        <v>1+0.184409384025484i</v>
      </c>
      <c r="R148" s="4">
        <f t="shared" ref="R148:R211" si="167">IMABS(Q148)</f>
        <v>1.0168612594236532</v>
      </c>
      <c r="S148" s="4">
        <f t="shared" ref="S148:S211" si="168">IMARGUMENT(Q148)</f>
        <v>0.18236063489073873</v>
      </c>
      <c r="T148" s="4" t="str">
        <f t="shared" si="157"/>
        <v>1+0.000200585645782106i</v>
      </c>
      <c r="U148" s="4">
        <f t="shared" ref="U148:U211" si="169">IMABS(T148)</f>
        <v>1.0000000201173005</v>
      </c>
      <c r="V148" s="4">
        <f t="shared" ref="V148:V211" si="170">IMARGUMENT(T148)</f>
        <v>2.0058564309194488E-4</v>
      </c>
      <c r="W148" t="str">
        <f t="shared" si="158"/>
        <v>1-0.00262501112975051i</v>
      </c>
      <c r="X148" s="4">
        <f t="shared" ref="X148:X211" si="171">IMABS(W148)</f>
        <v>1.0000034453357804</v>
      </c>
      <c r="Y148" s="4">
        <f t="shared" ref="Y148:Y211" si="172">IMARGUMENT(W148)</f>
        <v>-2.6250051004018714E-3</v>
      </c>
      <c r="Z148" t="str">
        <f t="shared" si="159"/>
        <v>0.999999965550488+0.000516967227412333i</v>
      </c>
      <c r="AA148" s="4">
        <f t="shared" ref="AA148:AA211" si="173">IMABS(Z148)</f>
        <v>1.0000000991780409</v>
      </c>
      <c r="AB148" s="4">
        <f t="shared" ref="AB148:AB211" si="174">IMARGUMENT(Z148)</f>
        <v>5.1696719916755984E-4</v>
      </c>
      <c r="AC148" s="48" t="str">
        <f t="shared" ref="AC148:AC211" si="175">(IMDIV(IMPRODUCT(P148,T148,W148),IMPRODUCT(Q148,Z148)))</f>
        <v>15.8239498571573-2.96623828474031i</v>
      </c>
      <c r="AD148" s="20">
        <f t="shared" ref="AD148:AD211" si="176">20*LOG(IMABS(AC148))</f>
        <v>24.136282257771487</v>
      </c>
      <c r="AE148" s="44">
        <f t="shared" ref="AE148:AE211" si="177">(180/PI())*IMARGUMENT(AC148)</f>
        <v>-10.617023769897751</v>
      </c>
      <c r="AF148" t="str">
        <f t="shared" ref="AF148:AF211" si="178">COMPLEX($B$68,0)</f>
        <v>45.9520231294187</v>
      </c>
      <c r="AG148" t="str">
        <f t="shared" si="160"/>
        <v>1+0.0884936672568111i</v>
      </c>
      <c r="AH148">
        <f t="shared" ref="AH148:AH211" si="179">IMABS(AG148)</f>
        <v>1.0039079286192332</v>
      </c>
      <c r="AI148">
        <f t="shared" ref="AI148:AI211" si="180">IMARGUMENT(AG148)</f>
        <v>8.8263744846113976E-2</v>
      </c>
      <c r="AJ148" t="str">
        <f t="shared" si="161"/>
        <v>1+0.000200585645782106i</v>
      </c>
      <c r="AK148">
        <f t="shared" ref="AK148:AK211" si="181">IMABS(AJ148)</f>
        <v>1.0000000201173005</v>
      </c>
      <c r="AL148">
        <f t="shared" ref="AL148:AL211" si="182">IMARGUMENT(AJ148)</f>
        <v>2.0058564309194488E-4</v>
      </c>
      <c r="AM148" t="str">
        <f t="shared" si="162"/>
        <v>1-0.000448775854619027i</v>
      </c>
      <c r="AN148">
        <f t="shared" ref="AN148:AN211" si="183">IMABS(AM148)</f>
        <v>1.0000001006998789</v>
      </c>
      <c r="AO148">
        <f t="shared" ref="AO148:AO211" si="184">IMARGUMENT(AM148)</f>
        <v>-4.4877582449124638E-4</v>
      </c>
      <c r="AP148" s="42" t="str">
        <f t="shared" ref="AP148:AP211" si="185">(IMDIV(IMPRODUCT(AF148,AJ148,AM148),IMPRODUCT(AG148)))</f>
        <v>45.5939657754155-4.04618207846503i</v>
      </c>
      <c r="AQ148">
        <f t="shared" ref="AQ148:AQ211" si="186">20*LOG(IMABS(AP148))</f>
        <v>33.212216101925982</v>
      </c>
      <c r="AR148" s="44">
        <f t="shared" ref="AR148:AR211" si="187">(180/PI())*IMARGUMENT(AP148)</f>
        <v>-5.0713603136126784</v>
      </c>
      <c r="AS148" t="str">
        <f t="shared" si="163"/>
        <v>-0.000166666666666667</v>
      </c>
      <c r="AT148" t="str">
        <f t="shared" si="164"/>
        <v>0.0000158211928110636i</v>
      </c>
      <c r="AU148">
        <f t="shared" ref="AU148:AU211" si="188">IMABS(AT148)</f>
        <v>1.58211928110636E-5</v>
      </c>
      <c r="AV148">
        <f t="shared" ref="AV148:AV211" si="189">IMARGUMENT(AT148)</f>
        <v>1.5707963267948966</v>
      </c>
      <c r="AW148" t="str">
        <f t="shared" si="165"/>
        <v>1+0.00288242526644888i</v>
      </c>
      <c r="AX148">
        <f t="shared" ref="AX148:AX211" si="190">IMABS(AW148)</f>
        <v>1.0000041541790798</v>
      </c>
      <c r="AY148">
        <f t="shared" ref="AY148:AY211" si="191">IMARGUMENT(AW148)</f>
        <v>2.8824172837315994E-3</v>
      </c>
      <c r="AZ148" t="str">
        <f t="shared" si="166"/>
        <v>1+0.0586713013912658i</v>
      </c>
      <c r="BA148">
        <f t="shared" ref="BA148:BA211" si="192">IMABS(AZ148)</f>
        <v>1.0017196821501237</v>
      </c>
      <c r="BB148">
        <f t="shared" ref="BB148:BB211" si="193">IMARGUMENT(AZ148)</f>
        <v>5.8604118266829437E-2</v>
      </c>
      <c r="BC148" s="42" t="str">
        <f t="shared" ref="BC148:BC211" si="194">IMPRODUCT(AS148,IMDIV(AZ148,IMPRODUCT(AT148,AW148)))</f>
        <v>-0.58769707695205+10.5360872372688i</v>
      </c>
      <c r="BD148">
        <f t="shared" ref="BD148:BD211" si="195">20*LOG(IMABS(BC148))</f>
        <v>20.467078584990613</v>
      </c>
      <c r="BE148" s="44">
        <f t="shared" ref="BE148:BE211" si="196">(180/PI())*IMARGUMENT(BC148)</f>
        <v>93.192618293621464</v>
      </c>
      <c r="BF148" s="42" t="str">
        <f t="shared" ref="BF148:BF211" si="197">IMPRODUCT(AC148,BC148)</f>
        <v>21.9528562576633+168.465765702662i</v>
      </c>
      <c r="BG148" s="20">
        <f t="shared" ref="BG148:BG211" si="198">20*LOG(IMABS(BF148))</f>
        <v>44.603360842762115</v>
      </c>
      <c r="BH148" s="44">
        <f t="shared" ref="BH148:BH211" si="199">(180/PI())*IMARGUMENT(BF148)</f>
        <v>82.575594523723751</v>
      </c>
      <c r="BI148" s="42" t="str">
        <f t="shared" si="152"/>
        <v>15.8354869437177+482.759930283155i</v>
      </c>
      <c r="BJ148" s="20">
        <f t="shared" ref="BJ148:BJ211" si="200">20*LOG(IMABS(BI148))</f>
        <v>53.679294686916592</v>
      </c>
      <c r="BK148" s="44">
        <f t="shared" si="153"/>
        <v>88.121257980008792</v>
      </c>
      <c r="BL148">
        <f t="shared" ref="BL148:BL211" si="201">IF($B$31=0,BJ148,BG148)</f>
        <v>44.603360842762115</v>
      </c>
      <c r="BM148" s="44">
        <f t="shared" ref="BM148:BM211" si="202">IF($B$31=0,BK148,BH148)</f>
        <v>82.575594523723751</v>
      </c>
    </row>
    <row r="149" spans="14:65" x14ac:dyDescent="0.35">
      <c r="N149" s="9">
        <v>31</v>
      </c>
      <c r="O149" s="35">
        <f t="shared" si="154"/>
        <v>204.17379446695315</v>
      </c>
      <c r="P149" s="34" t="str">
        <f t="shared" si="155"/>
        <v>16.3709677419355</v>
      </c>
      <c r="Q149" s="4" t="str">
        <f t="shared" si="156"/>
        <v>1+0.188704830384088i</v>
      </c>
      <c r="R149" s="4">
        <f t="shared" si="167"/>
        <v>1.0176490126808395</v>
      </c>
      <c r="S149" s="4">
        <f t="shared" si="168"/>
        <v>0.18651160713778392</v>
      </c>
      <c r="T149" s="4" t="str">
        <f t="shared" si="157"/>
        <v>1+0.000205257885680938i</v>
      </c>
      <c r="U149" s="4">
        <f t="shared" si="169"/>
        <v>1.0000000210653996</v>
      </c>
      <c r="V149" s="4">
        <f t="shared" si="170"/>
        <v>2.0525788279837846E-4</v>
      </c>
      <c r="W149" t="str">
        <f t="shared" si="158"/>
        <v>1-0.00268615549373268i</v>
      </c>
      <c r="X149" s="4">
        <f t="shared" si="171"/>
        <v>1.0000036077091605</v>
      </c>
      <c r="Y149" s="4">
        <f t="shared" si="172"/>
        <v>-2.6861490331704747E-3</v>
      </c>
      <c r="Z149" t="str">
        <f t="shared" si="159"/>
        <v>0.999999963926933+0.00052900894104985i</v>
      </c>
      <c r="AA149" s="4">
        <f t="shared" si="173"/>
        <v>1.000000103852158</v>
      </c>
      <c r="AB149" s="4">
        <f t="shared" si="174"/>
        <v>5.2900891078503016E-4</v>
      </c>
      <c r="AC149" s="48" t="str">
        <f t="shared" si="175"/>
        <v>15.7990561512917-3.03063328735497i</v>
      </c>
      <c r="AD149" s="20">
        <f t="shared" si="176"/>
        <v>24.129557360361254</v>
      </c>
      <c r="AE149" s="44">
        <f t="shared" si="177"/>
        <v>-10.858782489457582</v>
      </c>
      <c r="AF149" t="str">
        <f t="shared" si="178"/>
        <v>45.9520231294187</v>
      </c>
      <c r="AG149" t="str">
        <f t="shared" si="160"/>
        <v>1+0.0905549495651193i</v>
      </c>
      <c r="AH149">
        <f t="shared" si="179"/>
        <v>1.0040917283250277</v>
      </c>
      <c r="AI149">
        <f t="shared" si="180"/>
        <v>9.0308637453442434E-2</v>
      </c>
      <c r="AJ149" t="str">
        <f t="shared" si="161"/>
        <v>1+0.000205257885680938i</v>
      </c>
      <c r="AK149">
        <f t="shared" si="181"/>
        <v>1.0000000210653996</v>
      </c>
      <c r="AL149">
        <f t="shared" si="182"/>
        <v>2.0525788279837846E-4</v>
      </c>
      <c r="AM149" t="str">
        <f t="shared" si="162"/>
        <v>1-0.000459229187136456i</v>
      </c>
      <c r="AN149">
        <f t="shared" si="183"/>
        <v>1.0000001054457175</v>
      </c>
      <c r="AO149">
        <f t="shared" si="184"/>
        <v>-4.5922915485395758E-4</v>
      </c>
      <c r="AP149" s="42" t="str">
        <f t="shared" si="185"/>
        <v>45.5772283028067-4.13891410539728i</v>
      </c>
      <c r="AQ149">
        <f t="shared" si="186"/>
        <v>33.210626047560929</v>
      </c>
      <c r="AR149" s="44">
        <f t="shared" si="187"/>
        <v>-5.1888552616656778</v>
      </c>
      <c r="AS149" t="str">
        <f t="shared" si="163"/>
        <v>-0.000166666666666667</v>
      </c>
      <c r="AT149" t="str">
        <f t="shared" si="164"/>
        <v>0.000016189715733084i</v>
      </c>
      <c r="AU149">
        <f t="shared" si="188"/>
        <v>1.6189715733084E-5</v>
      </c>
      <c r="AV149">
        <f t="shared" si="189"/>
        <v>1.5707963267948966</v>
      </c>
      <c r="AW149" t="str">
        <f t="shared" si="165"/>
        <v>1+0.00294956557593012i</v>
      </c>
      <c r="AX149">
        <f t="shared" si="190"/>
        <v>1.0000043499590823</v>
      </c>
      <c r="AY149">
        <f t="shared" si="191"/>
        <v>2.9495570222964548E-3</v>
      </c>
      <c r="AZ149" t="str">
        <f t="shared" si="166"/>
        <v>1+0.0600379315616742i</v>
      </c>
      <c r="BA149">
        <f t="shared" si="192"/>
        <v>1.0018006554331078</v>
      </c>
      <c r="BB149">
        <f t="shared" si="193"/>
        <v>5.9965950533361928E-2</v>
      </c>
      <c r="BC149" s="42" t="str">
        <f t="shared" si="194"/>
        <v>-0.587696846834403+10.2963346289676i</v>
      </c>
      <c r="BD149">
        <f t="shared" si="195"/>
        <v>20.267778973678858</v>
      </c>
      <c r="BE149" s="44">
        <f t="shared" si="196"/>
        <v>93.266798711241151</v>
      </c>
      <c r="BF149" s="42" t="str">
        <f t="shared" si="197"/>
        <v>21.9193589812211+164.453462582438i</v>
      </c>
      <c r="BG149" s="20">
        <f t="shared" si="198"/>
        <v>44.397336334040105</v>
      </c>
      <c r="BH149" s="44">
        <f t="shared" si="199"/>
        <v>82.408016221783555</v>
      </c>
      <c r="BI149" s="42" t="str">
        <f t="shared" si="152"/>
        <v>15.8300512687133+471.710820835611i</v>
      </c>
      <c r="BJ149" s="20">
        <f t="shared" si="200"/>
        <v>53.478405021239787</v>
      </c>
      <c r="BK149" s="44">
        <f t="shared" si="153"/>
        <v>88.077943449575457</v>
      </c>
      <c r="BL149">
        <f t="shared" si="201"/>
        <v>44.397336334040105</v>
      </c>
      <c r="BM149" s="44">
        <f t="shared" si="202"/>
        <v>82.408016221783555</v>
      </c>
    </row>
    <row r="150" spans="14:65" x14ac:dyDescent="0.35">
      <c r="N150" s="9">
        <v>32</v>
      </c>
      <c r="O150" s="35">
        <f t="shared" si="154"/>
        <v>208.92961308540396</v>
      </c>
      <c r="P150" s="34" t="str">
        <f t="shared" si="155"/>
        <v>16.3709677419355</v>
      </c>
      <c r="Q150" s="4" t="str">
        <f t="shared" si="156"/>
        <v>1+0.193100330541566i</v>
      </c>
      <c r="R150" s="4">
        <f t="shared" si="167"/>
        <v>1.0184732385562529</v>
      </c>
      <c r="S150" s="4">
        <f t="shared" si="168"/>
        <v>0.19075254553697604</v>
      </c>
      <c r="T150" s="4" t="str">
        <f t="shared" si="157"/>
        <v>1+0.000210038956027669i</v>
      </c>
      <c r="U150" s="4">
        <f t="shared" si="169"/>
        <v>1.0000000220581813</v>
      </c>
      <c r="V150" s="4">
        <f t="shared" si="170"/>
        <v>2.100389529389508E-4</v>
      </c>
      <c r="W150" t="str">
        <f t="shared" si="158"/>
        <v>1-0.00274872409291311i</v>
      </c>
      <c r="X150" s="4">
        <f t="shared" si="171"/>
        <v>1.0000037777349338</v>
      </c>
      <c r="Y150" s="4">
        <f t="shared" si="172"/>
        <v>-2.7487171702973968E-3</v>
      </c>
      <c r="Z150" t="str">
        <f t="shared" si="159"/>
        <v>0.999999962226861+0.000541331142230177i</v>
      </c>
      <c r="AA150" s="4">
        <f t="shared" si="173"/>
        <v>1.0000001087465586</v>
      </c>
      <c r="AB150" s="4">
        <f t="shared" si="174"/>
        <v>5.4133110980083882E-4</v>
      </c>
      <c r="AC150" s="48" t="str">
        <f t="shared" si="175"/>
        <v>15.7730716902426-3.09620819677164i</v>
      </c>
      <c r="AD150" s="20">
        <f t="shared" si="176"/>
        <v>24.122526676043783</v>
      </c>
      <c r="AE150" s="44">
        <f t="shared" si="177"/>
        <v>-11.105787325952909</v>
      </c>
      <c r="AF150" t="str">
        <f t="shared" si="178"/>
        <v>45.9520231294187</v>
      </c>
      <c r="AG150" t="str">
        <f t="shared" si="160"/>
        <v>1+0.0926642453063242i</v>
      </c>
      <c r="AH150">
        <f t="shared" si="179"/>
        <v>1.0042841541905312</v>
      </c>
      <c r="AI150">
        <f t="shared" si="180"/>
        <v>9.240037789326927E-2</v>
      </c>
      <c r="AJ150" t="str">
        <f t="shared" si="161"/>
        <v>1+0.000210038956027669i</v>
      </c>
      <c r="AK150">
        <f t="shared" si="181"/>
        <v>1.0000000220581813</v>
      </c>
      <c r="AL150">
        <f t="shared" si="182"/>
        <v>2.100389529389508E-4</v>
      </c>
      <c r="AM150" t="str">
        <f t="shared" si="162"/>
        <v>1-0.000469926009047525i</v>
      </c>
      <c r="AN150">
        <f t="shared" si="183"/>
        <v>1.000000110415221</v>
      </c>
      <c r="AO150">
        <f t="shared" si="184"/>
        <v>-4.6992597445620496E-4</v>
      </c>
      <c r="AP150" s="42" t="str">
        <f t="shared" si="185"/>
        <v>45.5597151463726-4.23369895628113i</v>
      </c>
      <c r="AQ150">
        <f t="shared" si="186"/>
        <v>33.208961680002737</v>
      </c>
      <c r="AR150" s="44">
        <f t="shared" si="187"/>
        <v>-5.3090421081814076</v>
      </c>
      <c r="AS150" t="str">
        <f t="shared" si="163"/>
        <v>-0.000166666666666667</v>
      </c>
      <c r="AT150" t="str">
        <f t="shared" si="164"/>
        <v>0.0000165668226566823i</v>
      </c>
      <c r="AU150">
        <f t="shared" si="188"/>
        <v>1.6566822656682302E-5</v>
      </c>
      <c r="AV150">
        <f t="shared" si="189"/>
        <v>1.5707963267948966</v>
      </c>
      <c r="AW150" t="str">
        <f t="shared" si="165"/>
        <v>1+0.00301826978412185i</v>
      </c>
      <c r="AX150">
        <f t="shared" si="190"/>
        <v>1.0000045549658709</v>
      </c>
      <c r="AY150">
        <f t="shared" si="191"/>
        <v>3.0182606187405029E-3</v>
      </c>
      <c r="AZ150" t="str">
        <f t="shared" si="166"/>
        <v>1+0.061436394638093i</v>
      </c>
      <c r="BA150">
        <f t="shared" si="192"/>
        <v>1.001885437855111</v>
      </c>
      <c r="BB150">
        <f t="shared" si="193"/>
        <v>6.1359273413782556E-2</v>
      </c>
      <c r="BC150" s="42" t="str">
        <f t="shared" si="194"/>
        <v>-0.587696605871841+10.0620412735108i</v>
      </c>
      <c r="BD150">
        <f t="shared" si="195"/>
        <v>20.068512249039145</v>
      </c>
      <c r="BE150" s="44">
        <f t="shared" si="196"/>
        <v>93.342693805674628</v>
      </c>
      <c r="BF150" s="42" t="str">
        <f t="shared" si="197"/>
        <v>21.8843939707699+160.528929405581i</v>
      </c>
      <c r="BG150" s="20">
        <f t="shared" si="198"/>
        <v>44.191038925082921</v>
      </c>
      <c r="BH150" s="44">
        <f t="shared" si="199"/>
        <v>82.236906479721725</v>
      </c>
      <c r="BI150" s="42" t="str">
        <f t="shared" si="152"/>
        <v>15.8243636817092+460.911864719086i</v>
      </c>
      <c r="BJ150" s="20">
        <f t="shared" si="200"/>
        <v>53.277473929041889</v>
      </c>
      <c r="BK150" s="44">
        <f t="shared" si="153"/>
        <v>88.033651697493241</v>
      </c>
      <c r="BL150">
        <f t="shared" si="201"/>
        <v>44.191038925082921</v>
      </c>
      <c r="BM150" s="44">
        <f t="shared" si="202"/>
        <v>82.236906479721725</v>
      </c>
    </row>
    <row r="151" spans="14:65" x14ac:dyDescent="0.35">
      <c r="N151" s="9">
        <v>33</v>
      </c>
      <c r="O151" s="35">
        <f t="shared" si="154"/>
        <v>213.79620895022339</v>
      </c>
      <c r="P151" s="34" t="str">
        <f t="shared" si="155"/>
        <v>16.3709677419355</v>
      </c>
      <c r="Q151" s="4" t="str">
        <f t="shared" si="156"/>
        <v>1+0.197598215050282i</v>
      </c>
      <c r="R151" s="4">
        <f t="shared" si="167"/>
        <v>1.0193355946846248</v>
      </c>
      <c r="S151" s="4">
        <f t="shared" si="168"/>
        <v>0.19508508818917966</v>
      </c>
      <c r="T151" s="4" t="str">
        <f t="shared" si="157"/>
        <v>1+0.000214931391809078i</v>
      </c>
      <c r="U151" s="4">
        <f t="shared" si="169"/>
        <v>1.0000000230977513</v>
      </c>
      <c r="V151" s="4">
        <f t="shared" si="170"/>
        <v>2.1493138849945683E-4</v>
      </c>
      <c r="W151" t="str">
        <f t="shared" si="158"/>
        <v>1-0.00281275010199125i</v>
      </c>
      <c r="X151" s="4">
        <f t="shared" si="171"/>
        <v>1.0000039557737441</v>
      </c>
      <c r="Y151" s="4">
        <f t="shared" si="172"/>
        <v>-2.812742684276455E-3</v>
      </c>
      <c r="Z151" t="str">
        <f t="shared" si="159"/>
        <v>0.999999960446668+0.000553940364347475i</v>
      </c>
      <c r="AA151" s="4">
        <f t="shared" si="173"/>
        <v>1.0000001138716257</v>
      </c>
      <c r="AB151" s="4">
        <f t="shared" si="174"/>
        <v>5.5394032959881325E-4</v>
      </c>
      <c r="AC151" s="48" t="str">
        <f t="shared" si="175"/>
        <v>15.7459525844768-3.16296946314775i</v>
      </c>
      <c r="AD151" s="20">
        <f t="shared" si="176"/>
        <v>24.115176829494736</v>
      </c>
      <c r="AE151" s="44">
        <f t="shared" si="177"/>
        <v>-11.35813426538504</v>
      </c>
      <c r="AF151" t="str">
        <f t="shared" si="178"/>
        <v>45.9520231294187</v>
      </c>
      <c r="AG151" t="str">
        <f t="shared" si="160"/>
        <v>1+0.0948226728569461i</v>
      </c>
      <c r="AH151">
        <f t="shared" si="179"/>
        <v>1.0044856092984784</v>
      </c>
      <c r="AI151">
        <f t="shared" si="180"/>
        <v>9.4540001976359436E-2</v>
      </c>
      <c r="AJ151" t="str">
        <f t="shared" si="161"/>
        <v>1+0.000214931391809078i</v>
      </c>
      <c r="AK151">
        <f t="shared" si="181"/>
        <v>1.0000000230977513</v>
      </c>
      <c r="AL151">
        <f t="shared" si="182"/>
        <v>2.1493138849945683E-4</v>
      </c>
      <c r="AM151" t="str">
        <f t="shared" si="162"/>
        <v>1-0.000480871991948793i</v>
      </c>
      <c r="AN151">
        <f t="shared" si="183"/>
        <v>1.0000001156189295</v>
      </c>
      <c r="AO151">
        <f t="shared" si="184"/>
        <v>-4.8087195488352599E-4</v>
      </c>
      <c r="AP151" s="42" t="str">
        <f t="shared" si="185"/>
        <v>45.5413909993658-4.33057692879181i</v>
      </c>
      <c r="AQ151">
        <f t="shared" si="186"/>
        <v>33.20721955663339</v>
      </c>
      <c r="AR151" s="44">
        <f t="shared" si="187"/>
        <v>-5.4319803804589908</v>
      </c>
      <c r="AS151" t="str">
        <f t="shared" si="163"/>
        <v>-0.000166666666666667</v>
      </c>
      <c r="AT151" t="str">
        <f t="shared" si="164"/>
        <v>0.0000169527135289411i</v>
      </c>
      <c r="AU151">
        <f t="shared" si="188"/>
        <v>1.6952713528941101E-5</v>
      </c>
      <c r="AV151">
        <f t="shared" si="189"/>
        <v>1.5707963267948966</v>
      </c>
      <c r="AW151" t="str">
        <f t="shared" si="165"/>
        <v>1+0.00308857431890463i</v>
      </c>
      <c r="AX151">
        <f t="shared" si="190"/>
        <v>1.0000047696342869</v>
      </c>
      <c r="AY151">
        <f t="shared" si="191"/>
        <v>3.0885644980241066E-3</v>
      </c>
      <c r="AZ151" t="str">
        <f t="shared" si="166"/>
        <v>1+0.0628674321041553i</v>
      </c>
      <c r="BA151">
        <f t="shared" si="192"/>
        <v>1.0019742082605574</v>
      </c>
      <c r="BB151">
        <f t="shared" si="193"/>
        <v>6.2784804014698867E-2</v>
      </c>
      <c r="BC151" s="42" t="str">
        <f t="shared" si="194"/>
        <v>-0.587696353553268+9.83308294545544i</v>
      </c>
      <c r="BD151">
        <f t="shared" si="195"/>
        <v>19.869279949283023</v>
      </c>
      <c r="BE151" s="44">
        <f t="shared" si="196"/>
        <v>93.420342577107547</v>
      </c>
      <c r="BF151" s="42" t="str">
        <f t="shared" si="197"/>
        <v>21.8479021679548+156.690123438261i</v>
      </c>
      <c r="BG151" s="20">
        <f t="shared" si="198"/>
        <v>43.984456778777755</v>
      </c>
      <c r="BH151" s="44">
        <f t="shared" si="199"/>
        <v>82.062208311722515</v>
      </c>
      <c r="BI151" s="42" t="str">
        <f t="shared" si="152"/>
        <v>15.8184127164146+450.357339418015i</v>
      </c>
      <c r="BJ151" s="20">
        <f t="shared" si="200"/>
        <v>53.076499505916424</v>
      </c>
      <c r="BK151" s="44">
        <f t="shared" si="153"/>
        <v>87.988362196648566</v>
      </c>
      <c r="BL151">
        <f t="shared" si="201"/>
        <v>43.984456778777755</v>
      </c>
      <c r="BM151" s="44">
        <f t="shared" si="202"/>
        <v>82.062208311722515</v>
      </c>
    </row>
    <row r="152" spans="14:65" x14ac:dyDescent="0.35">
      <c r="N152" s="9">
        <v>34</v>
      </c>
      <c r="O152" s="35">
        <f t="shared" si="154"/>
        <v>218.77616239495524</v>
      </c>
      <c r="P152" s="34" t="str">
        <f t="shared" si="155"/>
        <v>16.3709677419355</v>
      </c>
      <c r="Q152" s="4" t="str">
        <f t="shared" si="156"/>
        <v>1+0.202200868748139i</v>
      </c>
      <c r="R152" s="4">
        <f t="shared" si="167"/>
        <v>1.0202378111609578</v>
      </c>
      <c r="S152" s="4">
        <f t="shared" si="168"/>
        <v>0.19951088134650102</v>
      </c>
      <c r="T152" s="4" t="str">
        <f t="shared" si="157"/>
        <v>1+0.000219937787059379i</v>
      </c>
      <c r="U152" s="4">
        <f t="shared" si="169"/>
        <v>1.0000000241863147</v>
      </c>
      <c r="V152" s="4">
        <f t="shared" si="170"/>
        <v>2.1993778351305602E-4</v>
      </c>
      <c r="W152" t="str">
        <f t="shared" si="158"/>
        <v>1-0.00287826746840463i</v>
      </c>
      <c r="X152" s="4">
        <f t="shared" si="171"/>
        <v>1.0000041422032309</v>
      </c>
      <c r="Y152" s="4">
        <f t="shared" si="172"/>
        <v>-2.8782595201818049E-3</v>
      </c>
      <c r="Z152" t="str">
        <f t="shared" si="159"/>
        <v>0.999999958582577+0.000566843292978219i</v>
      </c>
      <c r="AA152" s="4">
        <f t="shared" si="173"/>
        <v>1.00000011923823</v>
      </c>
      <c r="AB152" s="4">
        <f t="shared" si="174"/>
        <v>5.6684325574435726E-4</v>
      </c>
      <c r="AC152" s="48" t="str">
        <f t="shared" si="175"/>
        <v>15.7176535395403-3.23092239458274i</v>
      </c>
      <c r="AD152" s="20">
        <f t="shared" si="176"/>
        <v>24.107493909345322</v>
      </c>
      <c r="AE152" s="44">
        <f t="shared" si="177"/>
        <v>-11.615919810388394</v>
      </c>
      <c r="AF152" t="str">
        <f t="shared" si="178"/>
        <v>45.9520231294187</v>
      </c>
      <c r="AG152" t="str">
        <f t="shared" si="160"/>
        <v>1+0.0970313766438435i</v>
      </c>
      <c r="AH152">
        <f t="shared" si="179"/>
        <v>1.0046965153982568</v>
      </c>
      <c r="AI152">
        <f t="shared" si="180"/>
        <v>9.6728565755058393E-2</v>
      </c>
      <c r="AJ152" t="str">
        <f t="shared" si="161"/>
        <v>1+0.000219937787059379i</v>
      </c>
      <c r="AK152">
        <f t="shared" si="181"/>
        <v>1.0000000241863147</v>
      </c>
      <c r="AL152">
        <f t="shared" si="182"/>
        <v>2.1993778351305602E-4</v>
      </c>
      <c r="AM152" t="str">
        <f t="shared" si="162"/>
        <v>1-0.000492072939545288i</v>
      </c>
      <c r="AN152">
        <f t="shared" si="183"/>
        <v>1.0000001210678815</v>
      </c>
      <c r="AO152">
        <f t="shared" si="184"/>
        <v>-4.9207289982913913E-4</v>
      </c>
      <c r="AP152" s="42" t="str">
        <f t="shared" si="185"/>
        <v>45.5222190092683-4.4295887391732i</v>
      </c>
      <c r="AQ152">
        <f t="shared" si="186"/>
        <v>33.205396078267697</v>
      </c>
      <c r="AR152" s="44">
        <f t="shared" si="187"/>
        <v>-5.5577307697407186</v>
      </c>
      <c r="AS152" t="str">
        <f t="shared" si="163"/>
        <v>-0.000166666666666667</v>
      </c>
      <c r="AT152" t="str">
        <f t="shared" si="164"/>
        <v>0.0000173475929543085i</v>
      </c>
      <c r="AU152">
        <f t="shared" si="188"/>
        <v>1.7347592954308499E-5</v>
      </c>
      <c r="AV152">
        <f t="shared" si="189"/>
        <v>1.5707963267948966</v>
      </c>
      <c r="AW152" t="str">
        <f t="shared" si="165"/>
        <v>1+0.00316051645667341i</v>
      </c>
      <c r="AX152">
        <f t="shared" si="190"/>
        <v>1.0000049944196643</v>
      </c>
      <c r="AY152">
        <f t="shared" si="191"/>
        <v>3.1605059334131732E-3</v>
      </c>
      <c r="AZ152" t="str">
        <f t="shared" si="166"/>
        <v>1+0.0643318027148683i</v>
      </c>
      <c r="BA152">
        <f t="shared" si="192"/>
        <v>1.0020671538577366</v>
      </c>
      <c r="BB152">
        <f t="shared" si="193"/>
        <v>6.4243274983233414E-2</v>
      </c>
      <c r="BC152" s="42" t="str">
        <f t="shared" si="194"/>
        <v>-0.587696089343528+9.60933824806062i</v>
      </c>
      <c r="BD152">
        <f t="shared" si="195"/>
        <v>19.670083683994847</v>
      </c>
      <c r="BE152" s="44">
        <f t="shared" si="196"/>
        <v>93.499784867527026</v>
      </c>
      <c r="BF152" s="42" t="str">
        <f t="shared" si="197"/>
        <v>21.8098226239352+152.935049783539i</v>
      </c>
      <c r="BG152" s="20">
        <f t="shared" si="198"/>
        <v>43.777577593340183</v>
      </c>
      <c r="BH152" s="44">
        <f t="shared" si="199"/>
        <v>81.883865057138664</v>
      </c>
      <c r="BI152" s="42" t="str">
        <f t="shared" si="152"/>
        <v>15.8121864045291+440.041652241766i</v>
      </c>
      <c r="BJ152" s="20">
        <f t="shared" si="200"/>
        <v>52.875479762262536</v>
      </c>
      <c r="BK152" s="44">
        <f t="shared" si="153"/>
        <v>87.942054097786311</v>
      </c>
      <c r="BL152">
        <f t="shared" si="201"/>
        <v>43.777577593340183</v>
      </c>
      <c r="BM152" s="44">
        <f t="shared" si="202"/>
        <v>81.883865057138664</v>
      </c>
    </row>
    <row r="153" spans="14:65" x14ac:dyDescent="0.35">
      <c r="N153" s="9">
        <v>35</v>
      </c>
      <c r="O153" s="35">
        <f t="shared" si="154"/>
        <v>223.87211385683412</v>
      </c>
      <c r="P153" s="34" t="str">
        <f t="shared" si="155"/>
        <v>16.3709677419355</v>
      </c>
      <c r="Q153" s="4" t="str">
        <f t="shared" si="156"/>
        <v>1+0.206910732023052i</v>
      </c>
      <c r="R153" s="4">
        <f t="shared" si="167"/>
        <v>1.0211816934445679</v>
      </c>
      <c r="S153" s="4">
        <f t="shared" si="168"/>
        <v>0.20403157776567771</v>
      </c>
      <c r="T153" s="4" t="str">
        <f t="shared" si="157"/>
        <v>1+0.0002250607962356i</v>
      </c>
      <c r="U153" s="4">
        <f t="shared" si="169"/>
        <v>1.0000000253261807</v>
      </c>
      <c r="V153" s="4">
        <f t="shared" si="170"/>
        <v>2.250607924356465E-4</v>
      </c>
      <c r="W153" t="str">
        <f t="shared" si="158"/>
        <v>1-0.00294531093032813i</v>
      </c>
      <c r="X153" s="4">
        <f t="shared" si="171"/>
        <v>1.0000043374188314</v>
      </c>
      <c r="Y153" s="4">
        <f t="shared" si="172"/>
        <v>-2.9453024136559258E-3</v>
      </c>
      <c r="Z153" t="str">
        <f t="shared" si="159"/>
        <v>0.999999956630634+0.00058004676942596i</v>
      </c>
      <c r="AA153" s="4">
        <f t="shared" si="173"/>
        <v>1.0000001248577546</v>
      </c>
      <c r="AB153" s="4">
        <f t="shared" si="174"/>
        <v>5.8004672952915851E-4</v>
      </c>
      <c r="AC153" s="48" t="str">
        <f t="shared" si="175"/>
        <v>15.6881278453709-3.30007106157457i</v>
      </c>
      <c r="AD153" s="20">
        <f t="shared" si="176"/>
        <v>24.099463451226914</v>
      </c>
      <c r="AE153" s="44">
        <f t="shared" si="177"/>
        <v>-11.879240887042721</v>
      </c>
      <c r="AF153" t="str">
        <f t="shared" si="178"/>
        <v>45.9520231294187</v>
      </c>
      <c r="AG153" t="str">
        <f t="shared" si="160"/>
        <v>1+0.0992915277509998i</v>
      </c>
      <c r="AH153">
        <f t="shared" si="179"/>
        <v>1.0049173137542848</v>
      </c>
      <c r="AI153">
        <f t="shared" si="180"/>
        <v>9.8967145726219549E-2</v>
      </c>
      <c r="AJ153" t="str">
        <f t="shared" si="161"/>
        <v>1+0.0002250607962356i</v>
      </c>
      <c r="AK153">
        <f t="shared" si="181"/>
        <v>1.0000000253261807</v>
      </c>
      <c r="AL153">
        <f t="shared" si="182"/>
        <v>2.250607924356465E-4</v>
      </c>
      <c r="AM153" t="str">
        <f t="shared" si="162"/>
        <v>1-0.000503534790727685i</v>
      </c>
      <c r="AN153">
        <f t="shared" si="183"/>
        <v>1.0000001267736347</v>
      </c>
      <c r="AO153">
        <f t="shared" si="184"/>
        <v>-5.0353474817106496E-4</v>
      </c>
      <c r="AP153" s="42" t="str">
        <f t="shared" si="185"/>
        <v>45.5021607159912-4.53077549689813i</v>
      </c>
      <c r="AQ153">
        <f t="shared" si="186"/>
        <v>33.20348748231109</v>
      </c>
      <c r="AR153" s="44">
        <f t="shared" si="187"/>
        <v>-5.6863551429365087</v>
      </c>
      <c r="AS153" t="str">
        <f t="shared" si="163"/>
        <v>-0.000166666666666667</v>
      </c>
      <c r="AT153" t="str">
        <f t="shared" si="164"/>
        <v>0.0000177516703030829i</v>
      </c>
      <c r="AU153">
        <f t="shared" si="188"/>
        <v>1.7751670303082899E-5</v>
      </c>
      <c r="AV153">
        <f t="shared" si="189"/>
        <v>1.5707963267948966</v>
      </c>
      <c r="AW153" t="str">
        <f t="shared" si="165"/>
        <v>1+0.00323413434210191i</v>
      </c>
      <c r="AX153">
        <f t="shared" si="190"/>
        <v>1.000005229798796</v>
      </c>
      <c r="AY153">
        <f t="shared" si="191"/>
        <v>3.234123066228597E-3</v>
      </c>
      <c r="AZ153" t="str">
        <f t="shared" si="166"/>
        <v>1+0.0658302828989129i</v>
      </c>
      <c r="BA153">
        <f t="shared" si="192"/>
        <v>1.0021644706067716</v>
      </c>
      <c r="BB153">
        <f t="shared" si="193"/>
        <v>6.5735434787057276E-2</v>
      </c>
      <c r="BC153" s="42" t="str">
        <f t="shared" si="194"/>
        <v>-0.587695812682218+9.39068854892075i</v>
      </c>
      <c r="BD153">
        <f t="shared" si="195"/>
        <v>19.470925137387741</v>
      </c>
      <c r="BE153" s="44">
        <f t="shared" si="196"/>
        <v>93.581061375635031</v>
      </c>
      <c r="BF153" s="42" t="str">
        <f t="shared" si="197"/>
        <v>21.7700924850053+149.26176045597i</v>
      </c>
      <c r="BG153" s="20">
        <f t="shared" si="198"/>
        <v>43.570388588614634</v>
      </c>
      <c r="BH153" s="44">
        <f t="shared" si="199"/>
        <v>81.70182048859229</v>
      </c>
      <c r="BI153" s="42" t="str">
        <f t="shared" si="152"/>
        <v>15.8056722556706+429.95933737454i</v>
      </c>
      <c r="BJ153" s="20">
        <f t="shared" si="200"/>
        <v>52.67441261969882</v>
      </c>
      <c r="BK153" s="44">
        <f t="shared" si="153"/>
        <v>87.894706232698525</v>
      </c>
      <c r="BL153">
        <f t="shared" si="201"/>
        <v>43.570388588614634</v>
      </c>
      <c r="BM153" s="44">
        <f t="shared" si="202"/>
        <v>81.70182048859229</v>
      </c>
    </row>
    <row r="154" spans="14:65" x14ac:dyDescent="0.35">
      <c r="N154" s="9">
        <v>36</v>
      </c>
      <c r="O154" s="35">
        <f t="shared" si="154"/>
        <v>229.08676527677744</v>
      </c>
      <c r="P154" s="34" t="str">
        <f t="shared" si="155"/>
        <v>16.3709677419355</v>
      </c>
      <c r="Q154" s="4" t="str">
        <f t="shared" si="156"/>
        <v>1+0.211730302106869i</v>
      </c>
      <c r="R154" s="4">
        <f t="shared" si="167"/>
        <v>1.0221691253556164</v>
      </c>
      <c r="S154" s="4">
        <f t="shared" si="168"/>
        <v>0.20864883492596484</v>
      </c>
      <c r="T154" s="4" t="str">
        <f t="shared" si="157"/>
        <v>1+0.000230303135625016i</v>
      </c>
      <c r="U154" s="4">
        <f t="shared" si="169"/>
        <v>1.0000000265197668</v>
      </c>
      <c r="V154" s="4">
        <f t="shared" si="170"/>
        <v>2.3030313155329244E-4</v>
      </c>
      <c r="W154" t="str">
        <f t="shared" si="158"/>
        <v>1-0.00301391603509268i</v>
      </c>
      <c r="X154" s="4">
        <f t="shared" si="171"/>
        <v>1.0000045418346191</v>
      </c>
      <c r="Y154" s="4">
        <f t="shared" si="172"/>
        <v>-3.0139069093162349E-3</v>
      </c>
      <c r="Z154" t="str">
        <f t="shared" si="159"/>
        <v>0.999999954586699+0.000593557794348674i</v>
      </c>
      <c r="AA154" s="4">
        <f t="shared" si="173"/>
        <v>1.0000001307421189</v>
      </c>
      <c r="AB154" s="4">
        <f t="shared" si="174"/>
        <v>5.9355775159848113E-4</v>
      </c>
      <c r="AC154" s="48" t="str">
        <f t="shared" si="175"/>
        <v>15.6573273693303-3.3704181968004i</v>
      </c>
      <c r="AD154" s="20">
        <f t="shared" si="176"/>
        <v>24.091070420710942</v>
      </c>
      <c r="AE154" s="44">
        <f t="shared" si="177"/>
        <v>-12.148194743945972</v>
      </c>
      <c r="AF154" t="str">
        <f t="shared" si="178"/>
        <v>45.9520231294187</v>
      </c>
      <c r="AG154" t="str">
        <f t="shared" si="160"/>
        <v>1+0.101604324540448i</v>
      </c>
      <c r="AH154">
        <f t="shared" si="179"/>
        <v>1.005148466031422</v>
      </c>
      <c r="AI154">
        <f t="shared" si="180"/>
        <v>0.10125683902076922</v>
      </c>
      <c r="AJ154" t="str">
        <f t="shared" si="161"/>
        <v>1+0.000230303135625016i</v>
      </c>
      <c r="AK154">
        <f t="shared" si="181"/>
        <v>1.0000000265197668</v>
      </c>
      <c r="AL154">
        <f t="shared" si="182"/>
        <v>2.3030313155329244E-4</v>
      </c>
      <c r="AM154" t="str">
        <f t="shared" si="162"/>
        <v>1-0.000515263622721196i</v>
      </c>
      <c r="AN154">
        <f t="shared" si="183"/>
        <v>1.0000001327482917</v>
      </c>
      <c r="AO154">
        <f t="shared" si="184"/>
        <v>-5.1526357712095646E-4</v>
      </c>
      <c r="AP154" s="42" t="str">
        <f t="shared" si="185"/>
        <v>45.4811759881762-4.6341786764779i</v>
      </c>
      <c r="AQ154">
        <f t="shared" si="186"/>
        <v>33.201489835645056</v>
      </c>
      <c r="AR154" s="44">
        <f t="shared" si="187"/>
        <v>-5.8179165535848592</v>
      </c>
      <c r="AS154" t="str">
        <f t="shared" si="163"/>
        <v>-0.000166666666666667</v>
      </c>
      <c r="AT154" t="str">
        <f t="shared" si="164"/>
        <v>0.0000181651598224231i</v>
      </c>
      <c r="AU154">
        <f t="shared" si="188"/>
        <v>1.8165159822423101E-5</v>
      </c>
      <c r="AV154">
        <f t="shared" si="189"/>
        <v>1.5707963267948966</v>
      </c>
      <c r="AW154" t="str">
        <f t="shared" si="165"/>
        <v>1+0.00330946700836741i</v>
      </c>
      <c r="AX154">
        <f t="shared" si="190"/>
        <v>1.0000054762709449</v>
      </c>
      <c r="AY154">
        <f t="shared" si="191"/>
        <v>3.3094549260550454E-3</v>
      </c>
      <c r="AZ154" t="str">
        <f t="shared" si="166"/>
        <v>1+0.0673636671703171i</v>
      </c>
      <c r="BA154">
        <f t="shared" si="192"/>
        <v>1.0022663636252755</v>
      </c>
      <c r="BB154">
        <f t="shared" si="193"/>
        <v>6.7262047995237301E-2</v>
      </c>
      <c r="BC154" s="42" t="str">
        <f t="shared" si="194"/>
        <v>-0.58769552298254+9.17701791706565i</v>
      </c>
      <c r="BD154">
        <f t="shared" si="195"/>
        <v>19.271806071703931</v>
      </c>
      <c r="BE154" s="44">
        <f t="shared" si="196"/>
        <v>93.664213671781738</v>
      </c>
      <c r="BF154" s="42" t="str">
        <f t="shared" si="197"/>
        <v>21.728646983214+145.668353486545i</v>
      </c>
      <c r="BG154" s="20">
        <f t="shared" si="198"/>
        <v>43.36287649241487</v>
      </c>
      <c r="BH154" s="44">
        <f t="shared" si="199"/>
        <v>81.516018927835759</v>
      </c>
      <c r="BI154" s="42" t="str">
        <f t="shared" si="152"/>
        <v>15.7988572366891+420.105052993576i</v>
      </c>
      <c r="BJ154" s="20">
        <f t="shared" si="200"/>
        <v>52.473295907348991</v>
      </c>
      <c r="BK154" s="44">
        <f t="shared" si="153"/>
        <v>87.846297118196887</v>
      </c>
      <c r="BL154">
        <f t="shared" si="201"/>
        <v>43.36287649241487</v>
      </c>
      <c r="BM154" s="44">
        <f t="shared" si="202"/>
        <v>81.516018927835759</v>
      </c>
    </row>
    <row r="155" spans="14:65" x14ac:dyDescent="0.35">
      <c r="N155" s="9">
        <v>37</v>
      </c>
      <c r="O155" s="35">
        <f t="shared" si="154"/>
        <v>234.42288153199232</v>
      </c>
      <c r="P155" s="34" t="str">
        <f t="shared" si="155"/>
        <v>16.3709677419355</v>
      </c>
      <c r="Q155" s="4" t="str">
        <f t="shared" si="156"/>
        <v>1+0.216662134399445i</v>
      </c>
      <c r="R155" s="4">
        <f t="shared" si="167"/>
        <v>1.0232020721648891</v>
      </c>
      <c r="S155" s="4">
        <f t="shared" si="168"/>
        <v>0.21336431310503118</v>
      </c>
      <c r="T155" s="4" t="str">
        <f t="shared" si="157"/>
        <v>1+0.000235667584785362i</v>
      </c>
      <c r="U155" s="4">
        <f t="shared" si="169"/>
        <v>1.0000000277696048</v>
      </c>
      <c r="V155" s="4">
        <f t="shared" si="170"/>
        <v>2.3566758042243161E-4</v>
      </c>
      <c r="W155" t="str">
        <f t="shared" si="158"/>
        <v>1-0.00308411915803292i</v>
      </c>
      <c r="X155" s="4">
        <f t="shared" si="171"/>
        <v>1.0000047558841811</v>
      </c>
      <c r="Y155" s="4">
        <f t="shared" si="172"/>
        <v>-3.0841093795897956E-3</v>
      </c>
      <c r="Z155" t="str">
        <f t="shared" si="159"/>
        <v>0.999999952446436+0.000607383531470616i</v>
      </c>
      <c r="AA155" s="4">
        <f t="shared" si="173"/>
        <v>1.0000001369038047</v>
      </c>
      <c r="AB155" s="4">
        <f t="shared" si="174"/>
        <v>6.0738348566295936E-4</v>
      </c>
      <c r="AC155" s="48" t="str">
        <f t="shared" si="175"/>
        <v>15.6252025533869-3.44196509018014i</v>
      </c>
      <c r="AD155" s="20">
        <f t="shared" si="176"/>
        <v>24.082299196188789</v>
      </c>
      <c r="AE155" s="44">
        <f t="shared" si="177"/>
        <v>-12.42287884318147</v>
      </c>
      <c r="AF155" t="str">
        <f t="shared" si="178"/>
        <v>45.9520231294187</v>
      </c>
      <c r="AG155" t="str">
        <f t="shared" si="160"/>
        <v>1+0.103970993287659i</v>
      </c>
      <c r="AH155">
        <f t="shared" si="179"/>
        <v>1.0053904552188779</v>
      </c>
      <c r="AI155">
        <f t="shared" si="180"/>
        <v>0.10359876357843203</v>
      </c>
      <c r="AJ155" t="str">
        <f t="shared" si="161"/>
        <v>1+0.000235667584785362i</v>
      </c>
      <c r="AK155">
        <f t="shared" si="181"/>
        <v>1.0000000277696048</v>
      </c>
      <c r="AL155">
        <f t="shared" si="182"/>
        <v>2.3566758042243161E-4</v>
      </c>
      <c r="AM155" t="str">
        <f t="shared" si="162"/>
        <v>1-0.000527265654307791i</v>
      </c>
      <c r="AN155">
        <f t="shared" si="183"/>
        <v>1.0000001390045254</v>
      </c>
      <c r="AO155">
        <f t="shared" si="184"/>
        <v>-5.2726560544625429E-4</v>
      </c>
      <c r="AP155" s="42" t="str">
        <f t="shared" si="185"/>
        <v>45.4592229576014-4.73984008622216i</v>
      </c>
      <c r="AQ155">
        <f t="shared" si="186"/>
        <v>33.199399027232126</v>
      </c>
      <c r="AR155" s="44">
        <f t="shared" si="187"/>
        <v>-5.9524792519660039</v>
      </c>
      <c r="AS155" t="str">
        <f t="shared" si="163"/>
        <v>-0.000166666666666667</v>
      </c>
      <c r="AT155" t="str">
        <f t="shared" si="164"/>
        <v>0.0000185882807499455i</v>
      </c>
      <c r="AU155">
        <f t="shared" si="188"/>
        <v>1.85882807499455E-5</v>
      </c>
      <c r="AV155">
        <f t="shared" si="189"/>
        <v>1.5707963267948966</v>
      </c>
      <c r="AW155" t="str">
        <f t="shared" si="165"/>
        <v>1+0.0033865543978467i</v>
      </c>
      <c r="AX155">
        <f t="shared" si="190"/>
        <v>1.0000057343589033</v>
      </c>
      <c r="AY155">
        <f t="shared" si="191"/>
        <v>3.3865414514197591E-3</v>
      </c>
      <c r="AZ155" t="str">
        <f t="shared" si="166"/>
        <v>1+0.0689327685497182i</v>
      </c>
      <c r="BA155">
        <f t="shared" si="192"/>
        <v>1.002373047612479</v>
      </c>
      <c r="BB155">
        <f t="shared" si="193"/>
        <v>6.8823895559522022E-2</v>
      </c>
      <c r="BC155" s="42" t="str">
        <f t="shared" si="194"/>
        <v>-0.587695219630038+8.96821306149195i</v>
      </c>
      <c r="BD155">
        <f t="shared" si="195"/>
        <v>19.072728330763191</v>
      </c>
      <c r="BE155" s="44">
        <f t="shared" si="196"/>
        <v>93.749284212897308</v>
      </c>
      <c r="BF155" s="42" t="str">
        <f t="shared" si="197"/>
        <v>21.6854194325763+142.152972057374i</v>
      </c>
      <c r="BG155" s="20">
        <f t="shared" si="198"/>
        <v>43.155027526951969</v>
      </c>
      <c r="BH155" s="44">
        <f t="shared" si="199"/>
        <v>81.326405369715843</v>
      </c>
      <c r="BI155" s="42" t="str">
        <f t="shared" si="152"/>
        <v>15.7917277503623+410.473578454119i</v>
      </c>
      <c r="BJ155" s="20">
        <f t="shared" si="200"/>
        <v>52.272127357995323</v>
      </c>
      <c r="BK155" s="44">
        <f t="shared" si="153"/>
        <v>87.796804960931311</v>
      </c>
      <c r="BL155">
        <f t="shared" si="201"/>
        <v>43.155027526951969</v>
      </c>
      <c r="BM155" s="44">
        <f t="shared" si="202"/>
        <v>81.326405369715843</v>
      </c>
    </row>
    <row r="156" spans="14:65" x14ac:dyDescent="0.35">
      <c r="N156" s="9">
        <v>38</v>
      </c>
      <c r="O156" s="35">
        <f t="shared" si="154"/>
        <v>239.88329190194912</v>
      </c>
      <c r="P156" s="34" t="str">
        <f t="shared" si="155"/>
        <v>16.3709677419355</v>
      </c>
      <c r="Q156" s="4" t="str">
        <f t="shared" si="156"/>
        <v>1+0.221708843823544i</v>
      </c>
      <c r="R156" s="4">
        <f t="shared" si="167"/>
        <v>1.0242825837773346</v>
      </c>
      <c r="S156" s="4">
        <f t="shared" si="168"/>
        <v>0.21817967330629323</v>
      </c>
      <c r="T156" s="4" t="str">
        <f t="shared" si="157"/>
        <v>1+0.000241156988018592i</v>
      </c>
      <c r="U156" s="4">
        <f t="shared" si="169"/>
        <v>1.000000029078346</v>
      </c>
      <c r="V156" s="4">
        <f t="shared" si="170"/>
        <v>2.4115698334362787E-4</v>
      </c>
      <c r="W156" t="str">
        <f t="shared" si="158"/>
        <v>1-0.00315595752177392i</v>
      </c>
      <c r="X156" s="4">
        <f t="shared" si="171"/>
        <v>1.0000049800215394</v>
      </c>
      <c r="Y156" s="4">
        <f t="shared" si="172"/>
        <v>-3.1559470439861555E-3</v>
      </c>
      <c r="Z156" t="str">
        <f t="shared" si="159"/>
        <v>0.999999950205306+0.000621531311380621i</v>
      </c>
      <c r="AA156" s="4">
        <f t="shared" si="173"/>
        <v>1.0000001433558823</v>
      </c>
      <c r="AB156" s="4">
        <f t="shared" si="174"/>
        <v>6.2153126229683273E-4</v>
      </c>
      <c r="AC156" s="48" t="str">
        <f t="shared" si="175"/>
        <v>15.5917024159161-3.51471147920432i</v>
      </c>
      <c r="AD156" s="20">
        <f t="shared" si="176"/>
        <v>24.073133551745421</v>
      </c>
      <c r="AE156" s="44">
        <f t="shared" si="177"/>
        <v>-12.703390742800293</v>
      </c>
      <c r="AF156" t="str">
        <f t="shared" si="178"/>
        <v>45.9520231294187</v>
      </c>
      <c r="AG156" t="str">
        <f t="shared" si="160"/>
        <v>1+0.106392788831732i</v>
      </c>
      <c r="AH156">
        <f t="shared" si="179"/>
        <v>1.0056437865941366</v>
      </c>
      <c r="AI156">
        <f t="shared" si="180"/>
        <v>0.10599405830604235</v>
      </c>
      <c r="AJ156" t="str">
        <f t="shared" si="161"/>
        <v>1+0.000241156988018592i</v>
      </c>
      <c r="AK156">
        <f t="shared" si="181"/>
        <v>1.000000029078346</v>
      </c>
      <c r="AL156">
        <f t="shared" si="182"/>
        <v>2.4115698334362787E-4</v>
      </c>
      <c r="AM156" t="str">
        <f t="shared" si="162"/>
        <v>1-0.000539547249123492i</v>
      </c>
      <c r="AN156">
        <f t="shared" si="183"/>
        <v>1.0000001455556065</v>
      </c>
      <c r="AO156">
        <f t="shared" si="184"/>
        <v>-5.3954719676741272E-4</v>
      </c>
      <c r="AP156" s="42" t="str">
        <f t="shared" si="185"/>
        <v>45.4362579516982-4.84780183373902i</v>
      </c>
      <c r="AQ156">
        <f t="shared" si="186"/>
        <v>33.197210760431844</v>
      </c>
      <c r="AR156" s="44">
        <f t="shared" si="187"/>
        <v>-6.0901086942769895</v>
      </c>
      <c r="AS156" t="str">
        <f t="shared" si="163"/>
        <v>-0.000166666666666667</v>
      </c>
      <c r="AT156" t="str">
        <f t="shared" si="164"/>
        <v>0.0000190212574299664i</v>
      </c>
      <c r="AU156">
        <f t="shared" si="188"/>
        <v>1.9021257429966398E-5</v>
      </c>
      <c r="AV156">
        <f t="shared" si="189"/>
        <v>1.5707963267948966</v>
      </c>
      <c r="AW156" t="str">
        <f t="shared" si="165"/>
        <v>1+0.00346543738329411i</v>
      </c>
      <c r="AX156">
        <f t="shared" si="190"/>
        <v>1.0000060046101011</v>
      </c>
      <c r="AY156">
        <f t="shared" si="191"/>
        <v>3.4654235109522077E-3</v>
      </c>
      <c r="AZ156" t="str">
        <f t="shared" si="166"/>
        <v>1+0.070538418995438i</v>
      </c>
      <c r="BA156">
        <f t="shared" si="192"/>
        <v>1.0024847472926339</v>
      </c>
      <c r="BB156">
        <f t="shared" si="193"/>
        <v>7.042177509566061E-2</v>
      </c>
      <c r="BC156" s="42" t="str">
        <f t="shared" si="194"/>
        <v>-0.587694901981318+8.76416327109498i</v>
      </c>
      <c r="BD156">
        <f t="shared" si="195"/>
        <v>18.873693843667031</v>
      </c>
      <c r="BE156" s="44">
        <f t="shared" si="196"/>
        <v>93.836316357397862</v>
      </c>
      <c r="BF156" s="42" t="str">
        <f t="shared" si="197"/>
        <v>21.6403412314947+138.713803665678i</v>
      </c>
      <c r="BG156" s="20">
        <f t="shared" si="198"/>
        <v>42.946827395412434</v>
      </c>
      <c r="BH156" s="44">
        <f t="shared" si="199"/>
        <v>81.132925614597568</v>
      </c>
      <c r="BI156" s="42" t="str">
        <f t="shared" si="152"/>
        <v>15.7842696134812+401.059811539775i</v>
      </c>
      <c r="BJ156" s="20">
        <f t="shared" si="200"/>
        <v>52.070904604098878</v>
      </c>
      <c r="BK156" s="44">
        <f t="shared" si="153"/>
        <v>87.746207663120899</v>
      </c>
      <c r="BL156">
        <f t="shared" si="201"/>
        <v>42.946827395412434</v>
      </c>
      <c r="BM156" s="44">
        <f t="shared" si="202"/>
        <v>81.132925614597568</v>
      </c>
    </row>
    <row r="157" spans="14:65" x14ac:dyDescent="0.35">
      <c r="N157" s="9">
        <v>39</v>
      </c>
      <c r="O157" s="35">
        <f t="shared" si="154"/>
        <v>245.4708915685033</v>
      </c>
      <c r="P157" s="34" t="str">
        <f t="shared" si="155"/>
        <v>16.3709677419355</v>
      </c>
      <c r="Q157" s="4" t="str">
        <f t="shared" si="156"/>
        <v>1+0.2268731062113i</v>
      </c>
      <c r="R157" s="4">
        <f t="shared" si="167"/>
        <v>1.0254127980096426</v>
      </c>
      <c r="S157" s="4">
        <f t="shared" si="168"/>
        <v>0.22309657503114808</v>
      </c>
      <c r="T157" s="4" t="str">
        <f t="shared" si="157"/>
        <v>1+0.000246774255878958i</v>
      </c>
      <c r="U157" s="4">
        <f t="shared" si="169"/>
        <v>1.0000000304487662</v>
      </c>
      <c r="V157" s="4">
        <f t="shared" si="170"/>
        <v>2.467742508696437E-4</v>
      </c>
      <c r="W157" t="str">
        <f t="shared" si="158"/>
        <v>1-0.00322946921596698i</v>
      </c>
      <c r="X157" s="4">
        <f t="shared" si="171"/>
        <v>1.0000052147221119</v>
      </c>
      <c r="Y157" s="4">
        <f t="shared" si="172"/>
        <v>-3.2294579888182758E-3</v>
      </c>
      <c r="Z157" t="str">
        <f t="shared" si="159"/>
        <v>0.999999947858554+0.000636008635418855i</v>
      </c>
      <c r="AA157" s="4">
        <f t="shared" si="173"/>
        <v>1.0000001501120364</v>
      </c>
      <c r="AB157" s="4">
        <f t="shared" si="174"/>
        <v>6.3600858282462903E-4</v>
      </c>
      <c r="AC157" s="48" t="str">
        <f t="shared" si="175"/>
        <v>15.5567745586129-3.58865543453718i</v>
      </c>
      <c r="AD157" s="20">
        <f t="shared" si="176"/>
        <v>24.063556640086418</v>
      </c>
      <c r="AE157" s="44">
        <f t="shared" si="177"/>
        <v>-12.989827970445182</v>
      </c>
      <c r="AF157" t="str">
        <f t="shared" si="178"/>
        <v>45.9520231294187</v>
      </c>
      <c r="AG157" t="str">
        <f t="shared" si="160"/>
        <v>1+0.108870995240717i</v>
      </c>
      <c r="AH157">
        <f t="shared" si="179"/>
        <v>1.0059089887284556</v>
      </c>
      <c r="AI157">
        <f t="shared" si="180"/>
        <v>0.10844388321774333</v>
      </c>
      <c r="AJ157" t="str">
        <f t="shared" si="161"/>
        <v>1+0.000246774255878958i</v>
      </c>
      <c r="AK157">
        <f t="shared" si="181"/>
        <v>1.0000000304487662</v>
      </c>
      <c r="AL157">
        <f t="shared" si="182"/>
        <v>2.467742508696437E-4</v>
      </c>
      <c r="AM157" t="str">
        <f t="shared" si="162"/>
        <v>1-0.000552114919032426i</v>
      </c>
      <c r="AN157">
        <f t="shared" si="183"/>
        <v>1.0000001524154303</v>
      </c>
      <c r="AO157">
        <f t="shared" si="184"/>
        <v>-5.521148629318767E-4</v>
      </c>
      <c r="AP157" s="42" t="str">
        <f t="shared" si="185"/>
        <v>45.4122354241996-4.95810628795394i</v>
      </c>
      <c r="AQ157">
        <f t="shared" si="186"/>
        <v>33.19492054501999</v>
      </c>
      <c r="AR157" s="44">
        <f t="shared" si="187"/>
        <v>-6.2308715507713837</v>
      </c>
      <c r="AS157" t="str">
        <f t="shared" si="163"/>
        <v>-0.000166666666666667</v>
      </c>
      <c r="AT157" t="str">
        <f t="shared" si="164"/>
        <v>0.0000194643194324529i</v>
      </c>
      <c r="AU157">
        <f t="shared" si="188"/>
        <v>1.94643194324529E-5</v>
      </c>
      <c r="AV157">
        <f t="shared" si="189"/>
        <v>1.5707963267948966</v>
      </c>
      <c r="AW157" t="str">
        <f t="shared" si="165"/>
        <v>1+0.00354615778951261i</v>
      </c>
      <c r="AX157">
        <f t="shared" si="190"/>
        <v>1.0000062875977671</v>
      </c>
      <c r="AY157">
        <f t="shared" si="191"/>
        <v>3.5461429250355004E-3</v>
      </c>
      <c r="AZ157" t="str">
        <f t="shared" si="166"/>
        <v>1+0.0721814698445952i</v>
      </c>
      <c r="BA157">
        <f t="shared" si="192"/>
        <v>1.0026016978785375</v>
      </c>
      <c r="BB157">
        <f t="shared" si="193"/>
        <v>7.2056501164307826E-2</v>
      </c>
      <c r="BC157" s="42" t="str">
        <f t="shared" si="194"/>
        <v>-0.587694569362636+8.56476035596793i</v>
      </c>
      <c r="BD157">
        <f t="shared" si="195"/>
        <v>18.674704628663466</v>
      </c>
      <c r="BE157" s="44">
        <f t="shared" si="196"/>
        <v>93.925354380039622</v>
      </c>
      <c r="BF157" s="42" t="str">
        <f t="shared" si="197"/>
        <v>21.5933418720573+135.349079316529i</v>
      </c>
      <c r="BG157" s="20">
        <f t="shared" si="198"/>
        <v>42.738261268749859</v>
      </c>
      <c r="BH157" s="44">
        <f t="shared" si="199"/>
        <v>80.935526409594416</v>
      </c>
      <c r="BI157" s="42" t="str">
        <f t="shared" si="152"/>
        <v>15.7764680343236+391.85876577682i</v>
      </c>
      <c r="BJ157" s="20">
        <f t="shared" si="200"/>
        <v>51.869625173683445</v>
      </c>
      <c r="BK157" s="44">
        <f t="shared" si="153"/>
        <v>87.694482829268239</v>
      </c>
      <c r="BL157">
        <f t="shared" si="201"/>
        <v>42.738261268749859</v>
      </c>
      <c r="BM157" s="44">
        <f t="shared" si="202"/>
        <v>80.935526409594416</v>
      </c>
    </row>
    <row r="158" spans="14:65" x14ac:dyDescent="0.35">
      <c r="N158" s="9">
        <v>40</v>
      </c>
      <c r="O158" s="35">
        <f t="shared" si="154"/>
        <v>251.18864315095806</v>
      </c>
      <c r="P158" s="34" t="str">
        <f t="shared" si="155"/>
        <v>16.3709677419355</v>
      </c>
      <c r="Q158" s="4" t="str">
        <f t="shared" si="156"/>
        <v>1+0.232157659722992i</v>
      </c>
      <c r="R158" s="4">
        <f t="shared" si="167"/>
        <v>1.0265949439618609</v>
      </c>
      <c r="S158" s="4">
        <f t="shared" si="168"/>
        <v>0.22811667388960705</v>
      </c>
      <c r="T158" s="4" t="str">
        <f t="shared" si="157"/>
        <v>1+0.000252522366716237i</v>
      </c>
      <c r="U158" s="4">
        <f t="shared" si="169"/>
        <v>1.0000000318837723</v>
      </c>
      <c r="V158" s="4">
        <f t="shared" si="170"/>
        <v>2.5252236134866001E-4</v>
      </c>
      <c r="W158" t="str">
        <f t="shared" si="158"/>
        <v>1-0.00330469321748544i</v>
      </c>
      <c r="X158" s="4">
        <f t="shared" si="171"/>
        <v>1.0000054604837223</v>
      </c>
      <c r="Y158" s="4">
        <f t="shared" si="172"/>
        <v>-3.3046811873824085E-3</v>
      </c>
      <c r="Z158" t="str">
        <f t="shared" si="159"/>
        <v>0.999999945401203+0.000650823179654162i</v>
      </c>
      <c r="AA158" s="4">
        <f t="shared" si="173"/>
        <v>1.0000001571865977</v>
      </c>
      <c r="AB158" s="4">
        <f t="shared" si="174"/>
        <v>6.5082312329843421E-4</v>
      </c>
      <c r="AC158" s="48" t="str">
        <f t="shared" si="175"/>
        <v>15.5203651790323-3.66379324093642i</v>
      </c>
      <c r="AD158" s="20">
        <f t="shared" si="176"/>
        <v>24.053550975579935</v>
      </c>
      <c r="AE158" s="44">
        <f t="shared" si="177"/>
        <v>-13.282287887746495</v>
      </c>
      <c r="AF158" t="str">
        <f t="shared" si="178"/>
        <v>45.9520231294187</v>
      </c>
      <c r="AG158" t="str">
        <f t="shared" si="160"/>
        <v>1+0.111406926492457i</v>
      </c>
      <c r="AH158">
        <f t="shared" si="179"/>
        <v>1.006186614535542</v>
      </c>
      <c r="AI158">
        <f t="shared" si="180"/>
        <v>0.11094941955531157</v>
      </c>
      <c r="AJ158" t="str">
        <f t="shared" si="161"/>
        <v>1+0.000252522366716237i</v>
      </c>
      <c r="AK158">
        <f t="shared" si="181"/>
        <v>1.0000000318837723</v>
      </c>
      <c r="AL158">
        <f t="shared" si="182"/>
        <v>2.5252236134866001E-4</v>
      </c>
      <c r="AM158" t="str">
        <f t="shared" si="162"/>
        <v>1-0.00056497532757954i</v>
      </c>
      <c r="AN158">
        <f t="shared" si="183"/>
        <v>1.0000001595985477</v>
      </c>
      <c r="AO158">
        <f t="shared" si="184"/>
        <v>-5.6497526746671892E-4</v>
      </c>
      <c r="AP158" s="42" t="str">
        <f t="shared" si="185"/>
        <v>45.3871078839449-5.07079603741631i</v>
      </c>
      <c r="AQ158">
        <f t="shared" si="186"/>
        <v>33.19252368890276</v>
      </c>
      <c r="AR158" s="44">
        <f t="shared" si="187"/>
        <v>-6.3748357127627564</v>
      </c>
      <c r="AS158" t="str">
        <f t="shared" si="163"/>
        <v>-0.000166666666666667</v>
      </c>
      <c r="AT158" t="str">
        <f t="shared" si="164"/>
        <v>0.0000199177016747431i</v>
      </c>
      <c r="AU158">
        <f t="shared" si="188"/>
        <v>1.9917701674743098E-5</v>
      </c>
      <c r="AV158">
        <f t="shared" si="189"/>
        <v>1.5707963267948966</v>
      </c>
      <c r="AW158" t="str">
        <f t="shared" si="165"/>
        <v>1+0.00362875841553008i</v>
      </c>
      <c r="AX158">
        <f t="shared" si="190"/>
        <v>1.000006583922145</v>
      </c>
      <c r="AY158">
        <f t="shared" si="191"/>
        <v>3.6287424879615587E-3</v>
      </c>
      <c r="AZ158" t="str">
        <f t="shared" si="166"/>
        <v>1+0.0738627922644992i</v>
      </c>
      <c r="BA158">
        <f t="shared" si="192"/>
        <v>1.0027241455560489</v>
      </c>
      <c r="BB158">
        <f t="shared" si="193"/>
        <v>7.3728905551042612E-2</v>
      </c>
      <c r="BC158" s="42" t="str">
        <f t="shared" si="194"/>
        <v>-0.587694221068531+8.36989859003847i</v>
      </c>
      <c r="BD158">
        <f t="shared" si="195"/>
        <v>18.475762797180035</v>
      </c>
      <c r="BE158" s="44">
        <f t="shared" si="196"/>
        <v>94.016443486693404</v>
      </c>
      <c r="BF158" s="42" t="str">
        <f t="shared" si="197"/>
        <v>21.5443489569157+132.057072743753i</v>
      </c>
      <c r="BG158" s="20">
        <f t="shared" si="198"/>
        <v>42.529313772759977</v>
      </c>
      <c r="BH158" s="44">
        <f t="shared" si="199"/>
        <v>80.734155598946913</v>
      </c>
      <c r="BI158" s="42" t="str">
        <f t="shared" si="152"/>
        <v>15.7683075895351+382.865567811161i</v>
      </c>
      <c r="BJ158" s="20">
        <f t="shared" si="200"/>
        <v>51.668286486082792</v>
      </c>
      <c r="BK158" s="44">
        <f t="shared" si="153"/>
        <v>87.641607773930644</v>
      </c>
      <c r="BL158">
        <f t="shared" si="201"/>
        <v>42.529313772759977</v>
      </c>
      <c r="BM158" s="44">
        <f t="shared" si="202"/>
        <v>80.734155598946913</v>
      </c>
    </row>
    <row r="159" spans="14:65" x14ac:dyDescent="0.35">
      <c r="N159" s="9">
        <v>41</v>
      </c>
      <c r="O159" s="35">
        <f t="shared" si="154"/>
        <v>257.03957827688663</v>
      </c>
      <c r="P159" s="34" t="str">
        <f t="shared" si="155"/>
        <v>16.3709677419355</v>
      </c>
      <c r="Q159" s="4" t="str">
        <f t="shared" si="156"/>
        <v>1+0.237565306298837i</v>
      </c>
      <c r="R159" s="4">
        <f t="shared" si="167"/>
        <v>1.0278313454827404</v>
      </c>
      <c r="S159" s="4">
        <f t="shared" si="168"/>
        <v>0.23324161904285037</v>
      </c>
      <c r="T159" s="4" t="str">
        <f t="shared" si="157"/>
        <v>1+0.000258404368254875i</v>
      </c>
      <c r="U159" s="4">
        <f t="shared" si="169"/>
        <v>1.0000000333864081</v>
      </c>
      <c r="V159" s="4">
        <f t="shared" si="170"/>
        <v>2.5840436250341265E-4</v>
      </c>
      <c r="W159" t="str">
        <f t="shared" si="158"/>
        <v>1-0.00338166941109058i</v>
      </c>
      <c r="X159" s="4">
        <f t="shared" si="171"/>
        <v>1.0000057178276562</v>
      </c>
      <c r="Y159" s="4">
        <f t="shared" si="172"/>
        <v>-3.3816565206069185E-3</v>
      </c>
      <c r="Z159" t="str">
        <f t="shared" si="159"/>
        <v>0.999999942828041+0.00066598279895398i</v>
      </c>
      <c r="AA159" s="4">
        <f t="shared" si="173"/>
        <v>1.0000001645945735</v>
      </c>
      <c r="AB159" s="4">
        <f t="shared" si="174"/>
        <v>6.6598273856773005E-4</v>
      </c>
      <c r="AC159" s="48" t="str">
        <f t="shared" si="175"/>
        <v>15.4824190893138-3.74011927356714i</v>
      </c>
      <c r="AD159" s="20">
        <f t="shared" si="176"/>
        <v>24.043098417488448</v>
      </c>
      <c r="AE159" s="44">
        <f t="shared" si="177"/>
        <v>-13.580867545116439</v>
      </c>
      <c r="AF159" t="str">
        <f t="shared" si="178"/>
        <v>45.9520231294187</v>
      </c>
      <c r="AG159" t="str">
        <f t="shared" si="160"/>
        <v>1+0.114001927171268i</v>
      </c>
      <c r="AH159">
        <f t="shared" si="179"/>
        <v>1.0064772423650536</v>
      </c>
      <c r="AI159">
        <f t="shared" si="180"/>
        <v>0.11351186988664848</v>
      </c>
      <c r="AJ159" t="str">
        <f t="shared" si="161"/>
        <v>1+0.000258404368254875i</v>
      </c>
      <c r="AK159">
        <f t="shared" si="181"/>
        <v>1.0000000333864081</v>
      </c>
      <c r="AL159">
        <f t="shared" si="182"/>
        <v>2.5840436250341265E-4</v>
      </c>
      <c r="AM159" t="str">
        <f t="shared" si="162"/>
        <v>1-0.000578135293523665i</v>
      </c>
      <c r="AN159">
        <f t="shared" si="183"/>
        <v>1.0000001671201948</v>
      </c>
      <c r="AO159">
        <f t="shared" si="184"/>
        <v>-5.7813522911161729E-4</v>
      </c>
      <c r="AP159" s="42" t="str">
        <f t="shared" si="185"/>
        <v>45.3608258218808-5.18591384464777i</v>
      </c>
      <c r="AQ159">
        <f t="shared" si="186"/>
        <v>33.190015289517987</v>
      </c>
      <c r="AR159" s="44">
        <f t="shared" si="187"/>
        <v>-6.52207029837981</v>
      </c>
      <c r="AS159" t="str">
        <f t="shared" si="163"/>
        <v>-0.000166666666666667</v>
      </c>
      <c r="AT159" t="str">
        <f t="shared" si="164"/>
        <v>0.0000203816445461033i</v>
      </c>
      <c r="AU159">
        <f t="shared" si="188"/>
        <v>2.0381644546103298E-5</v>
      </c>
      <c r="AV159">
        <f t="shared" si="189"/>
        <v>1.5707963267948966</v>
      </c>
      <c r="AW159" t="str">
        <f t="shared" si="165"/>
        <v>1+0.00371328305729173i</v>
      </c>
      <c r="AX159">
        <f t="shared" si="190"/>
        <v>1.0000068942117668</v>
      </c>
      <c r="AY159">
        <f t="shared" si="191"/>
        <v>3.7132659906009284E-3</v>
      </c>
      <c r="AZ159" t="str">
        <f t="shared" si="166"/>
        <v>1+0.0755832777145509i</v>
      </c>
      <c r="BA159">
        <f t="shared" si="192"/>
        <v>1.002852347990508</v>
      </c>
      <c r="BB159">
        <f t="shared" si="193"/>
        <v>7.543983754496196E-2</v>
      </c>
      <c r="BC159" s="42" t="str">
        <f t="shared" si="194"/>
        <v>-0.587693856360264+8.17947465501093i</v>
      </c>
      <c r="BD159">
        <f t="shared" si="195"/>
        <v>18.276870558030033</v>
      </c>
      <c r="BE159" s="44">
        <f t="shared" si="196"/>
        <v>94.109629829007986</v>
      </c>
      <c r="BF159" s="42" t="str">
        <f t="shared" si="197"/>
        <v>21.4932882244757+128.83609965843i</v>
      </c>
      <c r="BG159" s="20">
        <f t="shared" si="198"/>
        <v>42.319968975518506</v>
      </c>
      <c r="BH159" s="44">
        <f t="shared" si="199"/>
        <v>80.528762283891581</v>
      </c>
      <c r="BI159" s="42" t="str">
        <f t="shared" si="152"/>
        <v>15.7597722004193+374.075454846552i</v>
      </c>
      <c r="BJ159" s="20">
        <f t="shared" si="200"/>
        <v>51.466885847548014</v>
      </c>
      <c r="BK159" s="44">
        <f t="shared" si="153"/>
        <v>87.587559530628184</v>
      </c>
      <c r="BL159">
        <f t="shared" si="201"/>
        <v>42.319968975518506</v>
      </c>
      <c r="BM159" s="44">
        <f t="shared" si="202"/>
        <v>80.528762283891581</v>
      </c>
    </row>
    <row r="160" spans="14:65" x14ac:dyDescent="0.35">
      <c r="N160" s="9">
        <v>42</v>
      </c>
      <c r="O160" s="35">
        <f t="shared" si="154"/>
        <v>263.02679918953817</v>
      </c>
      <c r="P160" s="34" t="str">
        <f t="shared" si="155"/>
        <v>16.3709677419355</v>
      </c>
      <c r="Q160" s="4" t="str">
        <f t="shared" si="156"/>
        <v>1+0.24309891314463i</v>
      </c>
      <c r="R160" s="4">
        <f t="shared" si="167"/>
        <v>1.0291244247281766</v>
      </c>
      <c r="S160" s="4">
        <f t="shared" si="168"/>
        <v>0.23847305047145989</v>
      </c>
      <c r="T160" s="4" t="str">
        <f t="shared" si="157"/>
        <v>1+0.000264423379209949i</v>
      </c>
      <c r="U160" s="4">
        <f t="shared" si="169"/>
        <v>1.0000000349598612</v>
      </c>
      <c r="V160" s="4">
        <f t="shared" si="170"/>
        <v>2.6442337304714608E-4</v>
      </c>
      <c r="W160" t="str">
        <f t="shared" si="158"/>
        <v>1-0.00346043861057917i</v>
      </c>
      <c r="X160" s="4">
        <f t="shared" si="171"/>
        <v>1.0000059872997649</v>
      </c>
      <c r="Y160" s="4">
        <f t="shared" si="172"/>
        <v>-3.4604247981815392E-3</v>
      </c>
      <c r="Z160" t="str">
        <f t="shared" si="159"/>
        <v>0.99999994013361+0.00068149553114913i</v>
      </c>
      <c r="AA160" s="4">
        <f t="shared" si="173"/>
        <v>1.0000001723516765</v>
      </c>
      <c r="AB160" s="4">
        <f t="shared" si="174"/>
        <v>6.8149546644409782E-4</v>
      </c>
      <c r="AC160" s="48" t="str">
        <f t="shared" si="175"/>
        <v>15.4428797416592-3.81762586982783i</v>
      </c>
      <c r="AD160" s="20">
        <f t="shared" si="176"/>
        <v>24.032180153464576</v>
      </c>
      <c r="AE160" s="44">
        <f t="shared" si="177"/>
        <v>-13.885663526587503</v>
      </c>
      <c r="AF160" t="str">
        <f t="shared" si="178"/>
        <v>45.9520231294187</v>
      </c>
      <c r="AG160" t="str">
        <f t="shared" si="160"/>
        <v>1+0.116657373180859i</v>
      </c>
      <c r="AH160">
        <f t="shared" si="179"/>
        <v>1.0067814771426111</v>
      </c>
      <c r="AI160">
        <f t="shared" si="180"/>
        <v>0.11613245818043021</v>
      </c>
      <c r="AJ160" t="str">
        <f t="shared" si="161"/>
        <v>1+0.000264423379209949i</v>
      </c>
      <c r="AK160">
        <f t="shared" si="181"/>
        <v>1.0000000349598612</v>
      </c>
      <c r="AL160">
        <f t="shared" si="182"/>
        <v>2.6442337304714608E-4</v>
      </c>
      <c r="AM160" t="str">
        <f t="shared" si="162"/>
        <v>1-0.000591601794452942i</v>
      </c>
      <c r="AN160">
        <f t="shared" si="183"/>
        <v>1.0000001749963263</v>
      </c>
      <c r="AO160">
        <f t="shared" si="184"/>
        <v>-5.9160172543419002E-4</v>
      </c>
      <c r="AP160" s="42" t="str">
        <f t="shared" si="185"/>
        <v>45.3333376363078-5.30350259627734i</v>
      </c>
      <c r="AQ160">
        <f t="shared" si="186"/>
        <v>33.187390224915731</v>
      </c>
      <c r="AR160" s="44">
        <f t="shared" si="187"/>
        <v>-6.6726456569580144</v>
      </c>
      <c r="AS160" t="str">
        <f t="shared" si="163"/>
        <v>-0.000166666666666667</v>
      </c>
      <c r="AT160" t="str">
        <f t="shared" si="164"/>
        <v>0.0000208563940351847i</v>
      </c>
      <c r="AU160">
        <f t="shared" si="188"/>
        <v>2.0856394035184701E-5</v>
      </c>
      <c r="AV160">
        <f t="shared" si="189"/>
        <v>1.5707963267948966</v>
      </c>
      <c r="AW160" t="str">
        <f t="shared" si="165"/>
        <v>1+0.00379977653088148i</v>
      </c>
      <c r="AX160">
        <f t="shared" si="190"/>
        <v>1.0000072191247844</v>
      </c>
      <c r="AY160">
        <f t="shared" si="191"/>
        <v>3.79975824359994E-3</v>
      </c>
      <c r="AZ160" t="str">
        <f t="shared" si="166"/>
        <v>1+0.0773438384189099i</v>
      </c>
      <c r="BA160">
        <f t="shared" si="192"/>
        <v>1.0029865748559998</v>
      </c>
      <c r="BB160">
        <f t="shared" si="193"/>
        <v>7.719016421529537E-2</v>
      </c>
      <c r="BC160" s="42" t="str">
        <f t="shared" si="194"/>
        <v>-0.587693474464315+7.99338758558598i</v>
      </c>
      <c r="BD160">
        <f t="shared" si="195"/>
        <v>18.07803022180045</v>
      </c>
      <c r="BE160" s="44">
        <f t="shared" si="196"/>
        <v>94.204960518929866</v>
      </c>
      <c r="BF160" s="42" t="str">
        <f t="shared" si="197"/>
        <v>21.4400835831834+125.68451702432i</v>
      </c>
      <c r="BG160" s="20">
        <f t="shared" si="198"/>
        <v>42.110210375265034</v>
      </c>
      <c r="BH160" s="44">
        <f t="shared" si="199"/>
        <v>80.319296992342373</v>
      </c>
      <c r="BI160" s="42" t="str">
        <f t="shared" si="152"/>
        <v>15.7508451086607+365.483772142877i</v>
      </c>
      <c r="BJ160" s="20">
        <f t="shared" si="200"/>
        <v>51.26542044671617</v>
      </c>
      <c r="BK160" s="44">
        <f t="shared" si="153"/>
        <v>87.532314861971841</v>
      </c>
      <c r="BL160">
        <f t="shared" si="201"/>
        <v>42.110210375265034</v>
      </c>
      <c r="BM160" s="44">
        <f t="shared" si="202"/>
        <v>80.319296992342373</v>
      </c>
    </row>
    <row r="161" spans="14:65" x14ac:dyDescent="0.35">
      <c r="N161" s="9">
        <v>43</v>
      </c>
      <c r="O161" s="35">
        <f t="shared" si="154"/>
        <v>269.15348039269179</v>
      </c>
      <c r="P161" s="34" t="str">
        <f t="shared" si="155"/>
        <v>16.3709677419355</v>
      </c>
      <c r="Q161" s="4" t="str">
        <f t="shared" si="156"/>
        <v>1+0.248761414251968i</v>
      </c>
      <c r="R161" s="4">
        <f t="shared" si="167"/>
        <v>1.0304767058117517</v>
      </c>
      <c r="S161" s="4">
        <f t="shared" si="168"/>
        <v>0.24381259606317468</v>
      </c>
      <c r="T161" s="4" t="str">
        <f t="shared" si="157"/>
        <v>1+0.000270582590940738i</v>
      </c>
      <c r="U161" s="4">
        <f t="shared" si="169"/>
        <v>1.0000000366074686</v>
      </c>
      <c r="V161" s="4">
        <f t="shared" si="170"/>
        <v>2.7058258433717571E-4</v>
      </c>
      <c r="W161" t="str">
        <f t="shared" si="158"/>
        <v>1-0.00354104258042343i</v>
      </c>
      <c r="X161" s="4">
        <f t="shared" si="171"/>
        <v>1.000006269471625</v>
      </c>
      <c r="Y161" s="4">
        <f t="shared" si="172"/>
        <v>-3.5410277801777288E-3</v>
      </c>
      <c r="Z161" t="str">
        <f t="shared" si="159"/>
        <v>0.999999937312194+0.000697369601295556i</v>
      </c>
      <c r="AA161" s="4">
        <f t="shared" si="173"/>
        <v>1.0000001804743601</v>
      </c>
      <c r="AB161" s="4">
        <f t="shared" si="174"/>
        <v>6.9736953196286545E-4</v>
      </c>
      <c r="AC161" s="48" t="str">
        <f t="shared" si="175"/>
        <v>15.4016892611704-3.89630319685042i</v>
      </c>
      <c r="AD161" s="20">
        <f t="shared" si="176"/>
        <v>24.020776683398179</v>
      </c>
      <c r="AE161" s="44">
        <f t="shared" si="177"/>
        <v>-14.196771784340807</v>
      </c>
      <c r="AF161" t="str">
        <f t="shared" si="178"/>
        <v>45.9520231294187</v>
      </c>
      <c r="AG161" t="str">
        <f t="shared" si="160"/>
        <v>1+0.119374672473855i</v>
      </c>
      <c r="AH161">
        <f t="shared" si="179"/>
        <v>1.0070999515580568</v>
      </c>
      <c r="AI161">
        <f t="shared" si="180"/>
        <v>0.11881242985472915</v>
      </c>
      <c r="AJ161" t="str">
        <f t="shared" si="161"/>
        <v>1+0.000270582590940738i</v>
      </c>
      <c r="AK161">
        <f t="shared" si="181"/>
        <v>1.0000000366074686</v>
      </c>
      <c r="AL161">
        <f t="shared" si="182"/>
        <v>2.7058258433717571E-4</v>
      </c>
      <c r="AM161" t="str">
        <f t="shared" si="162"/>
        <v>1-0.000605381970484416i</v>
      </c>
      <c r="AN161">
        <f t="shared" si="183"/>
        <v>1.0000001832436483</v>
      </c>
      <c r="AO161">
        <f t="shared" si="184"/>
        <v>-6.0538189652949159E-4</v>
      </c>
      <c r="AP161" s="42" t="str">
        <f t="shared" si="185"/>
        <v>45.3045895564372-5.42360524869463i</v>
      </c>
      <c r="AQ161">
        <f t="shared" si="186"/>
        <v>33.184643144510737</v>
      </c>
      <c r="AR161" s="44">
        <f t="shared" si="187"/>
        <v>-6.8266333719426244</v>
      </c>
      <c r="AS161" t="str">
        <f t="shared" si="163"/>
        <v>-0.000166666666666667</v>
      </c>
      <c r="AT161" t="str">
        <f t="shared" si="164"/>
        <v>0.0000213422018604507i</v>
      </c>
      <c r="AU161">
        <f t="shared" si="188"/>
        <v>2.1342201860450701E-5</v>
      </c>
      <c r="AV161">
        <f t="shared" si="189"/>
        <v>1.5707963267948966</v>
      </c>
      <c r="AW161" t="str">
        <f t="shared" si="165"/>
        <v>1+0.0038882846962839i</v>
      </c>
      <c r="AX161">
        <f t="shared" si="190"/>
        <v>1.0000075593503679</v>
      </c>
      <c r="AY161">
        <f t="shared" si="191"/>
        <v>3.8882651011166894E-3</v>
      </c>
      <c r="AZ161" t="str">
        <f t="shared" si="166"/>
        <v>1+0.0791454078501656i</v>
      </c>
      <c r="BA161">
        <f t="shared" si="192"/>
        <v>1.0031271083884481</v>
      </c>
      <c r="BB161">
        <f t="shared" si="193"/>
        <v>7.8980770685409304E-2</v>
      </c>
      <c r="BC161" s="42" t="str">
        <f t="shared" si="194"/>
        <v>-0.587693074570695+7.81153871592707i</v>
      </c>
      <c r="BD161">
        <f t="shared" si="195"/>
        <v>17.879244205426623</v>
      </c>
      <c r="BE161" s="44">
        <f t="shared" si="196"/>
        <v>94.302483643042535</v>
      </c>
      <c r="BF161" s="42" t="str">
        <f t="shared" si="197"/>
        <v>21.3846571557078+122.600722359527i</v>
      </c>
      <c r="BG161" s="20">
        <f t="shared" si="198"/>
        <v>41.90002088882477</v>
      </c>
      <c r="BH161" s="44">
        <f t="shared" si="199"/>
        <v>80.105711858701696</v>
      </c>
      <c r="BI161" s="42" t="str">
        <f t="shared" si="152"/>
        <v>15.7415088514974+357.085970573158i</v>
      </c>
      <c r="BJ161" s="20">
        <f t="shared" si="200"/>
        <v>51.063887349937374</v>
      </c>
      <c r="BK161" s="44">
        <f t="shared" si="153"/>
        <v>87.475850271099915</v>
      </c>
      <c r="BL161">
        <f t="shared" si="201"/>
        <v>41.90002088882477</v>
      </c>
      <c r="BM161" s="44">
        <f t="shared" si="202"/>
        <v>80.105711858701696</v>
      </c>
    </row>
    <row r="162" spans="14:65" x14ac:dyDescent="0.35">
      <c r="N162" s="9">
        <v>44</v>
      </c>
      <c r="O162" s="35">
        <f t="shared" si="154"/>
        <v>275.42287033381683</v>
      </c>
      <c r="P162" s="34" t="str">
        <f t="shared" si="155"/>
        <v>16.3709677419355</v>
      </c>
      <c r="Q162" s="4" t="str">
        <f t="shared" si="156"/>
        <v>1+0.254555811953889i</v>
      </c>
      <c r="R162" s="4">
        <f t="shared" si="167"/>
        <v>1.0318908185459854</v>
      </c>
      <c r="S162" s="4">
        <f t="shared" si="168"/>
        <v>0.24926186851434662</v>
      </c>
      <c r="T162" s="4" t="str">
        <f t="shared" si="157"/>
        <v>1+0.000276885269142827i</v>
      </c>
      <c r="U162" s="4">
        <f t="shared" si="169"/>
        <v>1.0000000383327254</v>
      </c>
      <c r="V162" s="4">
        <f t="shared" si="170"/>
        <v>2.7688526206698252E-4</v>
      </c>
      <c r="W162" t="str">
        <f t="shared" si="158"/>
        <v>1-0.00362352405791506i</v>
      </c>
      <c r="X162" s="4">
        <f t="shared" si="171"/>
        <v>1.0000065649417498</v>
      </c>
      <c r="Y162" s="4">
        <f t="shared" si="172"/>
        <v>-3.6235081991716914E-3</v>
      </c>
      <c r="Z162" t="str">
        <f t="shared" si="159"/>
        <v>0.999999934357809+0.000713613426035367i</v>
      </c>
      <c r="AA162" s="4">
        <f t="shared" si="173"/>
        <v>1.0000001889798542</v>
      </c>
      <c r="AB162" s="4">
        <f t="shared" si="174"/>
        <v>7.1361335174405119E-4</v>
      </c>
      <c r="AC162" s="48" t="str">
        <f t="shared" si="175"/>
        <v>15.3587884866707-3.97613911488687i</v>
      </c>
      <c r="AD162" s="20">
        <f t="shared" si="176"/>
        <v>24.008867803705751</v>
      </c>
      <c r="AE162" s="44">
        <f t="shared" si="177"/>
        <v>-14.514287462593787</v>
      </c>
      <c r="AF162" t="str">
        <f t="shared" si="178"/>
        <v>45.9520231294187</v>
      </c>
      <c r="AG162" t="str">
        <f t="shared" si="160"/>
        <v>1+0.122155265798306i</v>
      </c>
      <c r="AH162">
        <f t="shared" si="179"/>
        <v>1.0074333273037253</v>
      </c>
      <c r="AI162">
        <f t="shared" si="180"/>
        <v>0.12155305179729406</v>
      </c>
      <c r="AJ162" t="str">
        <f t="shared" si="161"/>
        <v>1+0.000276885269142827i</v>
      </c>
      <c r="AK162">
        <f t="shared" si="181"/>
        <v>1.0000000383327254</v>
      </c>
      <c r="AL162">
        <f t="shared" si="182"/>
        <v>2.7688526206698252E-4</v>
      </c>
      <c r="AM162" t="str">
        <f t="shared" si="162"/>
        <v>1-0.000619483128049819i</v>
      </c>
      <c r="AN162">
        <f t="shared" si="183"/>
        <v>1.0000001918796546</v>
      </c>
      <c r="AO162">
        <f t="shared" si="184"/>
        <v>-6.194830488056906E-4</v>
      </c>
      <c r="AP162" s="42" t="str">
        <f t="shared" si="185"/>
        <v>45.2745255643364-5.5462647689403i</v>
      </c>
      <c r="AQ162">
        <f t="shared" si="186"/>
        <v>33.181768459499629</v>
      </c>
      <c r="AR162" s="44">
        <f t="shared" si="187"/>
        <v>-6.9841062621706911</v>
      </c>
      <c r="AS162" t="str">
        <f t="shared" si="163"/>
        <v>-0.000166666666666667</v>
      </c>
      <c r="AT162" t="str">
        <f t="shared" si="164"/>
        <v>0.0000218393256036405i</v>
      </c>
      <c r="AU162">
        <f t="shared" si="188"/>
        <v>2.1839325603640501E-5</v>
      </c>
      <c r="AV162">
        <f t="shared" si="189"/>
        <v>1.5707963267948966</v>
      </c>
      <c r="AW162" t="str">
        <f t="shared" si="165"/>
        <v>1+0.00397885448169982i</v>
      </c>
      <c r="AX162">
        <f t="shared" si="190"/>
        <v>1.0000079156101649</v>
      </c>
      <c r="AY162">
        <f t="shared" si="191"/>
        <v>3.9788334851088413E-3</v>
      </c>
      <c r="AZ162" t="str">
        <f t="shared" si="166"/>
        <v>1+0.0809889412242768i</v>
      </c>
      <c r="BA162">
        <f t="shared" si="192"/>
        <v>1.0032742439635483</v>
      </c>
      <c r="BB162">
        <f t="shared" si="193"/>
        <v>8.0812560403541525E-2</v>
      </c>
      <c r="BC162" s="42" t="str">
        <f t="shared" si="194"/>
        <v>-0.587692655831253+7.63383162734667i</v>
      </c>
      <c r="BD162">
        <f t="shared" si="195"/>
        <v>17.680515036962284</v>
      </c>
      <c r="BE162" s="44">
        <f t="shared" si="196"/>
        <v>94.402248276686905</v>
      </c>
      <c r="BF162" s="42" t="str">
        <f t="shared" si="197"/>
        <v>21.3269293338716+119.583153063657i</v>
      </c>
      <c r="BG162" s="20">
        <f t="shared" si="198"/>
        <v>41.689382840668031</v>
      </c>
      <c r="BH162" s="44">
        <f t="shared" si="199"/>
        <v>79.88796081409312</v>
      </c>
      <c r="BI162" s="42" t="str">
        <f t="shared" si="152"/>
        <v>15.7317452363702+348.877604238148i</v>
      </c>
      <c r="BJ162" s="20">
        <f t="shared" si="200"/>
        <v>50.862283496461906</v>
      </c>
      <c r="BK162" s="44">
        <f t="shared" si="153"/>
        <v>87.418142014516206</v>
      </c>
      <c r="BL162">
        <f t="shared" si="201"/>
        <v>41.689382840668031</v>
      </c>
      <c r="BM162" s="44">
        <f t="shared" si="202"/>
        <v>79.88796081409312</v>
      </c>
    </row>
    <row r="163" spans="14:65" x14ac:dyDescent="0.35">
      <c r="N163" s="9">
        <v>45</v>
      </c>
      <c r="O163" s="35">
        <f t="shared" si="154"/>
        <v>281.83829312644554</v>
      </c>
      <c r="P163" s="34" t="str">
        <f t="shared" si="155"/>
        <v>16.3709677419355</v>
      </c>
      <c r="Q163" s="4" t="str">
        <f t="shared" si="156"/>
        <v>1+0.260485178516753i</v>
      </c>
      <c r="R163" s="4">
        <f t="shared" si="167"/>
        <v>1.0333695022724954</v>
      </c>
      <c r="S163" s="4">
        <f t="shared" si="168"/>
        <v>0.25482246203958003</v>
      </c>
      <c r="T163" s="4" t="str">
        <f t="shared" si="157"/>
        <v>1+0.000283334755579626i</v>
      </c>
      <c r="U163" s="4">
        <f t="shared" si="169"/>
        <v>1.000000040139291</v>
      </c>
      <c r="V163" s="4">
        <f t="shared" si="170"/>
        <v>2.8333474799772208E-4</v>
      </c>
      <c r="W163" t="str">
        <f t="shared" si="158"/>
        <v>1-0.0037079267758252i</v>
      </c>
      <c r="X163" s="4">
        <f t="shared" si="171"/>
        <v>1.0000068743368591</v>
      </c>
      <c r="Y163" s="4">
        <f t="shared" si="172"/>
        <v>-3.7079097828818333E-3</v>
      </c>
      <c r="Z163" t="str">
        <f t="shared" si="159"/>
        <v>0.999999931264187+0.000730235618059452i</v>
      </c>
      <c r="AA163" s="4">
        <f t="shared" si="173"/>
        <v>1.0000001978861985</v>
      </c>
      <c r="AB163" s="4">
        <f t="shared" si="174"/>
        <v>7.3023553845487442E-4</v>
      </c>
      <c r="AC163" s="48" t="str">
        <f t="shared" si="175"/>
        <v>15.3141170201593-4.05711903684856i</v>
      </c>
      <c r="AD163" s="20">
        <f t="shared" si="176"/>
        <v>23.99643259216278</v>
      </c>
      <c r="AE163" s="44">
        <f t="shared" si="177"/>
        <v>-14.83830471052921</v>
      </c>
      <c r="AF163" t="str">
        <f t="shared" si="178"/>
        <v>45.9520231294187</v>
      </c>
      <c r="AG163" t="str">
        <f t="shared" si="160"/>
        <v>1+0.125000627461599i</v>
      </c>
      <c r="AH163">
        <f t="shared" si="179"/>
        <v>1.007782296364544</v>
      </c>
      <c r="AI163">
        <f t="shared" si="180"/>
        <v>0.12435561235505736</v>
      </c>
      <c r="AJ163" t="str">
        <f t="shared" si="161"/>
        <v>1+0.000283334755579626i</v>
      </c>
      <c r="AK163">
        <f t="shared" si="181"/>
        <v>1.000000040139291</v>
      </c>
      <c r="AL163">
        <f t="shared" si="182"/>
        <v>2.8333474799772208E-4</v>
      </c>
      <c r="AM163" t="str">
        <f t="shared" si="162"/>
        <v>1-0.00063391274376954i</v>
      </c>
      <c r="AN163">
        <f t="shared" si="183"/>
        <v>1.0000002009226632</v>
      </c>
      <c r="AO163">
        <f t="shared" si="184"/>
        <v>-6.3391265885792746E-4</v>
      </c>
      <c r="AP163" s="42" t="str">
        <f t="shared" si="185"/>
        <v>45.2430873153579-5.67152407054162i</v>
      </c>
      <c r="AQ163">
        <f t="shared" si="186"/>
        <v>33.178760332935958</v>
      </c>
      <c r="AR163" s="44">
        <f t="shared" si="187"/>
        <v>-7.1451383813925107</v>
      </c>
      <c r="AS163" t="str">
        <f t="shared" si="163"/>
        <v>-0.000166666666666667</v>
      </c>
      <c r="AT163" t="str">
        <f t="shared" si="164"/>
        <v>0.0000223480288463429i</v>
      </c>
      <c r="AU163">
        <f t="shared" si="188"/>
        <v>2.23480288463429E-5</v>
      </c>
      <c r="AV163">
        <f t="shared" si="189"/>
        <v>1.5707963267948966</v>
      </c>
      <c r="AW163" t="str">
        <f t="shared" si="165"/>
        <v>1+0.0040715339084283i</v>
      </c>
      <c r="AX163">
        <f t="shared" si="190"/>
        <v>1.0000082886598329</v>
      </c>
      <c r="AY163">
        <f t="shared" si="191"/>
        <v>4.0715114101857932E-3</v>
      </c>
      <c r="AZ163" t="str">
        <f t="shared" si="166"/>
        <v>1+0.0828754160070404i</v>
      </c>
      <c r="BA163">
        <f t="shared" si="192"/>
        <v>1.003428290700606</v>
      </c>
      <c r="BB163">
        <f t="shared" si="193"/>
        <v>8.268645540954063E-2</v>
      </c>
      <c r="BC163" s="42" t="str">
        <f t="shared" si="194"/>
        <v>-0.587692217357871+7.46017209718377i</v>
      </c>
      <c r="BD163">
        <f t="shared" si="195"/>
        <v>17.481845360551244</v>
      </c>
      <c r="BE163" s="44">
        <f t="shared" si="196"/>
        <v>94.504304497820343</v>
      </c>
      <c r="BF163" s="42" t="str">
        <f t="shared" si="197"/>
        <v>21.2668188451954+116.63028576965i</v>
      </c>
      <c r="BG163" s="20">
        <f t="shared" si="198"/>
        <v>41.478277952714038</v>
      </c>
      <c r="BH163" s="44">
        <f t="shared" si="199"/>
        <v>79.665999787291142</v>
      </c>
      <c r="BI163" s="42" t="str">
        <f t="shared" si="152"/>
        <v>15.7215353150823+340.854328137297i</v>
      </c>
      <c r="BJ163" s="20">
        <f t="shared" si="200"/>
        <v>50.660605693487206</v>
      </c>
      <c r="BK163" s="44">
        <f t="shared" si="153"/>
        <v>87.359166116427829</v>
      </c>
      <c r="BL163">
        <f t="shared" si="201"/>
        <v>41.478277952714038</v>
      </c>
      <c r="BM163" s="44">
        <f t="shared" si="202"/>
        <v>79.665999787291142</v>
      </c>
    </row>
    <row r="164" spans="14:65" x14ac:dyDescent="0.35">
      <c r="N164" s="9">
        <v>46</v>
      </c>
      <c r="O164" s="35">
        <f t="shared" si="154"/>
        <v>288.40315031266073</v>
      </c>
      <c r="P164" s="34" t="str">
        <f t="shared" si="155"/>
        <v>16.3709677419355</v>
      </c>
      <c r="Q164" s="4" t="str">
        <f t="shared" si="156"/>
        <v>1+0.266552657769194i</v>
      </c>
      <c r="R164" s="4">
        <f t="shared" si="167"/>
        <v>1.0349156097787979</v>
      </c>
      <c r="S164" s="4">
        <f t="shared" si="168"/>
        <v>0.26049594888443445</v>
      </c>
      <c r="T164" s="4" t="str">
        <f t="shared" si="157"/>
        <v>1+0.000289934469854211i</v>
      </c>
      <c r="U164" s="4">
        <f t="shared" si="169"/>
        <v>1.0000000420309976</v>
      </c>
      <c r="V164" s="4">
        <f t="shared" si="170"/>
        <v>2.8993446173005457E-4</v>
      </c>
      <c r="W164" t="str">
        <f t="shared" si="158"/>
        <v>1-0.0037942954855921i</v>
      </c>
      <c r="X164" s="4">
        <f t="shared" si="171"/>
        <v>1.0000071983132082</v>
      </c>
      <c r="Y164" s="4">
        <f t="shared" si="172"/>
        <v>-3.7942772773323086E-3</v>
      </c>
      <c r="Z164" t="str">
        <f t="shared" si="159"/>
        <v>0.999999928024768+0.000747244990674042i</v>
      </c>
      <c r="AA164" s="4">
        <f t="shared" si="173"/>
        <v>1.0000002072122873</v>
      </c>
      <c r="AB164" s="4">
        <f t="shared" si="174"/>
        <v>7.4724490537620119E-4</v>
      </c>
      <c r="AC164" s="48" t="str">
        <f t="shared" si="175"/>
        <v>15.2676132855646-4.13922578432518i</v>
      </c>
      <c r="AD164" s="20">
        <f t="shared" si="176"/>
        <v>23.983449393385921</v>
      </c>
      <c r="AE164" s="44">
        <f t="shared" si="177"/>
        <v>-15.168916483975496</v>
      </c>
      <c r="AF164" t="str">
        <f t="shared" si="178"/>
        <v>45.9520231294187</v>
      </c>
      <c r="AG164" t="str">
        <f t="shared" si="160"/>
        <v>1+0.127912266112152i</v>
      </c>
      <c r="AH164">
        <f t="shared" si="179"/>
        <v>1.0081475823618018</v>
      </c>
      <c r="AI164">
        <f t="shared" si="180"/>
        <v>0.12722142129024205</v>
      </c>
      <c r="AJ164" t="str">
        <f t="shared" si="161"/>
        <v>1+0.000289934469854211i</v>
      </c>
      <c r="AK164">
        <f t="shared" si="181"/>
        <v>1.0000000420309976</v>
      </c>
      <c r="AL164">
        <f t="shared" si="182"/>
        <v>2.8993446173005457E-4</v>
      </c>
      <c r="AM164" t="str">
        <f t="shared" si="162"/>
        <v>1-0.000648678468416836i</v>
      </c>
      <c r="AN164">
        <f t="shared" si="183"/>
        <v>1.0000002103918555</v>
      </c>
      <c r="AO164">
        <f t="shared" si="184"/>
        <v>-6.4867837743240496E-4</v>
      </c>
      <c r="AP164" s="42" t="str">
        <f t="shared" si="185"/>
        <v>45.2102140571659-5.79942594398705i</v>
      </c>
      <c r="AQ164">
        <f t="shared" si="186"/>
        <v>33.175612669456939</v>
      </c>
      <c r="AR164" s="44">
        <f t="shared" si="187"/>
        <v>-7.3098050158824073</v>
      </c>
      <c r="AS164" t="str">
        <f t="shared" si="163"/>
        <v>-0.000166666666666667</v>
      </c>
      <c r="AT164" t="str">
        <f t="shared" si="164"/>
        <v>0.0000228685813097509i</v>
      </c>
      <c r="AU164">
        <f t="shared" si="188"/>
        <v>2.28685813097509E-5</v>
      </c>
      <c r="AV164">
        <f t="shared" si="189"/>
        <v>1.5707963267948966</v>
      </c>
      <c r="AW164" t="str">
        <f t="shared" si="165"/>
        <v>1+0.00416637211632815i</v>
      </c>
      <c r="AX164">
        <f t="shared" si="190"/>
        <v>1.0000086792906409</v>
      </c>
      <c r="AY164">
        <f t="shared" si="191"/>
        <v>4.1663480090382704E-3</v>
      </c>
      <c r="AZ164" t="str">
        <f t="shared" si="166"/>
        <v>1+0.0848058324323566i</v>
      </c>
      <c r="BA164">
        <f t="shared" si="192"/>
        <v>1.0035895720933656</v>
      </c>
      <c r="BB164">
        <f t="shared" si="193"/>
        <v>8.4603396596829153E-2</v>
      </c>
      <c r="BC164" s="42" t="str">
        <f t="shared" si="194"/>
        <v>-0.587691758220573+7.29046804884548i</v>
      </c>
      <c r="BD164">
        <f t="shared" si="195"/>
        <v>17.283237941608107</v>
      </c>
      <c r="BE164" s="44">
        <f t="shared" si="196"/>
        <v>94.608703400569155</v>
      </c>
      <c r="BF164" s="42" t="str">
        <f t="shared" si="197"/>
        <v>21.2042428319549+113.740635719399i</v>
      </c>
      <c r="BG164" s="20">
        <f t="shared" si="198"/>
        <v>41.266687334993989</v>
      </c>
      <c r="BH164" s="44">
        <f t="shared" si="199"/>
        <v>79.43978691659359</v>
      </c>
      <c r="BI164" s="42" t="str">
        <f t="shared" si="152"/>
        <v>15.7108593574988+333.011895894925i</v>
      </c>
      <c r="BJ164" s="20">
        <f t="shared" si="200"/>
        <v>50.45885061106506</v>
      </c>
      <c r="BK164" s="44">
        <f t="shared" si="153"/>
        <v>87.298898384686765</v>
      </c>
      <c r="BL164">
        <f t="shared" si="201"/>
        <v>41.266687334993989</v>
      </c>
      <c r="BM164" s="44">
        <f t="shared" si="202"/>
        <v>79.43978691659359</v>
      </c>
    </row>
    <row r="165" spans="14:65" x14ac:dyDescent="0.35">
      <c r="N165" s="9">
        <v>47</v>
      </c>
      <c r="O165" s="35">
        <f t="shared" si="154"/>
        <v>295.12092266663871</v>
      </c>
      <c r="P165" s="34" t="str">
        <f t="shared" si="155"/>
        <v>16.3709677419355</v>
      </c>
      <c r="Q165" s="4" t="str">
        <f t="shared" si="156"/>
        <v>1+0.272761466769026i</v>
      </c>
      <c r="R165" s="4">
        <f t="shared" si="167"/>
        <v>1.0365321112990136</v>
      </c>
      <c r="S165" s="4">
        <f t="shared" si="168"/>
        <v>0.2662838756365995</v>
      </c>
      <c r="T165" s="4" t="str">
        <f t="shared" si="157"/>
        <v>1+0.00029668791122245i</v>
      </c>
      <c r="U165" s="4">
        <f t="shared" si="169"/>
        <v>1.0000000440118575</v>
      </c>
      <c r="V165" s="4">
        <f t="shared" si="170"/>
        <v>2.9668790251725956E-4</v>
      </c>
      <c r="W165" t="str">
        <f t="shared" si="158"/>
        <v>1-0.00388267598104889i</v>
      </c>
      <c r="X165" s="4">
        <f t="shared" si="171"/>
        <v>1.0000075375579796</v>
      </c>
      <c r="Y165" s="4">
        <f t="shared" si="172"/>
        <v>-3.8826564705549513E-3</v>
      </c>
      <c r="Z165" t="str">
        <f t="shared" si="159"/>
        <v>0.99999992463268+0.000764650562473644i</v>
      </c>
      <c r="AA165" s="4">
        <f t="shared" si="173"/>
        <v>1.0000002169779005</v>
      </c>
      <c r="AB165" s="4">
        <f t="shared" si="174"/>
        <v>7.6465047107536174E-4</v>
      </c>
      <c r="AC165" s="48" t="str">
        <f t="shared" si="175"/>
        <v>15.2192145974819-4.22243944047539i</v>
      </c>
      <c r="AD165" s="20">
        <f t="shared" si="176"/>
        <v>23.969895805082299</v>
      </c>
      <c r="AE165" s="44">
        <f t="shared" si="177"/>
        <v>-15.506214335574091</v>
      </c>
      <c r="AF165" t="str">
        <f t="shared" si="178"/>
        <v>45.9520231294187</v>
      </c>
      <c r="AG165" t="str">
        <f t="shared" si="160"/>
        <v>1+0.130891725539316i</v>
      </c>
      <c r="AH165">
        <f t="shared" si="179"/>
        <v>1.0085299419524736</v>
      </c>
      <c r="AI165">
        <f t="shared" si="180"/>
        <v>0.13015180970032211</v>
      </c>
      <c r="AJ165" t="str">
        <f t="shared" si="161"/>
        <v>1+0.00029668791122245i</v>
      </c>
      <c r="AK165">
        <f t="shared" si="181"/>
        <v>1.0000000440118575</v>
      </c>
      <c r="AL165">
        <f t="shared" si="182"/>
        <v>2.9668790251725956E-4</v>
      </c>
      <c r="AM165" t="str">
        <f t="shared" si="162"/>
        <v>1-0.00066378813097436i</v>
      </c>
      <c r="AN165">
        <f t="shared" si="183"/>
        <v>1.0000002203073171</v>
      </c>
      <c r="AO165">
        <f t="shared" si="184"/>
        <v>-6.6378803348278676E-4</v>
      </c>
      <c r="AP165" s="42" t="str">
        <f t="shared" si="185"/>
        <v>45.1758425474923-5.93001298152257i</v>
      </c>
      <c r="AQ165">
        <f t="shared" si="186"/>
        <v>33.172319104655813</v>
      </c>
      <c r="AR165" s="44">
        <f t="shared" si="187"/>
        <v>-7.4781826799813294</v>
      </c>
      <c r="AS165" t="str">
        <f t="shared" si="163"/>
        <v>-0.000166666666666667</v>
      </c>
      <c r="AT165" t="str">
        <f t="shared" si="164"/>
        <v>0.0000234012589976707i</v>
      </c>
      <c r="AU165">
        <f t="shared" si="188"/>
        <v>2.34012589976707E-5</v>
      </c>
      <c r="AV165">
        <f t="shared" si="189"/>
        <v>1.5707963267948966</v>
      </c>
      <c r="AW165" t="str">
        <f t="shared" si="165"/>
        <v>1+0.00426341938987253i</v>
      </c>
      <c r="AX165">
        <f t="shared" si="190"/>
        <v>1.0000090883311481</v>
      </c>
      <c r="AY165">
        <f t="shared" si="191"/>
        <v>4.2633935584587062E-3</v>
      </c>
      <c r="AZ165" t="str">
        <f t="shared" si="166"/>
        <v>1+0.0867812140325664i</v>
      </c>
      <c r="BA165">
        <f t="shared" si="192"/>
        <v>1.0037584266689701</v>
      </c>
      <c r="BB165">
        <f t="shared" si="193"/>
        <v>8.6564343968749236E-2</v>
      </c>
      <c r="BC165" s="42" t="str">
        <f t="shared" si="194"/>
        <v>-0.587691277445571+7.12462950298711i</v>
      </c>
      <c r="BD165">
        <f t="shared" si="195"/>
        <v>17.084695672216483</v>
      </c>
      <c r="BE165" s="44">
        <f t="shared" si="196"/>
        <v>94.715497108425126</v>
      </c>
      <c r="BF165" s="42" t="str">
        <f t="shared" si="197"/>
        <v>21.1391169436749+110.912756162221i</v>
      </c>
      <c r="BG165" s="20">
        <f t="shared" si="198"/>
        <v>41.054591477298771</v>
      </c>
      <c r="BH165" s="44">
        <f t="shared" si="199"/>
        <v>79.20928277285104</v>
      </c>
      <c r="BI165" s="42" t="str">
        <f t="shared" si="152"/>
        <v>15.6996968248365+325.346157540544i</v>
      </c>
      <c r="BJ165" s="20">
        <f t="shared" si="200"/>
        <v>50.257014776872296</v>
      </c>
      <c r="BK165" s="44">
        <f t="shared" si="153"/>
        <v>87.23731442844381</v>
      </c>
      <c r="BL165">
        <f t="shared" si="201"/>
        <v>41.054591477298771</v>
      </c>
      <c r="BM165" s="44">
        <f t="shared" si="202"/>
        <v>79.20928277285104</v>
      </c>
    </row>
    <row r="166" spans="14:65" x14ac:dyDescent="0.35">
      <c r="N166" s="9">
        <v>48</v>
      </c>
      <c r="O166" s="35">
        <f t="shared" si="154"/>
        <v>301.99517204020168</v>
      </c>
      <c r="P166" s="34" t="str">
        <f t="shared" si="155"/>
        <v>16.3709677419355</v>
      </c>
      <c r="Q166" s="4" t="str">
        <f t="shared" si="156"/>
        <v>1+0.279114897508964i</v>
      </c>
      <c r="R166" s="4">
        <f t="shared" si="167"/>
        <v>1.0382220985952089</v>
      </c>
      <c r="S166" s="4">
        <f t="shared" si="168"/>
        <v>0.27218775933149947</v>
      </c>
      <c r="T166" s="4" t="str">
        <f t="shared" si="157"/>
        <v>1+0.000303598660448347i</v>
      </c>
      <c r="U166" s="4">
        <f t="shared" si="169"/>
        <v>1.0000000460860723</v>
      </c>
      <c r="V166" s="4">
        <f t="shared" si="170"/>
        <v>3.0359865112056743E-4</v>
      </c>
      <c r="W166" t="str">
        <f t="shared" si="158"/>
        <v>1-0.00397311512270413i</v>
      </c>
      <c r="X166" s="4">
        <f t="shared" si="171"/>
        <v>1.0000078927907412</v>
      </c>
      <c r="Y166" s="4">
        <f t="shared" si="172"/>
        <v>-3.9730942168421319E-3</v>
      </c>
      <c r="Z166" t="str">
        <f t="shared" si="159"/>
        <v>0.999999921080728+0.000782461562122817i</v>
      </c>
      <c r="AA166" s="4">
        <f t="shared" si="173"/>
        <v>1.0000002272037534</v>
      </c>
      <c r="AB166" s="4">
        <f t="shared" si="174"/>
        <v>7.8246146418779403E-4</v>
      </c>
      <c r="AC166" s="48" t="str">
        <f t="shared" si="175"/>
        <v>15.1688572405874-4.30673720025137i</v>
      </c>
      <c r="AD166" s="20">
        <f t="shared" si="176"/>
        <v>23.955748665188608</v>
      </c>
      <c r="AE166" s="44">
        <f t="shared" si="177"/>
        <v>-15.850288193204936</v>
      </c>
      <c r="AF166" t="str">
        <f t="shared" si="178"/>
        <v>45.9520231294187</v>
      </c>
      <c r="AG166" t="str">
        <f t="shared" si="160"/>
        <v>1+0.133940585491918i</v>
      </c>
      <c r="AH166">
        <f t="shared" si="179"/>
        <v>1.0089301662860111</v>
      </c>
      <c r="AI166">
        <f t="shared" si="180"/>
        <v>0.13314812989892605</v>
      </c>
      <c r="AJ166" t="str">
        <f t="shared" si="161"/>
        <v>1+0.000303598660448347i</v>
      </c>
      <c r="AK166">
        <f t="shared" si="181"/>
        <v>1.0000000460860723</v>
      </c>
      <c r="AL166">
        <f t="shared" si="182"/>
        <v>3.0359865112056743E-4</v>
      </c>
      <c r="AM166" t="str">
        <f t="shared" si="162"/>
        <v>1-0.000679249742785202i</v>
      </c>
      <c r="AN166">
        <f t="shared" si="183"/>
        <v>1.0000002306900799</v>
      </c>
      <c r="AO166">
        <f t="shared" si="184"/>
        <v>-6.7924963832110055E-4</v>
      </c>
      <c r="AP166" s="42" t="str">
        <f t="shared" si="185"/>
        <v>45.1399069707777-6.06332749594082i</v>
      </c>
      <c r="AQ166">
        <f t="shared" si="186"/>
        <v>33.168872994094819</v>
      </c>
      <c r="AR166" s="44">
        <f t="shared" si="187"/>
        <v>-7.6503491094046367</v>
      </c>
      <c r="AS166" t="str">
        <f t="shared" si="163"/>
        <v>-0.000166666666666667</v>
      </c>
      <c r="AT166" t="str">
        <f t="shared" si="164"/>
        <v>0.0000239463443428633i</v>
      </c>
      <c r="AU166">
        <f t="shared" si="188"/>
        <v>2.3946344342863299E-5</v>
      </c>
      <c r="AV166">
        <f t="shared" si="189"/>
        <v>1.5707963267948966</v>
      </c>
      <c r="AW166" t="str">
        <f t="shared" si="165"/>
        <v>1+0.00436272718481044i</v>
      </c>
      <c r="AX166">
        <f t="shared" si="190"/>
        <v>1.0000095166489613</v>
      </c>
      <c r="AY166">
        <f t="shared" si="191"/>
        <v>4.3626995059660723E-3</v>
      </c>
      <c r="AZ166" t="str">
        <f t="shared" si="166"/>
        <v>1+0.0888026081811414i</v>
      </c>
      <c r="BA166">
        <f t="shared" si="192"/>
        <v>1.0039352086762239</v>
      </c>
      <c r="BB166">
        <f t="shared" si="193"/>
        <v>8.8570276888381927E-2</v>
      </c>
      <c r="BC166" s="42" t="str">
        <f t="shared" si="194"/>
        <v>-0.587690774013186+6.96256852980362i</v>
      </c>
      <c r="BD166">
        <f t="shared" si="195"/>
        <v>16.886221576751048</v>
      </c>
      <c r="BE166" s="44">
        <f t="shared" si="196"/>
        <v>94.824738787033709</v>
      </c>
      <c r="BF166" s="42" t="str">
        <f t="shared" si="197"/>
        <v>21.0713554439884+108.145237775085i</v>
      </c>
      <c r="BG166" s="20">
        <f t="shared" si="198"/>
        <v>40.841970241939684</v>
      </c>
      <c r="BH166" s="44">
        <f t="shared" si="199"/>
        <v>78.97445059382882</v>
      </c>
      <c r="BI166" s="42" t="str">
        <f t="shared" si="152"/>
        <v>15.688026342591+317.853057342185i</v>
      </c>
      <c r="BJ166" s="20">
        <f t="shared" si="200"/>
        <v>50.055094570845867</v>
      </c>
      <c r="BK166" s="44">
        <f t="shared" si="153"/>
        <v>87.17438967762908</v>
      </c>
      <c r="BL166">
        <f t="shared" si="201"/>
        <v>40.841970241939684</v>
      </c>
      <c r="BM166" s="44">
        <f t="shared" si="202"/>
        <v>78.97445059382882</v>
      </c>
    </row>
    <row r="167" spans="14:65" x14ac:dyDescent="0.35">
      <c r="N167" s="9">
        <v>49</v>
      </c>
      <c r="O167" s="35">
        <f t="shared" si="154"/>
        <v>309.02954325135937</v>
      </c>
      <c r="P167" s="34" t="str">
        <f t="shared" si="155"/>
        <v>16.3709677419355</v>
      </c>
      <c r="Q167" s="4" t="str">
        <f t="shared" si="156"/>
        <v>1+0.285616318662084i</v>
      </c>
      <c r="R167" s="4">
        <f t="shared" si="167"/>
        <v>1.0399887891155755</v>
      </c>
      <c r="S167" s="4">
        <f t="shared" si="168"/>
        <v>0.27820908334902122</v>
      </c>
      <c r="T167" s="4" t="str">
        <f t="shared" si="157"/>
        <v>1+0.000310670381702618i</v>
      </c>
      <c r="U167" s="4">
        <f t="shared" si="169"/>
        <v>1.0000000482580418</v>
      </c>
      <c r="V167" s="4">
        <f t="shared" si="170"/>
        <v>3.1067037170772214E-4</v>
      </c>
      <c r="W167" t="str">
        <f t="shared" si="158"/>
        <v>1-0.00406566086258782i</v>
      </c>
      <c r="X167" s="4">
        <f t="shared" si="171"/>
        <v>1.0000082647649715</v>
      </c>
      <c r="Y167" s="4">
        <f t="shared" si="172"/>
        <v>-4.0656384615630949E-3</v>
      </c>
      <c r="Z167" t="str">
        <f t="shared" si="159"/>
        <v>0.999999917361377+0.00080068743324933i</v>
      </c>
      <c r="AA167" s="4">
        <f t="shared" si="173"/>
        <v>1.0000002379115351</v>
      </c>
      <c r="AB167" s="4">
        <f t="shared" si="174"/>
        <v>8.0068732831006361E-4</v>
      </c>
      <c r="AC167" s="48" t="str">
        <f t="shared" si="175"/>
        <v>15.1164765604326-4.39209321849655i</v>
      </c>
      <c r="AD167" s="20">
        <f t="shared" si="176"/>
        <v>23.940984040034028</v>
      </c>
      <c r="AE167" s="44">
        <f t="shared" si="177"/>
        <v>-16.201226126478993</v>
      </c>
      <c r="AF167" t="str">
        <f t="shared" si="178"/>
        <v>45.9520231294187</v>
      </c>
      <c r="AG167" t="str">
        <f t="shared" si="160"/>
        <v>1+0.13706046251586i</v>
      </c>
      <c r="AH167">
        <f t="shared" si="179"/>
        <v>1.0093490825205427</v>
      </c>
      <c r="AI167">
        <f t="shared" si="180"/>
        <v>0.13621175525457804</v>
      </c>
      <c r="AJ167" t="str">
        <f t="shared" si="161"/>
        <v>1+0.000310670381702618i</v>
      </c>
      <c r="AK167">
        <f t="shared" si="181"/>
        <v>1.0000000482580418</v>
      </c>
      <c r="AL167">
        <f t="shared" si="182"/>
        <v>3.1067037170772214E-4</v>
      </c>
      <c r="AM167" t="str">
        <f t="shared" si="162"/>
        <v>1-0.000695071501800602i</v>
      </c>
      <c r="AN167">
        <f t="shared" si="183"/>
        <v>1.0000002415621672</v>
      </c>
      <c r="AO167">
        <f t="shared" si="184"/>
        <v>-6.9507138986530206E-4</v>
      </c>
      <c r="AP167" s="42" t="str">
        <f t="shared" si="185"/>
        <v>45.1023388538766-6.19941143302109i</v>
      </c>
      <c r="AQ167">
        <f t="shared" si="186"/>
        <v>33.16526740195448</v>
      </c>
      <c r="AR167" s="44">
        <f t="shared" si="187"/>
        <v>-7.8263832521371999</v>
      </c>
      <c r="AS167" t="str">
        <f t="shared" si="163"/>
        <v>-0.000166666666666667</v>
      </c>
      <c r="AT167" t="str">
        <f t="shared" si="164"/>
        <v>0.000024504126356794i</v>
      </c>
      <c r="AU167">
        <f t="shared" si="188"/>
        <v>2.4504126356794E-5</v>
      </c>
      <c r="AV167">
        <f t="shared" si="189"/>
        <v>1.5707963267948966</v>
      </c>
      <c r="AW167" t="str">
        <f t="shared" si="165"/>
        <v>1+0.00446434815544927i</v>
      </c>
      <c r="AX167">
        <f t="shared" si="190"/>
        <v>1.0000099651525745</v>
      </c>
      <c r="AY167">
        <f t="shared" si="191"/>
        <v>4.4643184970491459E-3</v>
      </c>
      <c r="AZ167" t="str">
        <f t="shared" si="166"/>
        <v>1+0.0908710866480155i</v>
      </c>
      <c r="BA167">
        <f t="shared" si="192"/>
        <v>1.0041202888043799</v>
      </c>
      <c r="BB167">
        <f t="shared" si="193"/>
        <v>9.062219432086531E-2</v>
      </c>
      <c r="BC167" s="42" t="str">
        <f t="shared" si="194"/>
        <v>-0.587690246855683+6.804199202408i</v>
      </c>
      <c r="BD167">
        <f t="shared" si="195"/>
        <v>16.687818817732083</v>
      </c>
      <c r="BE167" s="44">
        <f t="shared" si="196"/>
        <v>94.936482656516887</v>
      </c>
      <c r="BF167" s="42" t="str">
        <f t="shared" si="197"/>
        <v>21.000871332807+105.436708103506i</v>
      </c>
      <c r="BG167" s="20">
        <f t="shared" si="198"/>
        <v>40.628802857766104</v>
      </c>
      <c r="BH167" s="44">
        <f t="shared" si="199"/>
        <v>78.735256530037901</v>
      </c>
      <c r="BI167" s="42" t="str">
        <f t="shared" si="152"/>
        <v>15.6758256731577+310.528631691715i</v>
      </c>
      <c r="BJ167" s="20">
        <f t="shared" si="200"/>
        <v>49.853086219686567</v>
      </c>
      <c r="BK167" s="44">
        <f t="shared" si="153"/>
        <v>87.110099404379696</v>
      </c>
      <c r="BL167">
        <f t="shared" si="201"/>
        <v>40.628802857766104</v>
      </c>
      <c r="BM167" s="44">
        <f t="shared" si="202"/>
        <v>78.735256530037901</v>
      </c>
    </row>
    <row r="168" spans="14:65" x14ac:dyDescent="0.35">
      <c r="N168" s="9">
        <v>50</v>
      </c>
      <c r="O168" s="35">
        <f t="shared" si="154"/>
        <v>316.22776601683825</v>
      </c>
      <c r="P168" s="34" t="str">
        <f t="shared" si="155"/>
        <v>16.3709677419355</v>
      </c>
      <c r="Q168" s="4" t="str">
        <f t="shared" si="156"/>
        <v>1+0.292269177367937i</v>
      </c>
      <c r="R168" s="4">
        <f t="shared" si="167"/>
        <v>1.0418355302250593</v>
      </c>
      <c r="S168" s="4">
        <f t="shared" si="168"/>
        <v>0.28434929309882961</v>
      </c>
      <c r="T168" s="4" t="str">
        <f t="shared" si="157"/>
        <v>1+0.000317906824505475i</v>
      </c>
      <c r="U168" s="4">
        <f t="shared" si="169"/>
        <v>1.0000000505323732</v>
      </c>
      <c r="V168" s="4">
        <f t="shared" si="170"/>
        <v>3.1790681379575113E-4</v>
      </c>
      <c r="W168" t="str">
        <f t="shared" si="158"/>
        <v>1-0.00416036226967624i</v>
      </c>
      <c r="X168" s="4">
        <f t="shared" si="171"/>
        <v>1.0000086542696593</v>
      </c>
      <c r="Y168" s="4">
        <f t="shared" si="172"/>
        <v>-4.1603382665570086E-3</v>
      </c>
      <c r="Z168" t="str">
        <f t="shared" si="159"/>
        <v>0.999999913466739+0.000819337839451303i</v>
      </c>
      <c r="AA168" s="4">
        <f t="shared" si="173"/>
        <v>1.0000002491239592</v>
      </c>
      <c r="AB168" s="4">
        <f t="shared" si="174"/>
        <v>8.1933772700685441E-4</v>
      </c>
      <c r="AC168" s="48" t="str">
        <f t="shared" si="175"/>
        <v>15.0620070663194-4.47847845653728i</v>
      </c>
      <c r="AD168" s="20">
        <f t="shared" si="176"/>
        <v>23.925577213667061</v>
      </c>
      <c r="AE168" s="44">
        <f t="shared" si="177"/>
        <v>-16.559114101156215</v>
      </c>
      <c r="AF168" t="str">
        <f t="shared" si="178"/>
        <v>45.9520231294187</v>
      </c>
      <c r="AG168" t="str">
        <f t="shared" si="160"/>
        <v>1+0.140253010811239i</v>
      </c>
      <c r="AH168">
        <f t="shared" si="179"/>
        <v>1.0097875554004503</v>
      </c>
      <c r="AI168">
        <f t="shared" si="180"/>
        <v>0.13934407998403761</v>
      </c>
      <c r="AJ168" t="str">
        <f t="shared" si="161"/>
        <v>1+0.000317906824505475i</v>
      </c>
      <c r="AK168">
        <f t="shared" si="181"/>
        <v>1.0000000505323732</v>
      </c>
      <c r="AL168">
        <f t="shared" si="182"/>
        <v>3.1790681379575113E-4</v>
      </c>
      <c r="AM168" t="str">
        <f t="shared" si="162"/>
        <v>1-0.000711261796926614i</v>
      </c>
      <c r="AN168">
        <f t="shared" si="183"/>
        <v>1.0000002529466399</v>
      </c>
      <c r="AO168">
        <f t="shared" si="184"/>
        <v>-7.1126167698578084E-4</v>
      </c>
      <c r="AP168" s="42" t="str">
        <f t="shared" si="185"/>
        <v>45.0630669810288-6.33830627726859i</v>
      </c>
      <c r="AQ168">
        <f t="shared" si="186"/>
        <v>33.161495089315018</v>
      </c>
      <c r="AR168" s="44">
        <f t="shared" si="187"/>
        <v>-8.0063652567304651</v>
      </c>
      <c r="AS168" t="str">
        <f t="shared" si="163"/>
        <v>-0.000166666666666667</v>
      </c>
      <c r="AT168" t="str">
        <f t="shared" si="164"/>
        <v>0.0000250749007828694i</v>
      </c>
      <c r="AU168">
        <f t="shared" si="188"/>
        <v>2.5074900782869401E-5</v>
      </c>
      <c r="AV168">
        <f t="shared" si="189"/>
        <v>1.5707963267948966</v>
      </c>
      <c r="AW168" t="str">
        <f t="shared" si="165"/>
        <v>1+0.00456833618257274i</v>
      </c>
      <c r="AX168">
        <f t="shared" si="190"/>
        <v>1.0000104347932961</v>
      </c>
      <c r="AY168">
        <f t="shared" si="191"/>
        <v>4.5683044030423543E-3</v>
      </c>
      <c r="AZ168" t="str">
        <f t="shared" si="166"/>
        <v>1+0.0929877461678514i</v>
      </c>
      <c r="BA168">
        <f t="shared" si="192"/>
        <v>1.0043140549337028</v>
      </c>
      <c r="BB168">
        <f t="shared" si="193"/>
        <v>9.2721115067159007E-2</v>
      </c>
      <c r="BC168" s="42" t="str">
        <f t="shared" si="194"/>
        <v>-0.58768969485503+6.64943755127186i</v>
      </c>
      <c r="BD168">
        <f t="shared" si="195"/>
        <v>16.489490701920648</v>
      </c>
      <c r="BE168" s="44">
        <f t="shared" si="196"/>
        <v>95.050784003269726</v>
      </c>
      <c r="BF168" s="42" t="str">
        <f t="shared" si="197"/>
        <v>20.9275764847515+102.785831021844i</v>
      </c>
      <c r="BG168" s="20">
        <f t="shared" si="198"/>
        <v>40.415067915587748</v>
      </c>
      <c r="BH168" s="44">
        <f t="shared" si="199"/>
        <v>78.491669902113543</v>
      </c>
      <c r="BI168" s="42" t="str">
        <f t="shared" si="152"/>
        <v>15.6630716882193+303.369007041118i</v>
      </c>
      <c r="BJ168" s="20">
        <f t="shared" si="200"/>
        <v>49.650985791235684</v>
      </c>
      <c r="BK168" s="44">
        <f t="shared" si="153"/>
        <v>87.044418746539264</v>
      </c>
      <c r="BL168">
        <f t="shared" si="201"/>
        <v>40.415067915587748</v>
      </c>
      <c r="BM168" s="44">
        <f t="shared" si="202"/>
        <v>78.491669902113543</v>
      </c>
    </row>
    <row r="169" spans="14:65" x14ac:dyDescent="0.35">
      <c r="N169" s="9">
        <v>51</v>
      </c>
      <c r="O169" s="35">
        <f t="shared" si="154"/>
        <v>323.59365692962825</v>
      </c>
      <c r="P169" s="34" t="str">
        <f t="shared" si="155"/>
        <v>16.3709677419355</v>
      </c>
      <c r="Q169" s="4" t="str">
        <f t="shared" si="156"/>
        <v>1+0.29907700106027i</v>
      </c>
      <c r="R169" s="4">
        <f t="shared" si="167"/>
        <v>1.0437658035034509</v>
      </c>
      <c r="S169" s="4">
        <f t="shared" si="168"/>
        <v>0.29060979149267169</v>
      </c>
      <c r="T169" s="4" t="str">
        <f t="shared" si="157"/>
        <v>1+0.00032531182571468i</v>
      </c>
      <c r="U169" s="4">
        <f t="shared" si="169"/>
        <v>1.0000000529138906</v>
      </c>
      <c r="V169" s="4">
        <f t="shared" si="170"/>
        <v>3.2531181423900419E-4</v>
      </c>
      <c r="W169" t="str">
        <f t="shared" si="158"/>
        <v>1-0.00425726955590895i</v>
      </c>
      <c r="X169" s="4">
        <f t="shared" si="171"/>
        <v>1.0000090621309747</v>
      </c>
      <c r="Y169" s="4">
        <f t="shared" si="172"/>
        <v>-4.2572438361158961E-3</v>
      </c>
      <c r="Z169" t="str">
        <f t="shared" si="159"/>
        <v>0.999999909388552+0.000838422669420971i</v>
      </c>
      <c r="AA169" s="4">
        <f t="shared" si="173"/>
        <v>1.0000002608648084</v>
      </c>
      <c r="AB169" s="4">
        <f t="shared" si="174"/>
        <v>8.3842254893457544E-4</v>
      </c>
      <c r="AC169" s="48" t="str">
        <f t="shared" si="175"/>
        <v>15.0053825469538-4.56586052797582i</v>
      </c>
      <c r="AD169" s="20">
        <f t="shared" si="176"/>
        <v>23.909502678496551</v>
      </c>
      <c r="AE169" s="44">
        <f t="shared" si="177"/>
        <v>-16.924035721395413</v>
      </c>
      <c r="AF169" t="str">
        <f t="shared" si="178"/>
        <v>45.9520231294187</v>
      </c>
      <c r="AG169" t="str">
        <f t="shared" si="160"/>
        <v>1+0.143519923109417i</v>
      </c>
      <c r="AH169">
        <f t="shared" si="179"/>
        <v>1.0102464888973051</v>
      </c>
      <c r="AI169">
        <f t="shared" si="180"/>
        <v>0.1425465188967735</v>
      </c>
      <c r="AJ169" t="str">
        <f t="shared" si="161"/>
        <v>1+0.00032531182571468i</v>
      </c>
      <c r="AK169">
        <f t="shared" si="181"/>
        <v>1.0000000529138906</v>
      </c>
      <c r="AL169">
        <f t="shared" si="182"/>
        <v>3.2531181423900419E-4</v>
      </c>
      <c r="AM169" t="str">
        <f t="shared" si="162"/>
        <v>1-0.000727829212472021i</v>
      </c>
      <c r="AN169">
        <f t="shared" si="183"/>
        <v>1.0000002648676463</v>
      </c>
      <c r="AO169">
        <f t="shared" si="184"/>
        <v>-7.278290839531046E-4</v>
      </c>
      <c r="AP169" s="42" t="str">
        <f t="shared" si="185"/>
        <v>45.0220173083323-6.48005295058896i</v>
      </c>
      <c r="AQ169">
        <f t="shared" si="186"/>
        <v>33.157548502067925</v>
      </c>
      <c r="AR169" s="44">
        <f t="shared" si="187"/>
        <v>-8.1903764578027047</v>
      </c>
      <c r="AS169" t="str">
        <f t="shared" si="163"/>
        <v>-0.000166666666666667</v>
      </c>
      <c r="AT169" t="str">
        <f t="shared" si="164"/>
        <v>0.0000256589702532454i</v>
      </c>
      <c r="AU169">
        <f t="shared" si="188"/>
        <v>2.56589702532454E-5</v>
      </c>
      <c r="AV169">
        <f t="shared" si="189"/>
        <v>1.5707963267948966</v>
      </c>
      <c r="AW169" t="str">
        <f t="shared" si="165"/>
        <v>1+0.00467474640200929i</v>
      </c>
      <c r="AX169">
        <f t="shared" si="190"/>
        <v>1.0000109265672665</v>
      </c>
      <c r="AY169">
        <f t="shared" si="191"/>
        <v>4.674712349649065E-3</v>
      </c>
      <c r="AZ169" t="str">
        <f t="shared" si="166"/>
        <v>1+0.0951537090215438i</v>
      </c>
      <c r="BA169">
        <f t="shared" si="192"/>
        <v>1.0045169129191189</v>
      </c>
      <c r="BB169">
        <f t="shared" si="193"/>
        <v>9.4868077988127533E-2</v>
      </c>
      <c r="BC169" s="42" t="str">
        <f t="shared" si="194"/>
        <v>-0.587689116840498+6.49820151970338i</v>
      </c>
      <c r="BD169">
        <f t="shared" si="195"/>
        <v>16.29124068666135</v>
      </c>
      <c r="BE169" s="44">
        <f t="shared" si="196"/>
        <v>95.16769919116507</v>
      </c>
      <c r="BF169" s="42" t="str">
        <f t="shared" si="197"/>
        <v>20.851381804773+100.191306211649i</v>
      </c>
      <c r="BG169" s="20">
        <f t="shared" si="198"/>
        <v>40.200743365157919</v>
      </c>
      <c r="BH169" s="44">
        <f t="shared" si="199"/>
        <v>78.243663469769714</v>
      </c>
      <c r="BI169" s="42" t="str">
        <f t="shared" si="152"/>
        <v>15.6497403409641+296.370397888728i</v>
      </c>
      <c r="BJ169" s="20">
        <f t="shared" si="200"/>
        <v>49.448789188729272</v>
      </c>
      <c r="BK169" s="44">
        <f t="shared" si="153"/>
        <v>86.977322733362385</v>
      </c>
      <c r="BL169">
        <f t="shared" si="201"/>
        <v>40.200743365157919</v>
      </c>
      <c r="BM169" s="44">
        <f t="shared" si="202"/>
        <v>78.243663469769714</v>
      </c>
    </row>
    <row r="170" spans="14:65" x14ac:dyDescent="0.35">
      <c r="N170" s="9">
        <v>52</v>
      </c>
      <c r="O170" s="35">
        <f t="shared" si="154"/>
        <v>331.13112148259137</v>
      </c>
      <c r="P170" s="34" t="str">
        <f t="shared" si="155"/>
        <v>16.3709677419355</v>
      </c>
      <c r="Q170" s="4" t="str">
        <f t="shared" si="156"/>
        <v>1+0.306043399337319i</v>
      </c>
      <c r="R170" s="4">
        <f t="shared" si="167"/>
        <v>1.045783229105316</v>
      </c>
      <c r="S170" s="4">
        <f t="shared" si="168"/>
        <v>0.29699193420310149</v>
      </c>
      <c r="T170" s="4" t="str">
        <f t="shared" si="157"/>
        <v>1+0.000332889311559891i</v>
      </c>
      <c r="U170" s="4">
        <f t="shared" si="169"/>
        <v>1.0000000554076454</v>
      </c>
      <c r="V170" s="4">
        <f t="shared" si="170"/>
        <v>3.3288929926348287E-4</v>
      </c>
      <c r="W170" t="str">
        <f t="shared" si="158"/>
        <v>1-0.00435643410281184i</v>
      </c>
      <c r="X170" s="4">
        <f t="shared" si="171"/>
        <v>1.0000094892140234</v>
      </c>
      <c r="Y170" s="4">
        <f t="shared" si="172"/>
        <v>-4.3564065435711804E-3</v>
      </c>
      <c r="Z170" t="str">
        <f t="shared" si="159"/>
        <v>0.999999905118166+0.000857952042187806i</v>
      </c>
      <c r="AA170" s="4">
        <f t="shared" si="173"/>
        <v>1.0000002731589865</v>
      </c>
      <c r="AB170" s="4">
        <f t="shared" si="174"/>
        <v>8.5795191308430882E-4</v>
      </c>
      <c r="AC170" s="48" t="str">
        <f t="shared" si="175"/>
        <v>14.94653619956-4.65420354448446i</v>
      </c>
      <c r="AD170" s="20">
        <f t="shared" si="176"/>
        <v>23.892734127404115</v>
      </c>
      <c r="AE170" s="44">
        <f t="shared" si="177"/>
        <v>-17.29607195980654</v>
      </c>
      <c r="AF170" t="str">
        <f t="shared" si="178"/>
        <v>45.9520231294187</v>
      </c>
      <c r="AG170" t="str">
        <f t="shared" si="160"/>
        <v>1+0.14686293157054i</v>
      </c>
      <c r="AH170">
        <f t="shared" si="179"/>
        <v>1.010726827916175</v>
      </c>
      <c r="AI170">
        <f t="shared" si="180"/>
        <v>0.14582050708698305</v>
      </c>
      <c r="AJ170" t="str">
        <f t="shared" si="161"/>
        <v>1+0.000332889311559891i</v>
      </c>
      <c r="AK170">
        <f t="shared" si="181"/>
        <v>1.0000000554076454</v>
      </c>
      <c r="AL170">
        <f t="shared" si="182"/>
        <v>3.3288929926348287E-4</v>
      </c>
      <c r="AM170" t="str">
        <f t="shared" si="162"/>
        <v>1-0.000744782532699841i</v>
      </c>
      <c r="AN170">
        <f t="shared" si="183"/>
        <v>1.0000002773504721</v>
      </c>
      <c r="AO170">
        <f t="shared" si="184"/>
        <v>-7.4478239498934303E-4</v>
      </c>
      <c r="AP170" s="42" t="str">
        <f t="shared" si="185"/>
        <v>44.9791128779794-6.62469170352696i</v>
      </c>
      <c r="AQ170">
        <f t="shared" si="186"/>
        <v>33.15341975845557</v>
      </c>
      <c r="AR170" s="44">
        <f t="shared" si="187"/>
        <v>-8.3784993585373115</v>
      </c>
      <c r="AS170" t="str">
        <f t="shared" si="163"/>
        <v>-0.000166666666666667</v>
      </c>
      <c r="AT170" t="str">
        <f t="shared" si="164"/>
        <v>0.0000262566444492864i</v>
      </c>
      <c r="AU170">
        <f t="shared" si="188"/>
        <v>2.62566444492864E-5</v>
      </c>
      <c r="AV170">
        <f t="shared" si="189"/>
        <v>1.5707963267948966</v>
      </c>
      <c r="AW170" t="str">
        <f t="shared" si="165"/>
        <v>1+0.00478363523386579i</v>
      </c>
      <c r="AX170">
        <f t="shared" si="190"/>
        <v>1.0000114415175712</v>
      </c>
      <c r="AY170">
        <f t="shared" si="191"/>
        <v>4.7835987461269675E-3</v>
      </c>
      <c r="AZ170" t="str">
        <f t="shared" si="166"/>
        <v>1+0.097370123631268i</v>
      </c>
      <c r="BA170">
        <f t="shared" si="192"/>
        <v>1.0047292874082892</v>
      </c>
      <c r="BB170">
        <f t="shared" si="193"/>
        <v>9.7064142217730784E-2</v>
      </c>
      <c r="BC170" s="42" t="str">
        <f t="shared" si="194"/>
        <v>-0.587688511586201+6.35041092033975i</v>
      </c>
      <c r="BD170">
        <f t="shared" si="195"/>
        <v>16.093072386481882</v>
      </c>
      <c r="BE170" s="44">
        <f t="shared" si="196"/>
        <v>95.287285672096417</v>
      </c>
      <c r="BF170" s="42" t="str">
        <f t="shared" si="197"/>
        <v>20.7721974018894+97.6518686566165i</v>
      </c>
      <c r="BG170" s="20">
        <f t="shared" si="198"/>
        <v>39.985806513885997</v>
      </c>
      <c r="BH170" s="44">
        <f t="shared" si="199"/>
        <v>77.991213712289891</v>
      </c>
      <c r="BI170" s="42" t="str">
        <f t="shared" si="152"/>
        <v>15.6358066382343+289.529104814478i</v>
      </c>
      <c r="BJ170" s="20">
        <f t="shared" si="200"/>
        <v>49.246492144937449</v>
      </c>
      <c r="BK170" s="44">
        <f t="shared" si="153"/>
        <v>86.908786313559119</v>
      </c>
      <c r="BL170">
        <f t="shared" si="201"/>
        <v>39.985806513885997</v>
      </c>
      <c r="BM170" s="44">
        <f t="shared" si="202"/>
        <v>77.991213712289891</v>
      </c>
    </row>
    <row r="171" spans="14:65" x14ac:dyDescent="0.35">
      <c r="N171" s="9">
        <v>53</v>
      </c>
      <c r="O171" s="35">
        <f t="shared" si="154"/>
        <v>338.84415613920277</v>
      </c>
      <c r="P171" s="34" t="str">
        <f t="shared" si="155"/>
        <v>16.3709677419355</v>
      </c>
      <c r="Q171" s="4" t="str">
        <f t="shared" si="156"/>
        <v>1+0.313172065875658i</v>
      </c>
      <c r="R171" s="4">
        <f t="shared" si="167"/>
        <v>1.0478915701754774</v>
      </c>
      <c r="S171" s="4">
        <f t="shared" si="168"/>
        <v>0.30349702470923079</v>
      </c>
      <c r="T171" s="4" t="str">
        <f t="shared" si="157"/>
        <v>1+0.0003406432997244i</v>
      </c>
      <c r="U171" s="4">
        <f t="shared" si="169"/>
        <v>1.000000058018927</v>
      </c>
      <c r="V171" s="4">
        <f t="shared" si="170"/>
        <v>3.4064328654856131E-4</v>
      </c>
      <c r="W171" t="str">
        <f t="shared" si="158"/>
        <v>1-0.00445790848874023i</v>
      </c>
      <c r="X171" s="4">
        <f t="shared" si="171"/>
        <v>1.0000099364246808</v>
      </c>
      <c r="Y171" s="4">
        <f t="shared" si="172"/>
        <v>-4.4578789584976729E-3</v>
      </c>
      <c r="Z171" t="str">
        <f t="shared" si="159"/>
        <v>0.999999900646523+0.00087793631248374i</v>
      </c>
      <c r="AA171" s="4">
        <f t="shared" si="173"/>
        <v>1.0000002860325716</v>
      </c>
      <c r="AB171" s="4">
        <f t="shared" si="174"/>
        <v>8.7793617414685249E-4</v>
      </c>
      <c r="AC171" s="48" t="str">
        <f t="shared" si="175"/>
        <v>14.8854007731153-4.74346796249673i</v>
      </c>
      <c r="AD171" s="20">
        <f t="shared" si="176"/>
        <v>23.87524444749377</v>
      </c>
      <c r="AE171" s="44">
        <f t="shared" si="177"/>
        <v>-17.675300875340461</v>
      </c>
      <c r="AF171" t="str">
        <f t="shared" si="178"/>
        <v>45.9520231294187</v>
      </c>
      <c r="AG171" t="str">
        <f t="shared" si="160"/>
        <v>1+0.150283808701941i</v>
      </c>
      <c r="AH171">
        <f t="shared" si="179"/>
        <v>1.0112295600693058</v>
      </c>
      <c r="AI171">
        <f t="shared" si="180"/>
        <v>0.14916749956930561</v>
      </c>
      <c r="AJ171" t="str">
        <f t="shared" si="161"/>
        <v>1+0.0003406432997244i</v>
      </c>
      <c r="AK171">
        <f t="shared" si="181"/>
        <v>1.000000058018927</v>
      </c>
      <c r="AL171">
        <f t="shared" si="182"/>
        <v>3.4064328654856131E-4</v>
      </c>
      <c r="AM171" t="str">
        <f t="shared" si="162"/>
        <v>1-0.000762130746484856i</v>
      </c>
      <c r="AN171">
        <f t="shared" si="183"/>
        <v>1.0000002904215952</v>
      </c>
      <c r="AO171">
        <f t="shared" si="184"/>
        <v>-7.6213059892540121E-4</v>
      </c>
      <c r="AP171" s="42" t="str">
        <f t="shared" si="185"/>
        <v>44.934273732551-6.77226199868564i</v>
      </c>
      <c r="AQ171">
        <f t="shared" si="186"/>
        <v>33.149100636238579</v>
      </c>
      <c r="AR171" s="44">
        <f t="shared" si="187"/>
        <v>-8.5708176099582385</v>
      </c>
      <c r="AS171" t="str">
        <f t="shared" si="163"/>
        <v>-0.000166666666666667</v>
      </c>
      <c r="AT171" t="str">
        <f t="shared" si="164"/>
        <v>0.0000268682402657621i</v>
      </c>
      <c r="AU171">
        <f t="shared" si="188"/>
        <v>2.68682402657621E-5</v>
      </c>
      <c r="AV171">
        <f t="shared" si="189"/>
        <v>1.5707963267948966</v>
      </c>
      <c r="AW171" t="str">
        <f t="shared" si="165"/>
        <v>1+0.00489506041244215i</v>
      </c>
      <c r="AX171">
        <f t="shared" si="190"/>
        <v>1.0000119807364518</v>
      </c>
      <c r="AY171">
        <f t="shared" si="191"/>
        <v>4.8950213151508952E-3</v>
      </c>
      <c r="AZ171" t="str">
        <f t="shared" si="166"/>
        <v>1+0.0996381651693868i</v>
      </c>
      <c r="BA171">
        <f t="shared" si="192"/>
        <v>1.0049516226955018</v>
      </c>
      <c r="BB171">
        <f t="shared" si="193"/>
        <v>9.9310387364021049E-2</v>
      </c>
      <c r="BC171" s="42" t="str">
        <f t="shared" si="194"/>
        <v>-0.58768787780848+6.20598739263075i</v>
      </c>
      <c r="BD171">
        <f t="shared" si="195"/>
        <v>15.894989579956999</v>
      </c>
      <c r="BE171" s="44">
        <f t="shared" si="196"/>
        <v>95.409601995783021</v>
      </c>
      <c r="BF171" s="42" t="str">
        <f t="shared" si="197"/>
        <v>20.6899327819217+95.1662881525418i</v>
      </c>
      <c r="BG171" s="20">
        <f t="shared" si="198"/>
        <v>39.770234027450769</v>
      </c>
      <c r="BH171" s="44">
        <f t="shared" si="199"/>
        <v>77.734301120442595</v>
      </c>
      <c r="BI171" s="42" t="str">
        <f t="shared" si="152"/>
        <v>15.6212446126872+282.841512563201i</v>
      </c>
      <c r="BJ171" s="20">
        <f t="shared" si="200"/>
        <v>49.044090216195571</v>
      </c>
      <c r="BK171" s="44">
        <f t="shared" si="153"/>
        <v>86.838784385824781</v>
      </c>
      <c r="BL171">
        <f t="shared" si="201"/>
        <v>39.770234027450769</v>
      </c>
      <c r="BM171" s="44">
        <f t="shared" si="202"/>
        <v>77.734301120442595</v>
      </c>
    </row>
    <row r="172" spans="14:65" x14ac:dyDescent="0.35">
      <c r="N172" s="9">
        <v>54</v>
      </c>
      <c r="O172" s="35">
        <f t="shared" si="154"/>
        <v>346.73685045253183</v>
      </c>
      <c r="P172" s="34" t="str">
        <f t="shared" si="155"/>
        <v>16.3709677419355</v>
      </c>
      <c r="Q172" s="4" t="str">
        <f t="shared" si="156"/>
        <v>1+0.320466780388648i</v>
      </c>
      <c r="R172" s="4">
        <f t="shared" si="167"/>
        <v>1.0500947373130989</v>
      </c>
      <c r="S172" s="4">
        <f t="shared" si="168"/>
        <v>0.31012630913145101</v>
      </c>
      <c r="T172" s="4" t="str">
        <f t="shared" si="157"/>
        <v>1+0.000348577901475371i</v>
      </c>
      <c r="U172" s="4">
        <f t="shared" si="169"/>
        <v>1.0000000607532749</v>
      </c>
      <c r="V172" s="4">
        <f t="shared" si="170"/>
        <v>3.4857788735720554E-4</v>
      </c>
      <c r="W172" t="str">
        <f t="shared" si="158"/>
        <v>1-0.00456174651675677i</v>
      </c>
      <c r="X172" s="4">
        <f t="shared" si="171"/>
        <v>1.0000104047115126</v>
      </c>
      <c r="Y172" s="4">
        <f t="shared" si="172"/>
        <v>-4.5617148745495627E-3</v>
      </c>
      <c r="Z172" t="str">
        <f t="shared" si="159"/>
        <v>0.999999895964138+0.000898386076233418i</v>
      </c>
      <c r="AA172" s="4">
        <f t="shared" si="173"/>
        <v>1.0000002995128694</v>
      </c>
      <c r="AB172" s="4">
        <f t="shared" si="174"/>
        <v>8.9838592800277448E-4</v>
      </c>
      <c r="AC172" s="48" t="str">
        <f t="shared" si="175"/>
        <v>14.8219087263359-4.83361043179303i</v>
      </c>
      <c r="AD172" s="20">
        <f t="shared" si="176"/>
        <v>23.857005715653244</v>
      </c>
      <c r="AE172" s="44">
        <f t="shared" si="177"/>
        <v>-18.06179731912675</v>
      </c>
      <c r="AF172" t="str">
        <f t="shared" si="178"/>
        <v>45.9520231294187</v>
      </c>
      <c r="AG172" t="str">
        <f t="shared" si="160"/>
        <v>1+0.153784368297957i</v>
      </c>
      <c r="AH172">
        <f t="shared" si="179"/>
        <v>1.0117557175192051</v>
      </c>
      <c r="AI172">
        <f t="shared" si="180"/>
        <v>0.15258897085426859</v>
      </c>
      <c r="AJ172" t="str">
        <f t="shared" si="161"/>
        <v>1+0.000348577901475371i</v>
      </c>
      <c r="AK172">
        <f t="shared" si="181"/>
        <v>1.0000000607532749</v>
      </c>
      <c r="AL172">
        <f t="shared" si="182"/>
        <v>3.4857788735720554E-4</v>
      </c>
      <c r="AM172" t="str">
        <f t="shared" si="162"/>
        <v>1-0.000779883052079654i</v>
      </c>
      <c r="AN172">
        <f t="shared" si="183"/>
        <v>1.0000003041087413</v>
      </c>
      <c r="AO172">
        <f t="shared" si="184"/>
        <v>-7.7988289396685223E-4</v>
      </c>
      <c r="AP172" s="42" t="str">
        <f t="shared" si="185"/>
        <v>44.8874168297028-6.92280238593934i</v>
      </c>
      <c r="AQ172">
        <f t="shared" si="186"/>
        <v>33.144582559492044</v>
      </c>
      <c r="AR172" s="44">
        <f t="shared" si="187"/>
        <v>-8.7674159867559212</v>
      </c>
      <c r="AS172" t="str">
        <f t="shared" si="163"/>
        <v>-0.000166666666666667</v>
      </c>
      <c r="AT172" t="str">
        <f t="shared" si="164"/>
        <v>0.00002749408197887i</v>
      </c>
      <c r="AU172">
        <f t="shared" si="188"/>
        <v>2.749408197887E-5</v>
      </c>
      <c r="AV172">
        <f t="shared" si="189"/>
        <v>1.5707963267948966</v>
      </c>
      <c r="AW172" t="str">
        <f t="shared" si="165"/>
        <v>1+0.005009081016843i</v>
      </c>
      <c r="AX172">
        <f t="shared" si="190"/>
        <v>1.0000125453676236</v>
      </c>
      <c r="AY172">
        <f t="shared" si="191"/>
        <v>5.0090391233690241E-3</v>
      </c>
      <c r="AZ172" t="str">
        <f t="shared" si="166"/>
        <v>1+0.101959036181546i</v>
      </c>
      <c r="BA172">
        <f t="shared" si="192"/>
        <v>1.0051843836128125</v>
      </c>
      <c r="BB172">
        <f t="shared" si="193"/>
        <v>0.10160791369656205</v>
      </c>
      <c r="BC172" s="42" t="str">
        <f t="shared" si="194"/>
        <v>-0.587687214163203+6.06485436129076i</v>
      </c>
      <c r="BD172">
        <f t="shared" si="195"/>
        <v>15.696996216845021</v>
      </c>
      <c r="BE172" s="44">
        <f t="shared" si="196"/>
        <v>95.534707818757553</v>
      </c>
      <c r="BF172" s="42" t="str">
        <f t="shared" si="197"/>
        <v>20.6044970600789+92.7333688305825i</v>
      </c>
      <c r="BG172" s="20">
        <f t="shared" si="198"/>
        <v>39.554001932498267</v>
      </c>
      <c r="BH172" s="44">
        <f t="shared" si="199"/>
        <v>77.472910499630785</v>
      </c>
      <c r="BI172" s="42" t="str">
        <f t="shared" si="152"/>
        <v>15.6060272950878+276.304088175094i</v>
      </c>
      <c r="BJ172" s="20">
        <f t="shared" si="200"/>
        <v>48.841578776337052</v>
      </c>
      <c r="BK172" s="44">
        <f t="shared" si="153"/>
        <v>86.767291832001646</v>
      </c>
      <c r="BL172">
        <f t="shared" si="201"/>
        <v>39.554001932498267</v>
      </c>
      <c r="BM172" s="44">
        <f t="shared" si="202"/>
        <v>77.472910499630785</v>
      </c>
    </row>
    <row r="173" spans="14:65" x14ac:dyDescent="0.35">
      <c r="N173" s="9">
        <v>55</v>
      </c>
      <c r="O173" s="35">
        <f t="shared" si="154"/>
        <v>354.81338923357566</v>
      </c>
      <c r="P173" s="34" t="str">
        <f t="shared" si="155"/>
        <v>16.3709677419355</v>
      </c>
      <c r="Q173" s="4" t="str">
        <f t="shared" si="156"/>
        <v>1+0.327931410630478i</v>
      </c>
      <c r="R173" s="4">
        <f t="shared" si="167"/>
        <v>1.0523967930766869</v>
      </c>
      <c r="S173" s="4">
        <f t="shared" si="168"/>
        <v>0.31688097085845746</v>
      </c>
      <c r="T173" s="4" t="str">
        <f t="shared" si="157"/>
        <v>1+0.000356697323843678i</v>
      </c>
      <c r="U173" s="4">
        <f t="shared" si="169"/>
        <v>1.0000000636164883</v>
      </c>
      <c r="V173" s="4">
        <f t="shared" si="170"/>
        <v>3.5669730871579122E-4</v>
      </c>
      <c r="W173" t="str">
        <f t="shared" si="158"/>
        <v>1-0.00466800324315834i</v>
      </c>
      <c r="X173" s="4">
        <f t="shared" si="171"/>
        <v>1.0000108950677877</v>
      </c>
      <c r="Y173" s="4">
        <f t="shared" si="172"/>
        <v>-4.6679693379424077E-3</v>
      </c>
      <c r="Z173" t="str">
        <f t="shared" si="159"/>
        <v>0.999999891061078+0.00091931217617226i</v>
      </c>
      <c r="AA173" s="4">
        <f t="shared" si="173"/>
        <v>1.0000003136284734</v>
      </c>
      <c r="AB173" s="4">
        <f t="shared" si="174"/>
        <v>9.1931201734026728E-4</v>
      </c>
      <c r="AC173" s="48" t="str">
        <f t="shared" si="175"/>
        <v>14.755992400998-4.92458364708166i</v>
      </c>
      <c r="AD173" s="20">
        <f t="shared" si="176"/>
        <v>23.83798919610722</v>
      </c>
      <c r="AE173" s="44">
        <f t="shared" si="177"/>
        <v>-18.455632628454442</v>
      </c>
      <c r="AF173" t="str">
        <f t="shared" si="178"/>
        <v>45.9520231294187</v>
      </c>
      <c r="AG173" t="str">
        <f t="shared" si="160"/>
        <v>1+0.157366466401622i</v>
      </c>
      <c r="AH173">
        <f t="shared" si="179"/>
        <v>1.0123063788931357</v>
      </c>
      <c r="AI173">
        <f t="shared" si="180"/>
        <v>0.15608641445923105</v>
      </c>
      <c r="AJ173" t="str">
        <f t="shared" si="161"/>
        <v>1+0.000356697323843678i</v>
      </c>
      <c r="AK173">
        <f t="shared" si="181"/>
        <v>1.0000000636164883</v>
      </c>
      <c r="AL173">
        <f t="shared" si="182"/>
        <v>3.5669730871579122E-4</v>
      </c>
      <c r="AM173" t="str">
        <f t="shared" si="162"/>
        <v>1-0.000798048861991636i</v>
      </c>
      <c r="AN173">
        <f t="shared" si="183"/>
        <v>1.0000003184409423</v>
      </c>
      <c r="AO173">
        <f t="shared" si="184"/>
        <v>-7.980486925707194E-4</v>
      </c>
      <c r="AP173" s="42" t="str">
        <f t="shared" si="185"/>
        <v>44.8384559576124-7.0763503690434i</v>
      </c>
      <c r="AQ173">
        <f t="shared" si="186"/>
        <v>33.13985658503303</v>
      </c>
      <c r="AR173" s="44">
        <f t="shared" si="187"/>
        <v>-8.9683803594208342</v>
      </c>
      <c r="AS173" t="str">
        <f t="shared" si="163"/>
        <v>-0.000166666666666667</v>
      </c>
      <c r="AT173" t="str">
        <f t="shared" si="164"/>
        <v>0.0000281345014181702i</v>
      </c>
      <c r="AU173">
        <f t="shared" si="188"/>
        <v>2.8134501418170201E-5</v>
      </c>
      <c r="AV173">
        <f t="shared" si="189"/>
        <v>1.5707963267948966</v>
      </c>
      <c r="AW173" t="str">
        <f t="shared" si="165"/>
        <v>1+0.00512575750230199i</v>
      </c>
      <c r="AX173">
        <f t="shared" si="190"/>
        <v>1.0000131366087008</v>
      </c>
      <c r="AY173">
        <f t="shared" si="191"/>
        <v>5.1257126126677084E-3</v>
      </c>
      <c r="AZ173" t="str">
        <f t="shared" si="166"/>
        <v>1+0.104333967224276i</v>
      </c>
      <c r="BA173">
        <f t="shared" si="192"/>
        <v>1.0054280564599123</v>
      </c>
      <c r="BB173">
        <f t="shared" si="193"/>
        <v>0.10395784231876874</v>
      </c>
      <c r="BC173" s="42" t="str">
        <f t="shared" si="194"/>
        <v>-0.587686519242895+5.92693699569758i</v>
      </c>
      <c r="BD173">
        <f t="shared" si="195"/>
        <v>15.499096425505511</v>
      </c>
      <c r="BE173" s="44">
        <f t="shared" si="196"/>
        <v>95.662663912449119</v>
      </c>
      <c r="BF173" s="42" t="str">
        <f t="shared" si="197"/>
        <v>20.5157991941785+90.3519486919813i</v>
      </c>
      <c r="BG173" s="20">
        <f t="shared" si="198"/>
        <v>39.337085621612729</v>
      </c>
      <c r="BH173" s="44">
        <f t="shared" si="199"/>
        <v>77.207031283994681</v>
      </c>
      <c r="BI173" s="42" t="str">
        <f t="shared" si="152"/>
        <v>15.5901266868465+269.913379162456i</v>
      </c>
      <c r="BJ173" s="20">
        <f t="shared" si="200"/>
        <v>48.638953010538543</v>
      </c>
      <c r="BK173" s="44">
        <f t="shared" si="153"/>
        <v>86.694283553028285</v>
      </c>
      <c r="BL173">
        <f t="shared" si="201"/>
        <v>39.337085621612729</v>
      </c>
      <c r="BM173" s="44">
        <f t="shared" si="202"/>
        <v>77.207031283994681</v>
      </c>
    </row>
    <row r="174" spans="14:65" x14ac:dyDescent="0.35">
      <c r="N174" s="9">
        <v>56</v>
      </c>
      <c r="O174" s="35">
        <f t="shared" si="154"/>
        <v>363.07805477010152</v>
      </c>
      <c r="P174" s="34" t="str">
        <f t="shared" si="155"/>
        <v>16.3709677419355</v>
      </c>
      <c r="Q174" s="4" t="str">
        <f t="shared" si="156"/>
        <v>1+0.335569914446912i</v>
      </c>
      <c r="R174" s="4">
        <f t="shared" si="167"/>
        <v>1.0548019565216533</v>
      </c>
      <c r="S174" s="4">
        <f t="shared" si="168"/>
        <v>0.32376212497159385</v>
      </c>
      <c r="T174" s="4" t="str">
        <f t="shared" si="157"/>
        <v>1+0.000365005871854536i</v>
      </c>
      <c r="U174" s="4">
        <f t="shared" si="169"/>
        <v>1.0000000666146411</v>
      </c>
      <c r="V174" s="4">
        <f t="shared" si="170"/>
        <v>3.6500585564471335E-4</v>
      </c>
      <c r="W174" t="str">
        <f t="shared" si="158"/>
        <v>1-0.00477673500666778i</v>
      </c>
      <c r="X174" s="4">
        <f t="shared" si="171"/>
        <v>1.0000114085335847</v>
      </c>
      <c r="Y174" s="4">
        <f t="shared" si="172"/>
        <v>-4.776698676596745E-3</v>
      </c>
      <c r="Z174" t="str">
        <f t="shared" si="159"/>
        <v>0.999999885926945+0.000940725707595446i</v>
      </c>
      <c r="AA174" s="4">
        <f t="shared" si="173"/>
        <v>1.0000003284093262</v>
      </c>
      <c r="AB174" s="4">
        <f t="shared" si="174"/>
        <v>9.4072553740390231E-4</v>
      </c>
      <c r="AC174" s="48" t="str">
        <f t="shared" si="175"/>
        <v>14.6875842111252-5.01633620378336i</v>
      </c>
      <c r="AD174" s="20">
        <f t="shared" si="176"/>
        <v>23.818165340150198</v>
      </c>
      <c r="AE174" s="44">
        <f t="shared" si="177"/>
        <v>-18.85687430918161</v>
      </c>
      <c r="AF174" t="str">
        <f t="shared" si="178"/>
        <v>45.9520231294187</v>
      </c>
      <c r="AG174" t="str">
        <f t="shared" si="160"/>
        <v>1+0.161032002288765i</v>
      </c>
      <c r="AH174">
        <f t="shared" si="179"/>
        <v>1.0128826712710257</v>
      </c>
      <c r="AI174">
        <f t="shared" si="180"/>
        <v>0.1596613423504451</v>
      </c>
      <c r="AJ174" t="str">
        <f t="shared" si="161"/>
        <v>1+0.000365005871854536i</v>
      </c>
      <c r="AK174">
        <f t="shared" si="181"/>
        <v>1.0000000666146411</v>
      </c>
      <c r="AL174">
        <f t="shared" si="182"/>
        <v>3.6500585564471335E-4</v>
      </c>
      <c r="AM174" t="str">
        <f t="shared" si="162"/>
        <v>1-0.000816637807973674i</v>
      </c>
      <c r="AN174">
        <f t="shared" si="183"/>
        <v>1.0000003334485992</v>
      </c>
      <c r="AO174">
        <f t="shared" si="184"/>
        <v>-8.1663762643589431E-4</v>
      </c>
      <c r="AP174" s="42" t="str">
        <f t="shared" si="185"/>
        <v>44.7873016515983-7.23294226324231i</v>
      </c>
      <c r="AQ174">
        <f t="shared" si="186"/>
        <v>33.134913388483412</v>
      </c>
      <c r="AR174" s="44">
        <f t="shared" si="187"/>
        <v>-9.1737976624342021</v>
      </c>
      <c r="AS174" t="str">
        <f t="shared" si="163"/>
        <v>-0.000166666666666667</v>
      </c>
      <c r="AT174" t="str">
        <f t="shared" si="164"/>
        <v>0.0000287898381425265i</v>
      </c>
      <c r="AU174">
        <f t="shared" si="188"/>
        <v>2.8789838142526501E-5</v>
      </c>
      <c r="AV174">
        <f t="shared" si="189"/>
        <v>1.5707963267948966</v>
      </c>
      <c r="AW174" t="str">
        <f t="shared" si="165"/>
        <v>1+0.00524515173223614i</v>
      </c>
      <c r="AX174">
        <f t="shared" si="190"/>
        <v>1.0000137557137372</v>
      </c>
      <c r="AY174">
        <f t="shared" si="191"/>
        <v>5.245103632162137E-3</v>
      </c>
      <c r="AZ174" t="str">
        <f t="shared" si="166"/>
        <v>1+0.106764217517452i</v>
      </c>
      <c r="BA174">
        <f t="shared" si="192"/>
        <v>1.005683149974242</v>
      </c>
      <c r="BB174">
        <f t="shared" si="193"/>
        <v>0.10636131532358994</v>
      </c>
      <c r="BC174" s="42" t="str">
        <f t="shared" si="194"/>
        <v>-0.587685791573765+5.79216217021598i</v>
      </c>
      <c r="BD174">
        <f t="shared" si="195"/>
        <v>15.301294520605602</v>
      </c>
      <c r="BE174" s="44">
        <f t="shared" si="196"/>
        <v>95.793532170270197</v>
      </c>
      <c r="BF174" s="42" t="str">
        <f t="shared" si="197"/>
        <v>20.4237482392174+88.0208991522615i</v>
      </c>
      <c r="BG174" s="20">
        <f t="shared" si="198"/>
        <v>39.119459860755804</v>
      </c>
      <c r="BH174" s="44">
        <f t="shared" si="199"/>
        <v>76.936657861088577</v>
      </c>
      <c r="BI174" s="42" t="str">
        <f t="shared" si="152"/>
        <v>15.5735137329359+263.66601173182i</v>
      </c>
      <c r="BJ174" s="20">
        <f t="shared" si="200"/>
        <v>48.436207909088999</v>
      </c>
      <c r="BK174" s="44">
        <f t="shared" si="153"/>
        <v>86.619734507836</v>
      </c>
      <c r="BL174">
        <f t="shared" si="201"/>
        <v>39.119459860755804</v>
      </c>
      <c r="BM174" s="44">
        <f t="shared" si="202"/>
        <v>76.936657861088577</v>
      </c>
    </row>
    <row r="175" spans="14:65" x14ac:dyDescent="0.35">
      <c r="N175" s="9">
        <v>57</v>
      </c>
      <c r="O175" s="35">
        <f t="shared" si="154"/>
        <v>371.53522909717265</v>
      </c>
      <c r="P175" s="34" t="str">
        <f t="shared" si="155"/>
        <v>16.3709677419355</v>
      </c>
      <c r="Q175" s="4" t="str">
        <f t="shared" si="156"/>
        <v>1+0.343386341873777i</v>
      </c>
      <c r="R175" s="4">
        <f t="shared" si="167"/>
        <v>1.0573146077613107</v>
      </c>
      <c r="S175" s="4">
        <f t="shared" si="168"/>
        <v>0.33077081247318607</v>
      </c>
      <c r="T175" s="4" t="str">
        <f t="shared" si="157"/>
        <v>1+0.000373507950810074i</v>
      </c>
      <c r="U175" s="4">
        <f t="shared" si="169"/>
        <v>1.0000000697540923</v>
      </c>
      <c r="V175" s="4">
        <f t="shared" si="170"/>
        <v>3.7350793344093612E-4</v>
      </c>
      <c r="W175" t="str">
        <f t="shared" si="158"/>
        <v>1-0.0048879994583053i</v>
      </c>
      <c r="X175" s="4">
        <f t="shared" si="171"/>
        <v>1.0000119461979964</v>
      </c>
      <c r="Y175" s="4">
        <f t="shared" si="172"/>
        <v>-4.8879605299579415E-3</v>
      </c>
      <c r="Z175" t="str">
        <f t="shared" si="159"/>
        <v>0.999999880550848+0.000962638024240774i</v>
      </c>
      <c r="AA175" s="4">
        <f t="shared" si="173"/>
        <v>1.0000003438867788</v>
      </c>
      <c r="AB175" s="4">
        <f t="shared" si="174"/>
        <v>9.6263784187725218E-4</v>
      </c>
      <c r="AC175" s="48" t="str">
        <f t="shared" si="175"/>
        <v>14.6166168485065-5.1088124593357i</v>
      </c>
      <c r="AD175" s="20">
        <f t="shared" si="176"/>
        <v>23.797503788253227</v>
      </c>
      <c r="AE175" s="44">
        <f t="shared" si="177"/>
        <v>-19.265585706958227</v>
      </c>
      <c r="AF175" t="str">
        <f t="shared" si="178"/>
        <v>45.9520231294187</v>
      </c>
      <c r="AG175" t="str">
        <f t="shared" si="160"/>
        <v>1+0.164782919475032i</v>
      </c>
      <c r="AH175">
        <f t="shared" si="179"/>
        <v>1.0134857722487844</v>
      </c>
      <c r="AI175">
        <f t="shared" si="180"/>
        <v>0.16331528431163422</v>
      </c>
      <c r="AJ175" t="str">
        <f t="shared" si="161"/>
        <v>1+0.000373507950810074i</v>
      </c>
      <c r="AK175">
        <f t="shared" si="181"/>
        <v>1.0000000697540923</v>
      </c>
      <c r="AL175">
        <f t="shared" si="182"/>
        <v>3.7350793344093612E-4</v>
      </c>
      <c r="AM175" t="str">
        <f t="shared" si="162"/>
        <v>1-0.000835659746130977i</v>
      </c>
      <c r="AN175">
        <f t="shared" si="183"/>
        <v>1.0000003491635447</v>
      </c>
      <c r="AO175">
        <f t="shared" si="184"/>
        <v>-8.3565955160974507E-4</v>
      </c>
      <c r="AP175" s="42" t="str">
        <f t="shared" si="185"/>
        <v>44.7338611123667-7.39261304347428i</v>
      </c>
      <c r="AQ175">
        <f t="shared" si="186"/>
        <v>33.12974324997424</v>
      </c>
      <c r="AR175" s="44">
        <f t="shared" si="187"/>
        <v>-9.3837558582519662</v>
      </c>
      <c r="AS175" t="str">
        <f t="shared" si="163"/>
        <v>-0.000166666666666667</v>
      </c>
      <c r="AT175" t="str">
        <f t="shared" si="164"/>
        <v>0.0000294604396201445i</v>
      </c>
      <c r="AU175">
        <f t="shared" si="188"/>
        <v>2.94604396201445E-5</v>
      </c>
      <c r="AV175">
        <f t="shared" si="189"/>
        <v>1.5707963267948966</v>
      </c>
      <c r="AW175" t="str">
        <f t="shared" si="165"/>
        <v>1+0.00536732701104651i</v>
      </c>
      <c r="AX175">
        <f t="shared" si="190"/>
        <v>1.0000144039958843</v>
      </c>
      <c r="AY175">
        <f t="shared" si="191"/>
        <v>5.3672754709287269E-3</v>
      </c>
      <c r="AZ175" t="str">
        <f t="shared" si="166"/>
        <v>1+0.109251075611946i</v>
      </c>
      <c r="BA175">
        <f t="shared" si="192"/>
        <v>1.0059501963429238</v>
      </c>
      <c r="BB175">
        <f t="shared" si="193"/>
        <v>0.1088194959308211</v>
      </c>
      <c r="BC175" s="42" t="str">
        <f t="shared" si="194"/>
        <v>-0.58768502961257+5.66045842542551i</v>
      </c>
      <c r="BD175">
        <f t="shared" si="195"/>
        <v>15.103595011123803</v>
      </c>
      <c r="BE175" s="44">
        <f t="shared" si="196"/>
        <v>95.927375613608774</v>
      </c>
      <c r="BF175" s="42" t="str">
        <f t="shared" si="197"/>
        <v>20.3282536239155+85.7391245927949i</v>
      </c>
      <c r="BG175" s="20">
        <f t="shared" si="198"/>
        <v>38.901098799377031</v>
      </c>
      <c r="BH175" s="44">
        <f t="shared" si="199"/>
        <v>76.66178990665054</v>
      </c>
      <c r="BI175" s="42" t="str">
        <f t="shared" si="152"/>
        <v>15.5561582953387+257.558689050679i</v>
      </c>
      <c r="BJ175" s="20">
        <f t="shared" si="200"/>
        <v>48.233338261098041</v>
      </c>
      <c r="BK175" s="44">
        <f t="shared" si="153"/>
        <v>86.543619755356815</v>
      </c>
      <c r="BL175">
        <f t="shared" si="201"/>
        <v>38.901098799377031</v>
      </c>
      <c r="BM175" s="44">
        <f t="shared" si="202"/>
        <v>76.66178990665054</v>
      </c>
    </row>
    <row r="176" spans="14:65" x14ac:dyDescent="0.35">
      <c r="N176" s="9">
        <v>58</v>
      </c>
      <c r="O176" s="35">
        <f t="shared" si="154"/>
        <v>380.18939632056163</v>
      </c>
      <c r="P176" s="34" t="str">
        <f t="shared" si="155"/>
        <v>16.3709677419355</v>
      </c>
      <c r="Q176" s="4" t="str">
        <f t="shared" si="156"/>
        <v>1+0.351384837284359i</v>
      </c>
      <c r="R176" s="4">
        <f t="shared" si="167"/>
        <v>1.0599392925414906</v>
      </c>
      <c r="S176" s="4">
        <f t="shared" si="168"/>
        <v>0.33790799432753144</v>
      </c>
      <c r="T176" s="4" t="str">
        <f t="shared" si="157"/>
        <v>1+0.000382208068625093i</v>
      </c>
      <c r="U176" s="4">
        <f t="shared" si="169"/>
        <v>1.0000000730415011</v>
      </c>
      <c r="V176" s="4">
        <f t="shared" si="170"/>
        <v>3.8220805001372654E-4</v>
      </c>
      <c r="W176" t="str">
        <f t="shared" si="158"/>
        <v>1-0.00500185559195593i</v>
      </c>
      <c r="X176" s="4">
        <f t="shared" si="171"/>
        <v>1.0000125092014414</v>
      </c>
      <c r="Y176" s="4">
        <f t="shared" si="172"/>
        <v>-5.0018138795083957E-3</v>
      </c>
      <c r="Z176" t="str">
        <f t="shared" si="159"/>
        <v>0.999999874921383+0.000985060744308574i</v>
      </c>
      <c r="AA176" s="4">
        <f t="shared" si="173"/>
        <v>1.0000003600936609</v>
      </c>
      <c r="AB176" s="4">
        <f t="shared" si="174"/>
        <v>9.8506054890254327E-4</v>
      </c>
      <c r="AC176" s="48" t="str">
        <f t="shared" si="175"/>
        <v>14.5430235049246-5.2019524014428i</v>
      </c>
      <c r="AD176" s="20">
        <f t="shared" si="176"/>
        <v>23.775973374742385</v>
      </c>
      <c r="AE176" s="44">
        <f t="shared" si="177"/>
        <v>-19.681825667759174</v>
      </c>
      <c r="AF176" t="str">
        <f t="shared" si="178"/>
        <v>45.9520231294187</v>
      </c>
      <c r="AG176" t="str">
        <f t="shared" si="160"/>
        <v>1+0.168621206746364i</v>
      </c>
      <c r="AH176">
        <f t="shared" si="179"/>
        <v>1.0141169120789773</v>
      </c>
      <c r="AI176">
        <f t="shared" si="180"/>
        <v>0.16704978723428718</v>
      </c>
      <c r="AJ176" t="str">
        <f t="shared" si="161"/>
        <v>1+0.000382208068625093i</v>
      </c>
      <c r="AK176">
        <f t="shared" si="181"/>
        <v>1.0000000730415011</v>
      </c>
      <c r="AL176">
        <f t="shared" si="182"/>
        <v>3.8220805001372654E-4</v>
      </c>
      <c r="AM176" t="str">
        <f t="shared" si="162"/>
        <v>1-0.000855124762146942i</v>
      </c>
      <c r="AN176">
        <f t="shared" si="183"/>
        <v>1.0000003656191125</v>
      </c>
      <c r="AO176">
        <f t="shared" si="184"/>
        <v>-8.5512455371369086E-4</v>
      </c>
      <c r="AP176" s="42" t="str">
        <f t="shared" si="185"/>
        <v>44.6780381263893-7.55539618277083i</v>
      </c>
      <c r="AQ176">
        <f t="shared" si="186"/>
        <v>33.124336039499852</v>
      </c>
      <c r="AR176" s="44">
        <f t="shared" si="187"/>
        <v>-9.5983438968071262</v>
      </c>
      <c r="AS176" t="str">
        <f t="shared" si="163"/>
        <v>-0.000166666666666667</v>
      </c>
      <c r="AT176" t="str">
        <f t="shared" si="164"/>
        <v>0.0000301466614128042i</v>
      </c>
      <c r="AU176">
        <f t="shared" si="188"/>
        <v>3.0146661412804201E-5</v>
      </c>
      <c r="AV176">
        <f t="shared" si="189"/>
        <v>1.5707963267948966</v>
      </c>
      <c r="AW176" t="str">
        <f t="shared" si="165"/>
        <v>1+0.00549234811768309i</v>
      </c>
      <c r="AX176">
        <f t="shared" si="190"/>
        <v>1.000015082830177</v>
      </c>
      <c r="AY176">
        <f t="shared" si="191"/>
        <v>5.4922928914968791E-3</v>
      </c>
      <c r="AZ176" t="str">
        <f t="shared" si="166"/>
        <v>1+0.111795860072839i</v>
      </c>
      <c r="BA176">
        <f t="shared" si="192"/>
        <v>1.0062297522581141</v>
      </c>
      <c r="BB176">
        <f t="shared" si="193"/>
        <v>0.11133356860424677</v>
      </c>
      <c r="BC176" s="42" t="str">
        <f t="shared" si="194"/>
        <v>-0.587684231743371+5.53175593023165i</v>
      </c>
      <c r="BD176">
        <f t="shared" si="195"/>
        <v>14.906002608658833</v>
      </c>
      <c r="BE176" s="44">
        <f t="shared" si="196"/>
        <v>96.064258396621085</v>
      </c>
      <c r="BF176" s="42" t="str">
        <f t="shared" si="197"/>
        <v>20.2292254497466+83.5055619174724i</v>
      </c>
      <c r="BG176" s="20">
        <f t="shared" si="198"/>
        <v>38.681975983401216</v>
      </c>
      <c r="BH176" s="44">
        <f t="shared" si="199"/>
        <v>76.3824327288619</v>
      </c>
      <c r="BI176" s="42" t="str">
        <f t="shared" si="152"/>
        <v>15.538029127184+251.588189557958i</v>
      </c>
      <c r="BJ176" s="20">
        <f t="shared" si="200"/>
        <v>48.030338648158668</v>
      </c>
      <c r="BK176" s="44">
        <f t="shared" si="153"/>
        <v>86.465914499813948</v>
      </c>
      <c r="BL176">
        <f t="shared" si="201"/>
        <v>38.681975983401216</v>
      </c>
      <c r="BM176" s="44">
        <f t="shared" si="202"/>
        <v>76.3824327288619</v>
      </c>
    </row>
    <row r="177" spans="14:65" x14ac:dyDescent="0.35">
      <c r="N177" s="9">
        <v>59</v>
      </c>
      <c r="O177" s="35">
        <f t="shared" si="154"/>
        <v>389.04514499428063</v>
      </c>
      <c r="P177" s="34" t="str">
        <f t="shared" si="155"/>
        <v>16.3709677419355</v>
      </c>
      <c r="Q177" s="4" t="str">
        <f t="shared" si="156"/>
        <v>1+0.359569641586798i</v>
      </c>
      <c r="R177" s="4">
        <f t="shared" si="167"/>
        <v>1.0626807268182001</v>
      </c>
      <c r="S177" s="4">
        <f t="shared" si="168"/>
        <v>0.34517454532516412</v>
      </c>
      <c r="T177" s="4" t="str">
        <f t="shared" si="157"/>
        <v>1+0.000391110838217219i</v>
      </c>
      <c r="U177" s="4">
        <f t="shared" si="169"/>
        <v>1.000000076483841</v>
      </c>
      <c r="V177" s="4">
        <f t="shared" si="170"/>
        <v>3.9111081827478063E-4</v>
      </c>
      <c r="W177" t="str">
        <f t="shared" si="158"/>
        <v>1-0.00511836377564881i</v>
      </c>
      <c r="X177" s="4">
        <f t="shared" si="171"/>
        <v>1.0000130987380815</v>
      </c>
      <c r="Y177" s="4">
        <f t="shared" si="172"/>
        <v>-5.1183190799876273E-3</v>
      </c>
      <c r="Z177" t="str">
        <f t="shared" si="159"/>
        <v>0.999999869026609+0.00100800575662183i</v>
      </c>
      <c r="AA177" s="4">
        <f t="shared" si="173"/>
        <v>1.0000003770643491</v>
      </c>
      <c r="AB177" s="4">
        <f t="shared" si="174"/>
        <v>1.0080055472405003E-3</v>
      </c>
      <c r="AC177" s="48" t="str">
        <f t="shared" si="175"/>
        <v>14.4667381113814-5.29569152480362i</v>
      </c>
      <c r="AD177" s="20">
        <f t="shared" si="176"/>
        <v>23.753542135253007</v>
      </c>
      <c r="AE177" s="44">
        <f t="shared" si="177"/>
        <v>-20.105648188337252</v>
      </c>
      <c r="AF177" t="str">
        <f t="shared" si="178"/>
        <v>45.9520231294187</v>
      </c>
      <c r="AG177" t="str">
        <f t="shared" si="160"/>
        <v>1+0.172548899213479i</v>
      </c>
      <c r="AH177">
        <f t="shared" si="179"/>
        <v>1.014777375890783</v>
      </c>
      <c r="AI177">
        <f t="shared" si="180"/>
        <v>0.17086641432467009</v>
      </c>
      <c r="AJ177" t="str">
        <f t="shared" si="161"/>
        <v>1+0.000391110838217219i</v>
      </c>
      <c r="AK177">
        <f t="shared" si="181"/>
        <v>1.000000076483841</v>
      </c>
      <c r="AL177">
        <f t="shared" si="182"/>
        <v>3.9111081827478063E-4</v>
      </c>
      <c r="AM177" t="str">
        <f t="shared" si="162"/>
        <v>1-0.000875043176630713i</v>
      </c>
      <c r="AN177">
        <f t="shared" si="183"/>
        <v>1.0000003828502071</v>
      </c>
      <c r="AO177">
        <f t="shared" si="184"/>
        <v>-8.7504295329046526E-4</v>
      </c>
      <c r="AP177" s="42" t="str">
        <f t="shared" si="185"/>
        <v>44.6197329889639-7.72132348045292i</v>
      </c>
      <c r="AQ177">
        <f t="shared" si="186"/>
        <v>33.11868120193185</v>
      </c>
      <c r="AR177" s="44">
        <f t="shared" si="187"/>
        <v>-9.8176516702444143</v>
      </c>
      <c r="AS177" t="str">
        <f t="shared" si="163"/>
        <v>-0.000166666666666667</v>
      </c>
      <c r="AT177" t="str">
        <f t="shared" si="164"/>
        <v>0.0000308488673643831i</v>
      </c>
      <c r="AU177">
        <f t="shared" si="188"/>
        <v>3.0848867364383103E-5</v>
      </c>
      <c r="AV177">
        <f t="shared" si="189"/>
        <v>1.5707963267948966</v>
      </c>
      <c r="AW177" t="str">
        <f t="shared" si="165"/>
        <v>1+0.0056202813399915i</v>
      </c>
      <c r="AX177">
        <f t="shared" si="190"/>
        <v>1.0000157936564504</v>
      </c>
      <c r="AY177">
        <f t="shared" si="191"/>
        <v>5.6202221641172955E-3</v>
      </c>
      <c r="AZ177" t="str">
        <f t="shared" si="166"/>
        <v>1+0.114399920178536i</v>
      </c>
      <c r="BA177">
        <f t="shared" si="192"/>
        <v>1.006522400017434</v>
      </c>
      <c r="BB177">
        <f t="shared" si="193"/>
        <v>0.11390473914665865</v>
      </c>
      <c r="BC177" s="42" t="str">
        <f t="shared" si="194"/>
        <v>-0.58768339627408+5.40598644484031i</v>
      </c>
      <c r="BD177">
        <f t="shared" si="195"/>
        <v>14.708522236051396</v>
      </c>
      <c r="BE177" s="44">
        <f t="shared" si="196"/>
        <v>96.204245809712319</v>
      </c>
      <c r="BF177" s="42" t="str">
        <f t="shared" si="197"/>
        <v>20.1265748128398+81.319180112099i</v>
      </c>
      <c r="BG177" s="20">
        <f t="shared" si="198"/>
        <v>38.462064371304407</v>
      </c>
      <c r="BH177" s="44">
        <f t="shared" si="199"/>
        <v>76.098597621375063</v>
      </c>
      <c r="BI177" s="42" t="str">
        <f t="shared" si="152"/>
        <v>15.5190938477588+245.751365317456i</v>
      </c>
      <c r="BJ177" s="20">
        <f t="shared" si="200"/>
        <v>47.827203437983236</v>
      </c>
      <c r="BK177" s="44">
        <f t="shared" si="153"/>
        <v>86.386594139467903</v>
      </c>
      <c r="BL177">
        <f t="shared" si="201"/>
        <v>38.462064371304407</v>
      </c>
      <c r="BM177" s="44">
        <f t="shared" si="202"/>
        <v>76.098597621375063</v>
      </c>
    </row>
    <row r="178" spans="14:65" x14ac:dyDescent="0.35">
      <c r="N178" s="9">
        <v>60</v>
      </c>
      <c r="O178" s="35">
        <f t="shared" si="154"/>
        <v>398.10717055349761</v>
      </c>
      <c r="P178" s="34" t="str">
        <f t="shared" si="155"/>
        <v>16.3709677419355</v>
      </c>
      <c r="Q178" s="4" t="str">
        <f t="shared" si="156"/>
        <v>1+0.367945094472672i</v>
      </c>
      <c r="R178" s="4">
        <f t="shared" si="167"/>
        <v>1.0655438013270517</v>
      </c>
      <c r="S178" s="4">
        <f t="shared" si="168"/>
        <v>0.35257124778327853</v>
      </c>
      <c r="T178" s="4" t="str">
        <f t="shared" si="157"/>
        <v>1+0.000400220979952731i</v>
      </c>
      <c r="U178" s="4">
        <f t="shared" si="169"/>
        <v>1.0000000800884132</v>
      </c>
      <c r="V178" s="4">
        <f t="shared" si="170"/>
        <v>4.0022095858402342E-4</v>
      </c>
      <c r="W178" t="str">
        <f t="shared" si="158"/>
        <v>1-0.00523758578356508i</v>
      </c>
      <c r="X178" s="4">
        <f t="shared" si="171"/>
        <v>1.0000137160583549</v>
      </c>
      <c r="Y178" s="4">
        <f t="shared" si="172"/>
        <v>-5.237537891336741E-3</v>
      </c>
      <c r="Z178" t="str">
        <f t="shared" si="159"/>
        <v>0.999999862854023+0.00103148522692977i</v>
      </c>
      <c r="AA178" s="4">
        <f t="shared" si="173"/>
        <v>1.000000394834841</v>
      </c>
      <c r="AB178" s="4">
        <f t="shared" si="174"/>
        <v>1.0314850025736379E-3</v>
      </c>
      <c r="AC178" s="48" t="str">
        <f t="shared" si="175"/>
        <v>14.3876955944906-5.38996071795693i</v>
      </c>
      <c r="AD178" s="20">
        <f t="shared" si="176"/>
        <v>23.730177317164145</v>
      </c>
      <c r="AE178" s="44">
        <f t="shared" si="177"/>
        <v>-20.537102057335407</v>
      </c>
      <c r="AF178" t="str">
        <f t="shared" si="178"/>
        <v>45.9520231294187</v>
      </c>
      <c r="AG178" t="str">
        <f t="shared" si="160"/>
        <v>1+0.17656807939091i</v>
      </c>
      <c r="AH178">
        <f t="shared" si="179"/>
        <v>1.0154685059910991</v>
      </c>
      <c r="AI178">
        <f t="shared" si="180"/>
        <v>0.17476674422235247</v>
      </c>
      <c r="AJ178" t="str">
        <f t="shared" si="161"/>
        <v>1+0.000400220979952731i</v>
      </c>
      <c r="AK178">
        <f t="shared" si="181"/>
        <v>1.0000000800884132</v>
      </c>
      <c r="AL178">
        <f t="shared" si="182"/>
        <v>4.0022095858402342E-4</v>
      </c>
      <c r="AM178" t="str">
        <f t="shared" si="162"/>
        <v>1-0.000895425550589297i</v>
      </c>
      <c r="AN178">
        <f t="shared" si="183"/>
        <v>1.000000400893378</v>
      </c>
      <c r="AO178">
        <f t="shared" si="184"/>
        <v>-8.9542531127591502E-4</v>
      </c>
      <c r="AP178" s="42" t="str">
        <f t="shared" si="185"/>
        <v>44.5588424305652-7.89042487973077i</v>
      </c>
      <c r="AQ178">
        <f t="shared" si="186"/>
        <v>33.112767741706215</v>
      </c>
      <c r="AR178" s="44">
        <f t="shared" si="187"/>
        <v>-10.041769962588914</v>
      </c>
      <c r="AS178" t="str">
        <f t="shared" si="163"/>
        <v>-0.000166666666666667</v>
      </c>
      <c r="AT178" t="str">
        <f t="shared" si="164"/>
        <v>0.0000315674297937717i</v>
      </c>
      <c r="AU178">
        <f t="shared" si="188"/>
        <v>3.1567429793771703E-5</v>
      </c>
      <c r="AV178">
        <f t="shared" si="189"/>
        <v>1.5707963267948966</v>
      </c>
      <c r="AW178" t="str">
        <f t="shared" si="165"/>
        <v>1+0.00575119450985958i</v>
      </c>
      <c r="AX178">
        <f t="shared" si="190"/>
        <v>1.0000165379823927</v>
      </c>
      <c r="AY178">
        <f t="shared" si="191"/>
        <v>5.7511311018246013E-3</v>
      </c>
      <c r="AZ178" t="str">
        <f t="shared" si="166"/>
        <v>1+0.117064636636174i</v>
      </c>
      <c r="BA178">
        <f t="shared" si="192"/>
        <v>1.0068287486711727</v>
      </c>
      <c r="BB178">
        <f t="shared" si="193"/>
        <v>0.11653423477070854</v>
      </c>
      <c r="BC178" s="42" t="str">
        <f t="shared" si="194"/>
        <v>-0.58768252143288+5.28308328457601i</v>
      </c>
      <c r="BD178">
        <f t="shared" si="195"/>
        <v>14.511159036326548</v>
      </c>
      <c r="BE178" s="44">
        <f t="shared" si="196"/>
        <v>96.347404281587316</v>
      </c>
      <c r="BF178" s="42" t="str">
        <f t="shared" si="197"/>
        <v>20.0202141489806+79.1789798039743i</v>
      </c>
      <c r="BG178" s="20">
        <f t="shared" si="198"/>
        <v>38.241336353490695</v>
      </c>
      <c r="BH178" s="44">
        <f t="shared" si="199"/>
        <v>75.810302224251913</v>
      </c>
      <c r="BI178" s="42" t="str">
        <f t="shared" ref="BI178:BI241" si="203">IMPRODUCT(AP178,BC178)</f>
        <v>15.4993189185834+240.045140413472i</v>
      </c>
      <c r="BJ178" s="20">
        <f t="shared" si="200"/>
        <v>47.623926778032761</v>
      </c>
      <c r="BK178" s="44">
        <f t="shared" ref="BK178:BK241" si="204">(180/PI())*IMARGUMENT(BI178)</f>
        <v>86.305634318998386</v>
      </c>
      <c r="BL178">
        <f t="shared" si="201"/>
        <v>38.241336353490695</v>
      </c>
      <c r="BM178" s="44">
        <f t="shared" si="202"/>
        <v>75.810302224251913</v>
      </c>
    </row>
    <row r="179" spans="14:65" x14ac:dyDescent="0.35">
      <c r="N179" s="9">
        <v>61</v>
      </c>
      <c r="O179" s="35">
        <f t="shared" si="154"/>
        <v>407.38027780411272</v>
      </c>
      <c r="P179" s="34" t="str">
        <f t="shared" si="155"/>
        <v>16.3709677419355</v>
      </c>
      <c r="Q179" s="4" t="str">
        <f t="shared" si="156"/>
        <v>1+0.376515636717966i</v>
      </c>
      <c r="R179" s="4">
        <f t="shared" si="167"/>
        <v>1.0685335861324787</v>
      </c>
      <c r="S179" s="4">
        <f t="shared" si="168"/>
        <v>0.36009878509751236</v>
      </c>
      <c r="T179" s="4" t="str">
        <f t="shared" si="157"/>
        <v>1+0.000409543324149366i</v>
      </c>
      <c r="U179" s="4">
        <f t="shared" si="169"/>
        <v>1.0000000838628638</v>
      </c>
      <c r="V179" s="4">
        <f t="shared" si="170"/>
        <v>4.0954330125238334E-4</v>
      </c>
      <c r="W179" t="str">
        <f t="shared" si="158"/>
        <v>1-0.00535958482879145i</v>
      </c>
      <c r="X179" s="4">
        <f t="shared" si="171"/>
        <v>1.0000143624716282</v>
      </c>
      <c r="Y179" s="4">
        <f t="shared" si="172"/>
        <v>-5.3595335113840199E-3</v>
      </c>
      <c r="Z179" t="str">
        <f t="shared" si="159"/>
        <v>0.999999856390533+0.00105551160435836i</v>
      </c>
      <c r="AA179" s="4">
        <f t="shared" si="173"/>
        <v>1.0000004134428313</v>
      </c>
      <c r="AB179" s="4">
        <f t="shared" si="174"/>
        <v>1.0555113639564376E-3</v>
      </c>
      <c r="AC179" s="48" t="str">
        <f t="shared" si="175"/>
        <v>14.3058321500808-5.48468616198236i</v>
      </c>
      <c r="AD179" s="20">
        <f t="shared" si="176"/>
        <v>23.705845393220592</v>
      </c>
      <c r="AE179" s="44">
        <f t="shared" si="177"/>
        <v>-20.976230487930323</v>
      </c>
      <c r="AF179" t="str">
        <f t="shared" si="178"/>
        <v>45.9520231294187</v>
      </c>
      <c r="AG179" t="str">
        <f t="shared" si="160"/>
        <v>1+0.180680878301191i</v>
      </c>
      <c r="AH179">
        <f t="shared" si="179"/>
        <v>1.0161917042486077</v>
      </c>
      <c r="AI179">
        <f t="shared" si="180"/>
        <v>0.17875237002487609</v>
      </c>
      <c r="AJ179" t="str">
        <f t="shared" si="161"/>
        <v>1+0.000409543324149366i</v>
      </c>
      <c r="AK179">
        <f t="shared" si="181"/>
        <v>1.0000000838628638</v>
      </c>
      <c r="AL179">
        <f t="shared" si="182"/>
        <v>4.0954330125238334E-4</v>
      </c>
      <c r="AM179" t="str">
        <f t="shared" si="162"/>
        <v>1-0.000916282691027164i</v>
      </c>
      <c r="AN179">
        <f t="shared" si="183"/>
        <v>1.0000004197868968</v>
      </c>
      <c r="AO179">
        <f t="shared" si="184"/>
        <v>-9.1628243459826106E-4</v>
      </c>
      <c r="AP179" s="42" t="str">
        <f t="shared" si="185"/>
        <v>44.4952595471491-8.06272827432571i</v>
      </c>
      <c r="AQ179">
        <f t="shared" si="186"/>
        <v>33.106584207199205</v>
      </c>
      <c r="AR179" s="44">
        <f t="shared" si="187"/>
        <v>-10.270790394041043</v>
      </c>
      <c r="AS179" t="str">
        <f t="shared" si="163"/>
        <v>-0.000166666666666667</v>
      </c>
      <c r="AT179" t="str">
        <f t="shared" si="164"/>
        <v>0.0000323027296922813i</v>
      </c>
      <c r="AU179">
        <f t="shared" si="188"/>
        <v>3.2302729692281299E-5</v>
      </c>
      <c r="AV179">
        <f t="shared" si="189"/>
        <v>1.5707963267948966</v>
      </c>
      <c r="AW179" t="str">
        <f t="shared" si="165"/>
        <v>1+0.00588515703918286i</v>
      </c>
      <c r="AX179">
        <f t="shared" si="190"/>
        <v>1.0000173173867419</v>
      </c>
      <c r="AY179">
        <f t="shared" si="191"/>
        <v>5.8850890963128184E-3</v>
      </c>
      <c r="AZ179" t="str">
        <f t="shared" si="166"/>
        <v>1+0.119791422313689i</v>
      </c>
      <c r="BA179">
        <f t="shared" si="192"/>
        <v>1.0071494352180002</v>
      </c>
      <c r="BB179">
        <f t="shared" si="193"/>
        <v>0.11922330414339009</v>
      </c>
      <c r="BC179" s="42" t="str">
        <f t="shared" si="194"/>
        <v>-0.587681605364471+5.16298128452471i</v>
      </c>
      <c r="BD179">
        <f t="shared" si="195"/>
        <v>14.313918381964205</v>
      </c>
      <c r="BE179" s="44">
        <f t="shared" si="196"/>
        <v>96.493801379743658</v>
      </c>
      <c r="BF179" s="42" t="str">
        <f t="shared" si="197"/>
        <v>19.9100576017724+77.0839928190131i</v>
      </c>
      <c r="BG179" s="20">
        <f t="shared" si="198"/>
        <v>38.019763775184792</v>
      </c>
      <c r="BH179" s="44">
        <f t="shared" si="199"/>
        <v>75.517570891813349</v>
      </c>
      <c r="BI179" s="42" t="str">
        <f t="shared" si="203"/>
        <v>15.4786696207745+234.466509387873i</v>
      </c>
      <c r="BJ179" s="20">
        <f t="shared" si="200"/>
        <v>47.420502589163398</v>
      </c>
      <c r="BK179" s="44">
        <f t="shared" si="204"/>
        <v>86.223010985702615</v>
      </c>
      <c r="BL179">
        <f t="shared" si="201"/>
        <v>38.019763775184792</v>
      </c>
      <c r="BM179" s="44">
        <f t="shared" si="202"/>
        <v>75.517570891813349</v>
      </c>
    </row>
    <row r="180" spans="14:65" x14ac:dyDescent="0.35">
      <c r="N180" s="9">
        <v>62</v>
      </c>
      <c r="O180" s="35">
        <f t="shared" si="154"/>
        <v>416.86938347033572</v>
      </c>
      <c r="P180" s="34" t="str">
        <f t="shared" si="155"/>
        <v>16.3709677419355</v>
      </c>
      <c r="Q180" s="4" t="str">
        <f t="shared" si="156"/>
        <v>1+0.385285812537621i</v>
      </c>
      <c r="R180" s="4">
        <f t="shared" si="167"/>
        <v>1.0716553351440821</v>
      </c>
      <c r="S180" s="4">
        <f t="shared" si="168"/>
        <v>0.36775773516273857</v>
      </c>
      <c r="T180" s="4" t="str">
        <f t="shared" si="157"/>
        <v>1+0.000419082813637413i</v>
      </c>
      <c r="U180" s="4">
        <f t="shared" si="169"/>
        <v>1.0000000878151984</v>
      </c>
      <c r="V180" s="4">
        <f t="shared" si="170"/>
        <v>4.1908278910285422E-4</v>
      </c>
      <c r="W180" t="str">
        <f t="shared" si="158"/>
        <v>1-0.00548442559683655i</v>
      </c>
      <c r="X180" s="4">
        <f t="shared" si="171"/>
        <v>1.0000150393489726</v>
      </c>
      <c r="Y180" s="4">
        <f t="shared" si="172"/>
        <v>-5.4843706092884571E-3</v>
      </c>
      <c r="Z180" t="str">
        <f t="shared" si="159"/>
        <v>0.999999849622427+0.00108009762801093i</v>
      </c>
      <c r="AA180" s="4">
        <f t="shared" si="173"/>
        <v>1.0000004329277876</v>
      </c>
      <c r="AB180" s="4">
        <f t="shared" si="174"/>
        <v>1.0800973704156354E-3</v>
      </c>
      <c r="AC180" s="48" t="str">
        <f t="shared" si="175"/>
        <v>14.2210855339053-5.57978924289009i</v>
      </c>
      <c r="AD180" s="20">
        <f t="shared" si="176"/>
        <v>23.680512078549128</v>
      </c>
      <c r="AE180" s="44">
        <f t="shared" si="177"/>
        <v>-21.423070743018531</v>
      </c>
      <c r="AF180" t="str">
        <f t="shared" si="178"/>
        <v>45.9520231294187</v>
      </c>
      <c r="AG180" t="str">
        <f t="shared" si="160"/>
        <v>1+0.18488947660474i</v>
      </c>
      <c r="AH180">
        <f t="shared" si="179"/>
        <v>1.0169484345625273</v>
      </c>
      <c r="AI180">
        <f t="shared" si="180"/>
        <v>0.18282489821295239</v>
      </c>
      <c r="AJ180" t="str">
        <f t="shared" si="161"/>
        <v>1+0.000419082813637413i</v>
      </c>
      <c r="AK180">
        <f t="shared" si="181"/>
        <v>1.0000000878151984</v>
      </c>
      <c r="AL180">
        <f t="shared" si="182"/>
        <v>4.1908278910285422E-4</v>
      </c>
      <c r="AM180" t="str">
        <f t="shared" si="162"/>
        <v>1-0.00093762565667625i</v>
      </c>
      <c r="AN180">
        <f t="shared" si="183"/>
        <v>1.0000004395708393</v>
      </c>
      <c r="AO180">
        <f t="shared" si="184"/>
        <v>-9.3762538190773665E-4</v>
      </c>
      <c r="AP180" s="42" t="str">
        <f t="shared" si="185"/>
        <v>44.428873735132-8.23825930374355i</v>
      </c>
      <c r="AQ180">
        <f t="shared" si="186"/>
        <v>33.100118674810517</v>
      </c>
      <c r="AR180" s="44">
        <f t="shared" si="187"/>
        <v>-10.504805359576528</v>
      </c>
      <c r="AS180" t="str">
        <f t="shared" si="163"/>
        <v>-0.000166666666666667</v>
      </c>
      <c r="AT180" t="str">
        <f t="shared" si="164"/>
        <v>0.0000330551569256509i</v>
      </c>
      <c r="AU180">
        <f t="shared" si="188"/>
        <v>3.3055156925650901E-5</v>
      </c>
      <c r="AV180">
        <f t="shared" si="189"/>
        <v>1.5707963267948966</v>
      </c>
      <c r="AW180" t="str">
        <f t="shared" si="165"/>
        <v>1+0.00602223995666758i</v>
      </c>
      <c r="AX180">
        <f t="shared" si="190"/>
        <v>1.0000181335226355</v>
      </c>
      <c r="AY180">
        <f t="shared" si="191"/>
        <v>6.0221671546419756E-3</v>
      </c>
      <c r="AZ180" t="str">
        <f t="shared" si="166"/>
        <v>1+0.122581722988943i</v>
      </c>
      <c r="BA180">
        <f t="shared" si="192"/>
        <v>1.0074851258509665</v>
      </c>
      <c r="BB180">
        <f t="shared" si="193"/>
        <v>0.12197321740183219</v>
      </c>
      <c r="BC180" s="42" t="str">
        <f t="shared" si="194"/>
        <v>-0.587680646126155+5.04561676498234i</v>
      </c>
      <c r="BD180">
        <f t="shared" si="195"/>
        <v>14.116805884504593</v>
      </c>
      <c r="BE180" s="44">
        <f t="shared" si="196"/>
        <v>96.643505809273336</v>
      </c>
      <c r="BF180" s="42" t="str">
        <f t="shared" si="197"/>
        <v>19.7960214138136+75.0332817336298i</v>
      </c>
      <c r="BG180" s="20">
        <f t="shared" si="198"/>
        <v>37.797317963053715</v>
      </c>
      <c r="BH180" s="44">
        <f t="shared" si="199"/>
        <v>75.22043506625478</v>
      </c>
      <c r="BI180" s="42" t="str">
        <f t="shared" si="203"/>
        <v>15.4571100339205+229.012535717844i</v>
      </c>
      <c r="BJ180" s="20">
        <f t="shared" si="200"/>
        <v>47.216924559315096</v>
      </c>
      <c r="BK180" s="44">
        <f t="shared" si="204"/>
        <v>86.138700449696799</v>
      </c>
      <c r="BL180">
        <f t="shared" si="201"/>
        <v>37.797317963053715</v>
      </c>
      <c r="BM180" s="44">
        <f t="shared" si="202"/>
        <v>75.22043506625478</v>
      </c>
    </row>
    <row r="181" spans="14:65" x14ac:dyDescent="0.35">
      <c r="N181" s="9">
        <v>63</v>
      </c>
      <c r="O181" s="35">
        <f t="shared" si="154"/>
        <v>426.57951880159294</v>
      </c>
      <c r="P181" s="34" t="str">
        <f t="shared" si="155"/>
        <v>16.3709677419355</v>
      </c>
      <c r="Q181" s="4" t="str">
        <f t="shared" si="156"/>
        <v>1+0.394260271994944i</v>
      </c>
      <c r="R181" s="4">
        <f t="shared" si="167"/>
        <v>1.074914490586822</v>
      </c>
      <c r="S181" s="4">
        <f t="shared" si="168"/>
        <v>0.37554856368316486</v>
      </c>
      <c r="T181" s="4" t="str">
        <f t="shared" si="157"/>
        <v>1+0.000428844506380466i</v>
      </c>
      <c r="U181" s="4">
        <f t="shared" si="169"/>
        <v>1.000000091953801</v>
      </c>
      <c r="V181" s="4">
        <f t="shared" si="170"/>
        <v>4.2884448009121272E-4</v>
      </c>
      <c r="W181" t="str">
        <f t="shared" si="158"/>
        <v>1-0.00561217427992803i</v>
      </c>
      <c r="X181" s="4">
        <f t="shared" si="171"/>
        <v>1.0000157481260723</v>
      </c>
      <c r="Y181" s="4">
        <f t="shared" si="172"/>
        <v>-5.612115359758813E-3</v>
      </c>
      <c r="Z181" t="str">
        <f t="shared" si="159"/>
        <v>0.99999984253535+0.00110525633372265i</v>
      </c>
      <c r="AA181" s="4">
        <f t="shared" si="173"/>
        <v>1.0000004533310414</v>
      </c>
      <c r="AB181" s="4">
        <f t="shared" si="174"/>
        <v>1.1052560577043255E-3</v>
      </c>
      <c r="AC181" s="48" t="str">
        <f t="shared" si="175"/>
        <v>14.1333953691896-5.6751864796184i</v>
      </c>
      <c r="AD181" s="20">
        <f t="shared" si="176"/>
        <v>23.654142351273137</v>
      </c>
      <c r="AE181" s="44">
        <f t="shared" si="177"/>
        <v>-21.877653754111076</v>
      </c>
      <c r="AF181" t="str">
        <f t="shared" si="178"/>
        <v>45.9520231294187</v>
      </c>
      <c r="AG181" t="str">
        <f t="shared" si="160"/>
        <v>1+0.189196105756087i</v>
      </c>
      <c r="AH181">
        <f t="shared" si="179"/>
        <v>1.0177402254176988</v>
      </c>
      <c r="AI181">
        <f t="shared" si="180"/>
        <v>0.18698594747047728</v>
      </c>
      <c r="AJ181" t="str">
        <f t="shared" si="161"/>
        <v>1+0.000428844506380466i</v>
      </c>
      <c r="AK181">
        <f t="shared" si="181"/>
        <v>1.000000091953801</v>
      </c>
      <c r="AL181">
        <f t="shared" si="182"/>
        <v>4.2884448009121272E-4</v>
      </c>
      <c r="AM181" t="str">
        <f t="shared" si="162"/>
        <v>1-0.000959465763859447i</v>
      </c>
      <c r="AN181">
        <f t="shared" si="183"/>
        <v>1.0000004602871699</v>
      </c>
      <c r="AO181">
        <f t="shared" si="184"/>
        <v>-9.594654694396877E-4</v>
      </c>
      <c r="AP181" s="42" t="str">
        <f t="shared" si="185"/>
        <v>44.3595706318317-8.41704113685127i</v>
      </c>
      <c r="AQ181">
        <f t="shared" si="186"/>
        <v>33.093358732775819</v>
      </c>
      <c r="AR181" s="44">
        <f t="shared" si="187"/>
        <v>-10.743907961523975</v>
      </c>
      <c r="AS181" t="str">
        <f t="shared" si="163"/>
        <v>-0.000166666666666667</v>
      </c>
      <c r="AT181" t="str">
        <f t="shared" si="164"/>
        <v>0.0000338251104407592i</v>
      </c>
      <c r="AU181">
        <f t="shared" si="188"/>
        <v>3.3825110440759201E-5</v>
      </c>
      <c r="AV181">
        <f t="shared" si="189"/>
        <v>1.5707963267948966</v>
      </c>
      <c r="AW181" t="str">
        <f t="shared" si="165"/>
        <v>1+0.00616251594549109i</v>
      </c>
      <c r="AX181">
        <f t="shared" si="190"/>
        <v>1.0000189881211148</v>
      </c>
      <c r="AY181">
        <f t="shared" si="191"/>
        <v>6.1624379367951933E-3</v>
      </c>
      <c r="AZ181" t="str">
        <f t="shared" si="166"/>
        <v>1+0.125437018116286i</v>
      </c>
      <c r="BA181">
        <f t="shared" si="192"/>
        <v>1.0078365172556041</v>
      </c>
      <c r="BB181">
        <f t="shared" si="193"/>
        <v>0.12478526613790683</v>
      </c>
      <c r="BC181" s="42" t="str">
        <f t="shared" si="194"/>
        <v>-0.587679641683685+4.93092749769076i</v>
      </c>
      <c r="BD181">
        <f t="shared" si="195"/>
        <v>13.919827404495365</v>
      </c>
      <c r="BE181" s="44">
        <f t="shared" si="196"/>
        <v>96.796587409829158</v>
      </c>
      <c r="BF181" s="42" t="str">
        <f t="shared" si="197"/>
        <v>19.678024340534+73.0259394185025i</v>
      </c>
      <c r="BG181" s="20">
        <f t="shared" si="198"/>
        <v>37.573969755768502</v>
      </c>
      <c r="BH181" s="44">
        <f t="shared" si="199"/>
        <v>74.918933655718078</v>
      </c>
      <c r="BI181" s="42" t="str">
        <f t="shared" si="203"/>
        <v>15.4346030167372+223.680350333596i</v>
      </c>
      <c r="BJ181" s="20">
        <f t="shared" si="200"/>
        <v>47.013186137271184</v>
      </c>
      <c r="BK181" s="44">
        <f t="shared" si="204"/>
        <v>86.052679448305199</v>
      </c>
      <c r="BL181">
        <f t="shared" si="201"/>
        <v>37.573969755768502</v>
      </c>
      <c r="BM181" s="44">
        <f t="shared" si="202"/>
        <v>74.918933655718078</v>
      </c>
    </row>
    <row r="182" spans="14:65" x14ac:dyDescent="0.35">
      <c r="N182" s="9">
        <v>64</v>
      </c>
      <c r="O182" s="35">
        <f t="shared" si="154"/>
        <v>436.51583224016622</v>
      </c>
      <c r="P182" s="34" t="str">
        <f t="shared" si="155"/>
        <v>16.3709677419355</v>
      </c>
      <c r="Q182" s="4" t="str">
        <f t="shared" si="156"/>
        <v>1+0.40344377346713i</v>
      </c>
      <c r="R182" s="4">
        <f t="shared" si="167"/>
        <v>1.0783166874111692</v>
      </c>
      <c r="S182" s="4">
        <f t="shared" si="168"/>
        <v>0.38347161739469482</v>
      </c>
      <c r="T182" s="4" t="str">
        <f t="shared" si="157"/>
        <v>1+0.000438833578157229i</v>
      </c>
      <c r="U182" s="4">
        <f t="shared" si="169"/>
        <v>1.00000009628745</v>
      </c>
      <c r="V182" s="4">
        <f t="shared" si="170"/>
        <v>4.3883354998778672E-4</v>
      </c>
      <c r="W182" t="str">
        <f t="shared" si="158"/>
        <v>1-0.00574289861210863i</v>
      </c>
      <c r="X182" s="4">
        <f t="shared" si="171"/>
        <v>1.0000164903062694</v>
      </c>
      <c r="Y182" s="4">
        <f t="shared" si="172"/>
        <v>-5.7428354780660745E-3</v>
      </c>
      <c r="Z182" t="str">
        <f t="shared" si="159"/>
        <v>0.99999983511427+0.0011310010609723i</v>
      </c>
      <c r="AA182" s="4">
        <f t="shared" si="173"/>
        <v>1.0000004746958708</v>
      </c>
      <c r="AB182" s="4">
        <f t="shared" si="174"/>
        <v>1.1310007652133437E-3</v>
      </c>
      <c r="AC182" s="48" t="str">
        <f t="shared" si="175"/>
        <v>14.0427034705655-5.77078946963046i</v>
      </c>
      <c r="AD182" s="20">
        <f t="shared" si="176"/>
        <v>23.626700476925187</v>
      </c>
      <c r="AE182" s="44">
        <f t="shared" si="177"/>
        <v>-22.340003735252392</v>
      </c>
      <c r="AF182" t="str">
        <f t="shared" si="178"/>
        <v>45.9520231294187</v>
      </c>
      <c r="AG182" t="str">
        <f t="shared" si="160"/>
        <v>1+0.193603049187012i</v>
      </c>
      <c r="AH182">
        <f t="shared" si="179"/>
        <v>1.0185686725275367</v>
      </c>
      <c r="AI182">
        <f t="shared" si="180"/>
        <v>0.19123714739338882</v>
      </c>
      <c r="AJ182" t="str">
        <f t="shared" si="161"/>
        <v>1+0.000438833578157229i</v>
      </c>
      <c r="AK182">
        <f t="shared" si="181"/>
        <v>1.00000009628745</v>
      </c>
      <c r="AL182">
        <f t="shared" si="182"/>
        <v>4.3883354998778672E-4</v>
      </c>
      <c r="AM182" t="str">
        <f t="shared" si="162"/>
        <v>1-0.000981814592490671i</v>
      </c>
      <c r="AN182">
        <f t="shared" si="183"/>
        <v>1.0000004819798309</v>
      </c>
      <c r="AO182">
        <f t="shared" si="184"/>
        <v>-9.8181427701422332E-4</v>
      </c>
      <c r="AP182" s="42" t="str">
        <f t="shared" si="185"/>
        <v>44.2872320622212-8.59909424342831i</v>
      </c>
      <c r="AQ182">
        <f t="shared" si="186"/>
        <v>33.086291464734387</v>
      </c>
      <c r="AR182" s="44">
        <f t="shared" si="187"/>
        <v>-10.988191935777991</v>
      </c>
      <c r="AS182" t="str">
        <f t="shared" si="163"/>
        <v>-0.000166666666666667</v>
      </c>
      <c r="AT182" t="str">
        <f t="shared" si="164"/>
        <v>0.0000346129984771514i</v>
      </c>
      <c r="AU182">
        <f t="shared" si="188"/>
        <v>3.4612998477151403E-5</v>
      </c>
      <c r="AV182">
        <f t="shared" si="189"/>
        <v>1.5707963267948966</v>
      </c>
      <c r="AW182" t="str">
        <f t="shared" si="165"/>
        <v>1+0.00630605938183942i</v>
      </c>
      <c r="AX182">
        <f t="shared" si="190"/>
        <v>1.0000198829947968</v>
      </c>
      <c r="AY182">
        <f t="shared" si="191"/>
        <v>6.3059757941055488E-3</v>
      </c>
      <c r="AZ182" t="str">
        <f t="shared" si="166"/>
        <v>1+0.128358821610989i</v>
      </c>
      <c r="BA182">
        <f t="shared" si="192"/>
        <v>1.0082043379619836</v>
      </c>
      <c r="BB182">
        <f t="shared" si="193"/>
        <v>0.12766076334905616</v>
      </c>
      <c r="BC182" s="42" t="str">
        <f t="shared" si="194"/>
        <v>-0.587678589906976+4.81885267284344i</v>
      </c>
      <c r="BD182">
        <f t="shared" si="195"/>
        <v>13.722989061786874</v>
      </c>
      <c r="BE182" s="44">
        <f t="shared" si="196"/>
        <v>96.953117150605394</v>
      </c>
      <c r="BF182" s="42" t="str">
        <f t="shared" si="197"/>
        <v>19.5559880860818+71.0610885712449i</v>
      </c>
      <c r="BG182" s="20">
        <f t="shared" si="198"/>
        <v>37.34968953871207</v>
      </c>
      <c r="BH182" s="44">
        <f t="shared" si="199"/>
        <v>74.613113415352998</v>
      </c>
      <c r="BI182" s="42" t="str">
        <f t="shared" si="203"/>
        <v>15.411110189768+218.467150175327i</v>
      </c>
      <c r="BJ182" s="20">
        <f t="shared" si="200"/>
        <v>46.809280526521242</v>
      </c>
      <c r="BK182" s="44">
        <f t="shared" si="204"/>
        <v>85.964925214827389</v>
      </c>
      <c r="BL182">
        <f t="shared" si="201"/>
        <v>37.34968953871207</v>
      </c>
      <c r="BM182" s="44">
        <f t="shared" si="202"/>
        <v>74.613113415352998</v>
      </c>
    </row>
    <row r="183" spans="14:65" x14ac:dyDescent="0.35">
      <c r="N183" s="9">
        <v>65</v>
      </c>
      <c r="O183" s="35">
        <f t="shared" si="154"/>
        <v>446.68359215096331</v>
      </c>
      <c r="P183" s="34" t="str">
        <f t="shared" si="155"/>
        <v>16.3709677419355</v>
      </c>
      <c r="Q183" s="4" t="str">
        <f t="shared" si="156"/>
        <v>1+0.412841186168218i</v>
      </c>
      <c r="R183" s="4">
        <f t="shared" si="167"/>
        <v>1.081867757628806</v>
      </c>
      <c r="S183" s="4">
        <f t="shared" si="168"/>
        <v>0.39152711722534311</v>
      </c>
      <c r="T183" s="4" t="str">
        <f t="shared" si="157"/>
        <v>1+0.000449055325305781i</v>
      </c>
      <c r="U183" s="4">
        <f t="shared" si="169"/>
        <v>1.0000001008253376</v>
      </c>
      <c r="V183" s="4">
        <f t="shared" si="170"/>
        <v>4.4905529512167999E-4</v>
      </c>
      <c r="W183" t="str">
        <f t="shared" si="158"/>
        <v>1-0.00587666790514963i</v>
      </c>
      <c r="X183" s="4">
        <f t="shared" si="171"/>
        <v>1.0000172674637511</v>
      </c>
      <c r="Y183" s="4">
        <f t="shared" si="172"/>
        <v>-5.8766002558673022E-3</v>
      </c>
      <c r="Z183" t="str">
        <f t="shared" si="159"/>
        <v>0.999999827343445+0.00115734545995506i</v>
      </c>
      <c r="AA183" s="4">
        <f t="shared" si="173"/>
        <v>1.0000004970675931</v>
      </c>
      <c r="AB183" s="4">
        <f t="shared" si="174"/>
        <v>1.157345143043637E-3</v>
      </c>
      <c r="AC183" s="48" t="str">
        <f t="shared" si="175"/>
        <v>13.9489541837435-5.86650485416283i</v>
      </c>
      <c r="AD183" s="20">
        <f t="shared" si="176"/>
        <v>23.598150036852253</v>
      </c>
      <c r="AE183" s="44">
        <f t="shared" si="177"/>
        <v>-22.810137793440489</v>
      </c>
      <c r="AF183" t="str">
        <f t="shared" si="178"/>
        <v>45.9520231294187</v>
      </c>
      <c r="AG183" t="str">
        <f t="shared" si="160"/>
        <v>1+0.198112643517256i</v>
      </c>
      <c r="AH183">
        <f t="shared" si="179"/>
        <v>1.0194354415662599</v>
      </c>
      <c r="AI183">
        <f t="shared" si="180"/>
        <v>0.19558013708131805</v>
      </c>
      <c r="AJ183" t="str">
        <f t="shared" si="161"/>
        <v>1+0.000449055325305781i</v>
      </c>
      <c r="AK183">
        <f t="shared" si="181"/>
        <v>1.0000001008253376</v>
      </c>
      <c r="AL183">
        <f t="shared" si="182"/>
        <v>4.4905529512167999E-4</v>
      </c>
      <c r="AM183" t="str">
        <f t="shared" si="162"/>
        <v>1-0.00100468399221469i</v>
      </c>
      <c r="AN183">
        <f t="shared" si="183"/>
        <v>1.0000005046948348</v>
      </c>
      <c r="AO183">
        <f t="shared" si="184"/>
        <v>-1.0046836541755953E-3</v>
      </c>
      <c r="AP183" s="42" t="str">
        <f t="shared" si="185"/>
        <v>44.2117359929156-8.7844361533967i</v>
      </c>
      <c r="AQ183">
        <f t="shared" si="186"/>
        <v>33.078903433080946</v>
      </c>
      <c r="AR183" s="44">
        <f t="shared" si="187"/>
        <v>-11.237751571301194</v>
      </c>
      <c r="AS183" t="str">
        <f t="shared" si="163"/>
        <v>-0.000166666666666667</v>
      </c>
      <c r="AT183" t="str">
        <f t="shared" si="164"/>
        <v>0.0000354192387834935i</v>
      </c>
      <c r="AU183">
        <f t="shared" si="188"/>
        <v>3.5419238783493501E-5</v>
      </c>
      <c r="AV183">
        <f t="shared" si="189"/>
        <v>1.5707963267948966</v>
      </c>
      <c r="AW183" t="str">
        <f t="shared" si="165"/>
        <v>1+0.00645294637434258i</v>
      </c>
      <c r="AX183">
        <f t="shared" si="190"/>
        <v>1.000020820041718</v>
      </c>
      <c r="AY183">
        <f t="shared" si="191"/>
        <v>6.4528568085727676E-3</v>
      </c>
      <c r="AZ183" t="str">
        <f t="shared" si="166"/>
        <v>1+0.131348682651941i</v>
      </c>
      <c r="BA183">
        <f t="shared" si="192"/>
        <v>1.0085893497526137</v>
      </c>
      <c r="BB183">
        <f t="shared" si="193"/>
        <v>0.13060104335253406</v>
      </c>
      <c r="BC183" s="42" t="str">
        <f t="shared" si="194"/>
        <v>-0.587677488565598+4.70933286684299i</v>
      </c>
      <c r="BD183">
        <f t="shared" si="195"/>
        <v>13.526297246180691</v>
      </c>
      <c r="BE183" s="44">
        <f t="shared" si="196"/>
        <v>97.113167123171834</v>
      </c>
      <c r="BF183" s="42" t="str">
        <f t="shared" si="197"/>
        <v>19.429837760384+69.1378812349426i</v>
      </c>
      <c r="BG183" s="20">
        <f t="shared" si="198"/>
        <v>37.12444728303295</v>
      </c>
      <c r="BH183" s="44">
        <f t="shared" si="199"/>
        <v>74.303029329731331</v>
      </c>
      <c r="BI183" s="42" t="str">
        <f t="shared" si="203"/>
        <v>15.386591920433+213.370196788716i</v>
      </c>
      <c r="BJ183" s="20">
        <f t="shared" si="200"/>
        <v>46.60520067926165</v>
      </c>
      <c r="BK183" s="44">
        <f t="shared" si="204"/>
        <v>85.875415551870645</v>
      </c>
      <c r="BL183">
        <f t="shared" si="201"/>
        <v>37.12444728303295</v>
      </c>
      <c r="BM183" s="44">
        <f t="shared" si="202"/>
        <v>74.303029329731331</v>
      </c>
    </row>
    <row r="184" spans="14:65" x14ac:dyDescent="0.35">
      <c r="N184" s="9">
        <v>66</v>
      </c>
      <c r="O184" s="35">
        <f t="shared" ref="O184:O218" si="205">10^(2+(N184/100))</f>
        <v>457.0881896148756</v>
      </c>
      <c r="P184" s="34" t="str">
        <f t="shared" si="155"/>
        <v>16.3709677419355</v>
      </c>
      <c r="Q184" s="4" t="str">
        <f t="shared" si="156"/>
        <v>1+0.422457492730812i</v>
      </c>
      <c r="R184" s="4">
        <f t="shared" si="167"/>
        <v>1.0855737345590137</v>
      </c>
      <c r="S184" s="4">
        <f t="shared" si="168"/>
        <v>0.39971515142234953</v>
      </c>
      <c r="T184" s="4" t="str">
        <f t="shared" si="157"/>
        <v>1+0.00045951516753176i</v>
      </c>
      <c r="U184" s="4">
        <f t="shared" si="169"/>
        <v>1.0000001055770891</v>
      </c>
      <c r="V184" s="4">
        <f t="shared" si="170"/>
        <v>4.5951513518891325E-4</v>
      </c>
      <c r="W184" t="str">
        <f t="shared" si="158"/>
        <v>1-0.00601355308530083i</v>
      </c>
      <c r="X184" s="4">
        <f t="shared" si="171"/>
        <v>1.0000180812468891</v>
      </c>
      <c r="Y184" s="4">
        <f t="shared" si="172"/>
        <v>-6.0134805978596167E-3</v>
      </c>
      <c r="Z184" t="str">
        <f t="shared" si="159"/>
        <v>0.999999819206392+0.00118430349881995i</v>
      </c>
      <c r="AA184" s="4">
        <f t="shared" si="173"/>
        <v>1.0000005204936615</v>
      </c>
      <c r="AB184" s="4">
        <f t="shared" si="174"/>
        <v>1.1843031592432514E-3</v>
      </c>
      <c r="AC184" s="48" t="str">
        <f t="shared" si="175"/>
        <v>13.8520947400527-5.96223430522001i</v>
      </c>
      <c r="AD184" s="20">
        <f t="shared" si="176"/>
        <v>23.568453960795985</v>
      </c>
      <c r="AE184" s="44">
        <f t="shared" si="177"/>
        <v>-23.288065537194363</v>
      </c>
      <c r="AF184" t="str">
        <f t="shared" si="178"/>
        <v>45.9520231294187</v>
      </c>
      <c r="AG184" t="str">
        <f t="shared" si="160"/>
        <v>1+0.202727279793423i</v>
      </c>
      <c r="AH184">
        <f t="shared" si="179"/>
        <v>1.0203422709916712</v>
      </c>
      <c r="AI184">
        <f t="shared" si="180"/>
        <v>0.20001656360578604</v>
      </c>
      <c r="AJ184" t="str">
        <f t="shared" si="161"/>
        <v>1+0.00045951516753176i</v>
      </c>
      <c r="AK184">
        <f t="shared" si="181"/>
        <v>1.0000001055770891</v>
      </c>
      <c r="AL184">
        <f t="shared" si="182"/>
        <v>4.5951513518891325E-4</v>
      </c>
      <c r="AM184" t="str">
        <f t="shared" si="162"/>
        <v>1-0.00102808608868994i</v>
      </c>
      <c r="AN184">
        <f t="shared" si="183"/>
        <v>1.0000005284803632</v>
      </c>
      <c r="AO184">
        <f t="shared" si="184"/>
        <v>-1.0280857264745344E-3</v>
      </c>
      <c r="AP184" s="42" t="str">
        <f t="shared" si="185"/>
        <v>44.132956494382-8.97308120346731i</v>
      </c>
      <c r="AQ184">
        <f t="shared" si="186"/>
        <v>33.071180662135205</v>
      </c>
      <c r="AR184" s="44">
        <f t="shared" si="187"/>
        <v>-11.492681622557432</v>
      </c>
      <c r="AS184" t="str">
        <f t="shared" si="163"/>
        <v>-0.000166666666666667</v>
      </c>
      <c r="AT184" t="str">
        <f t="shared" si="164"/>
        <v>0.0000362442588390676i</v>
      </c>
      <c r="AU184">
        <f t="shared" si="188"/>
        <v>3.6244258839067598E-5</v>
      </c>
      <c r="AV184">
        <f t="shared" si="189"/>
        <v>1.5707963267948966</v>
      </c>
      <c r="AW184" t="str">
        <f t="shared" si="165"/>
        <v>1+0.00660325480442827i</v>
      </c>
      <c r="AX184">
        <f t="shared" si="190"/>
        <v>1.0000218012493589</v>
      </c>
      <c r="AY184">
        <f t="shared" si="191"/>
        <v>6.6031588330898276E-3</v>
      </c>
      <c r="AZ184" t="str">
        <f t="shared" si="166"/>
        <v>1+0.13440818650304i</v>
      </c>
      <c r="BA184">
        <f t="shared" si="192"/>
        <v>1.0089923491280972</v>
      </c>
      <c r="BB184">
        <f t="shared" si="193"/>
        <v>0.13360746166012277</v>
      </c>
      <c r="BC184" s="42" t="str">
        <f t="shared" si="194"/>
        <v>-0.587676335324021+4.60231001079393i</v>
      </c>
      <c r="BD184">
        <f t="shared" si="195"/>
        <v>13.329758628437158</v>
      </c>
      <c r="BE184" s="44">
        <f t="shared" si="196"/>
        <v>97.276810531990392</v>
      </c>
      <c r="BF184" s="42" t="str">
        <f t="shared" si="197"/>
        <v>19.2995023562177+67.2554982994453i</v>
      </c>
      <c r="BG184" s="20">
        <f t="shared" si="198"/>
        <v>36.89821258923314</v>
      </c>
      <c r="BH184" s="44">
        <f t="shared" si="199"/>
        <v>73.98874499479605</v>
      </c>
      <c r="BI184" s="42" t="str">
        <f t="shared" si="203"/>
        <v>15.3610073107516+208.386814958246i</v>
      </c>
      <c r="BJ184" s="20">
        <f t="shared" si="200"/>
        <v>46.400939290572374</v>
      </c>
      <c r="BK184" s="44">
        <f t="shared" si="204"/>
        <v>85.784128909432965</v>
      </c>
      <c r="BL184">
        <f t="shared" si="201"/>
        <v>36.89821258923314</v>
      </c>
      <c r="BM184" s="44">
        <f t="shared" si="202"/>
        <v>73.98874499479605</v>
      </c>
    </row>
    <row r="185" spans="14:65" x14ac:dyDescent="0.35">
      <c r="N185" s="9">
        <v>67</v>
      </c>
      <c r="O185" s="35">
        <f t="shared" si="205"/>
        <v>467.7351412871983</v>
      </c>
      <c r="P185" s="34" t="str">
        <f t="shared" si="155"/>
        <v>16.3709677419355</v>
      </c>
      <c r="Q185" s="4" t="str">
        <f t="shared" si="156"/>
        <v>1+0.432297791847937i</v>
      </c>
      <c r="R185" s="4">
        <f t="shared" si="167"/>
        <v>1.089440856970493</v>
      </c>
      <c r="S185" s="4">
        <f t="shared" si="168"/>
        <v>0.40803566867756375</v>
      </c>
      <c r="T185" s="4" t="str">
        <f t="shared" si="157"/>
        <v>1+0.000470218650781966i</v>
      </c>
      <c r="U185" s="4">
        <f t="shared" si="169"/>
        <v>1.0000001105527836</v>
      </c>
      <c r="V185" s="4">
        <f t="shared" si="170"/>
        <v>4.7021861612598151E-4</v>
      </c>
      <c r="W185" t="str">
        <f t="shared" si="158"/>
        <v>1-0.00615362673089665i</v>
      </c>
      <c r="X185" s="4">
        <f t="shared" si="171"/>
        <v>1.0000189333817351</v>
      </c>
      <c r="Y185" s="4">
        <f t="shared" si="172"/>
        <v>-6.1535490592834257E-3</v>
      </c>
      <c r="Z185" t="str">
        <f t="shared" si="159"/>
        <v>0.999999810685852+0.00121188947107604i</v>
      </c>
      <c r="AA185" s="4">
        <f t="shared" si="173"/>
        <v>1.0000005450237663</v>
      </c>
      <c r="AB185" s="4">
        <f t="shared" si="174"/>
        <v>1.2118891072130621E-3</v>
      </c>
      <c r="AC185" s="48" t="str">
        <f t="shared" si="175"/>
        <v>13.7520756247507-6.05787453643286i</v>
      </c>
      <c r="AD185" s="20">
        <f t="shared" si="176"/>
        <v>23.5375745638223</v>
      </c>
      <c r="AE185" s="44">
        <f t="shared" si="177"/>
        <v>-23.773788685075193</v>
      </c>
      <c r="AF185" t="str">
        <f t="shared" si="178"/>
        <v>45.9520231294187</v>
      </c>
      <c r="AG185" t="str">
        <f t="shared" si="160"/>
        <v>1+0.207449404756749i</v>
      </c>
      <c r="AH185">
        <f t="shared" si="179"/>
        <v>1.0212909749595995</v>
      </c>
      <c r="AI185">
        <f t="shared" si="180"/>
        <v>0.20454808034862104</v>
      </c>
      <c r="AJ185" t="str">
        <f t="shared" si="161"/>
        <v>1+0.000470218650781966i</v>
      </c>
      <c r="AK185">
        <f t="shared" si="181"/>
        <v>1.0000001105527836</v>
      </c>
      <c r="AL185">
        <f t="shared" si="182"/>
        <v>4.7021861612598151E-4</v>
      </c>
      <c r="AM185" t="str">
        <f t="shared" si="162"/>
        <v>1-0.00105203329001775i</v>
      </c>
      <c r="AN185">
        <f t="shared" si="183"/>
        <v>1.0000005533868686</v>
      </c>
      <c r="AO185">
        <f t="shared" si="184"/>
        <v>-1.0520329018969617E-3</v>
      </c>
      <c r="AP185" s="42" t="str">
        <f t="shared" si="185"/>
        <v>44.0507637124388-9.16504027098482i</v>
      </c>
      <c r="AQ185">
        <f t="shared" si="186"/>
        <v>33.063108621167338</v>
      </c>
      <c r="AR185" s="44">
        <f t="shared" si="187"/>
        <v>-11.753077214513928</v>
      </c>
      <c r="AS185" t="str">
        <f t="shared" si="163"/>
        <v>-0.000166666666666667</v>
      </c>
      <c r="AT185" t="str">
        <f t="shared" si="164"/>
        <v>0.0000370884960804276i</v>
      </c>
      <c r="AU185">
        <f t="shared" si="188"/>
        <v>3.7088496080427599E-5</v>
      </c>
      <c r="AV185">
        <f t="shared" si="189"/>
        <v>1.5707963267948966</v>
      </c>
      <c r="AW185" t="str">
        <f t="shared" si="165"/>
        <v>1+0.00675706436761566i</v>
      </c>
      <c r="AX185">
        <f t="shared" si="190"/>
        <v>1.0000228286988593</v>
      </c>
      <c r="AY185">
        <f t="shared" si="191"/>
        <v>6.7569615326005571E-3</v>
      </c>
      <c r="AZ185" t="str">
        <f t="shared" si="166"/>
        <v>1+0.137538955353725i</v>
      </c>
      <c r="BA185">
        <f t="shared" si="192"/>
        <v>1.0094141688324936</v>
      </c>
      <c r="BB185">
        <f t="shared" si="193"/>
        <v>0.13668139481022334</v>
      </c>
      <c r="BC185" s="42" t="str">
        <f t="shared" si="194"/>
        <v>-0.587675127736695+4.49772735971341i</v>
      </c>
      <c r="BD185">
        <f t="shared" si="195"/>
        <v>13.133380171645229</v>
      </c>
      <c r="BE185" s="44">
        <f t="shared" si="196"/>
        <v>97.444121682436858</v>
      </c>
      <c r="BF185" s="42" t="str">
        <f t="shared" si="197"/>
        <v>19.1649152448052+65.4131489823002i</v>
      </c>
      <c r="BG185" s="20">
        <f t="shared" si="198"/>
        <v>36.670954735467532</v>
      </c>
      <c r="BH185" s="44">
        <f t="shared" si="199"/>
        <v>73.670332997361697</v>
      </c>
      <c r="BI185" s="42" t="str">
        <f t="shared" si="203"/>
        <v>15.3343141880772+203.51439137767i</v>
      </c>
      <c r="BJ185" s="20">
        <f t="shared" si="200"/>
        <v>46.19648879281258</v>
      </c>
      <c r="BK185" s="44">
        <f t="shared" si="204"/>
        <v>85.69104446792295</v>
      </c>
      <c r="BL185">
        <f t="shared" si="201"/>
        <v>36.670954735467532</v>
      </c>
      <c r="BM185" s="44">
        <f t="shared" si="202"/>
        <v>73.670332997361697</v>
      </c>
    </row>
    <row r="186" spans="14:65" x14ac:dyDescent="0.35">
      <c r="N186" s="9">
        <v>68</v>
      </c>
      <c r="O186" s="35">
        <f t="shared" si="205"/>
        <v>478.63009232263886</v>
      </c>
      <c r="P186" s="34" t="str">
        <f t="shared" si="155"/>
        <v>16.3709677419355</v>
      </c>
      <c r="Q186" s="4" t="str">
        <f t="shared" si="156"/>
        <v>1+0.442367300976438i</v>
      </c>
      <c r="R186" s="4">
        <f t="shared" si="167"/>
        <v>1.0934755731031116</v>
      </c>
      <c r="S186" s="4">
        <f t="shared" si="168"/>
        <v>0.41648847128560929</v>
      </c>
      <c r="T186" s="4" t="str">
        <f t="shared" si="157"/>
        <v>1+0.000481171450184898i</v>
      </c>
      <c r="U186" s="4">
        <f t="shared" si="169"/>
        <v>1.0000001157629754</v>
      </c>
      <c r="V186" s="4">
        <f t="shared" si="170"/>
        <v>4.8117141305034178E-4</v>
      </c>
      <c r="W186" t="str">
        <f t="shared" si="158"/>
        <v>1-0.00629696311083807i</v>
      </c>
      <c r="X186" s="4">
        <f t="shared" si="171"/>
        <v>1.0000198256756809</v>
      </c>
      <c r="Y186" s="4">
        <f t="shared" si="172"/>
        <v>-6.2968798842941449E-3</v>
      </c>
      <c r="Z186" t="str">
        <f t="shared" si="159"/>
        <v>0.999999801763751+0.00124011800317094i</v>
      </c>
      <c r="AA186" s="4">
        <f t="shared" si="173"/>
        <v>1.0000005707099389</v>
      </c>
      <c r="AB186" s="4">
        <f t="shared" si="174"/>
        <v>1.2401176132847461E-3</v>
      </c>
      <c r="AC186" s="48" t="str">
        <f t="shared" si="175"/>
        <v>13.6488509577522-6.1533173398984i</v>
      </c>
      <c r="AD186" s="20">
        <f t="shared" si="176"/>
        <v>23.505473587756942</v>
      </c>
      <c r="AE186" s="44">
        <f t="shared" si="177"/>
        <v>-24.267300676142842</v>
      </c>
      <c r="AF186" t="str">
        <f t="shared" si="178"/>
        <v>45.9520231294187</v>
      </c>
      <c r="AG186" t="str">
        <f t="shared" si="160"/>
        <v>1+0.212281522140396i</v>
      </c>
      <c r="AH186">
        <f t="shared" si="179"/>
        <v>1.02228344633093</v>
      </c>
      <c r="AI186">
        <f t="shared" si="180"/>
        <v>0.20917634520414108</v>
      </c>
      <c r="AJ186" t="str">
        <f t="shared" si="161"/>
        <v>1+0.000481171450184898i</v>
      </c>
      <c r="AK186">
        <f t="shared" si="181"/>
        <v>1.0000001157629754</v>
      </c>
      <c r="AL186">
        <f t="shared" si="182"/>
        <v>4.8117141305034178E-4</v>
      </c>
      <c r="AM186" t="str">
        <f t="shared" si="162"/>
        <v>1-0.00107653829332123i</v>
      </c>
      <c r="AN186">
        <f t="shared" si="183"/>
        <v>1.0000005794671805</v>
      </c>
      <c r="AO186">
        <f t="shared" si="184"/>
        <v>-1.0765378774423256E-3</v>
      </c>
      <c r="AP186" s="42" t="str">
        <f t="shared" si="185"/>
        <v>43.9650238501847-9.36032049480231i</v>
      </c>
      <c r="AQ186">
        <f t="shared" si="186"/>
        <v>33.054672207322</v>
      </c>
      <c r="AR186" s="44">
        <f t="shared" si="187"/>
        <v>-12.019033739842149</v>
      </c>
      <c r="AS186" t="str">
        <f t="shared" si="163"/>
        <v>-0.000166666666666667</v>
      </c>
      <c r="AT186" t="str">
        <f t="shared" si="164"/>
        <v>0.0000379523981333338i</v>
      </c>
      <c r="AU186">
        <f t="shared" si="188"/>
        <v>3.7952398133333801E-5</v>
      </c>
      <c r="AV186">
        <f t="shared" si="189"/>
        <v>1.5707963267948966</v>
      </c>
      <c r="AW186" t="str">
        <f t="shared" si="165"/>
        <v>1+0.0069144566157711i</v>
      </c>
      <c r="AX186">
        <f t="shared" si="190"/>
        <v>1.0000239045694315</v>
      </c>
      <c r="AY186">
        <f t="shared" si="191"/>
        <v>6.9143464262094211E-3</v>
      </c>
      <c r="AZ186" t="str">
        <f t="shared" si="166"/>
        <v>1+0.140742649179082i</v>
      </c>
      <c r="BA186">
        <f t="shared" si="192"/>
        <v>1.0098556794403575</v>
      </c>
      <c r="BB186">
        <f t="shared" si="193"/>
        <v>0.13982424015402053</v>
      </c>
      <c r="BC186" s="42" t="str">
        <f t="shared" si="194"/>
        <v>-0.587673863242848+4.39552946244419i</v>
      </c>
      <c r="BD186">
        <f t="shared" si="195"/>
        <v>12.937169142959178</v>
      </c>
      <c r="BE186" s="44">
        <f t="shared" si="196"/>
        <v>97.61517596613588</v>
      </c>
      <c r="BF186" s="42" t="str">
        <f t="shared" si="197"/>
        <v>19.026014688124+63.6100702862067i</v>
      </c>
      <c r="BG186" s="20">
        <f t="shared" si="198"/>
        <v>36.442642730716123</v>
      </c>
      <c r="BH186" s="44">
        <f t="shared" si="199"/>
        <v>73.347875289993084</v>
      </c>
      <c r="BI186" s="42" t="str">
        <f t="shared" si="203"/>
        <v>15.3064690992217+198.75037335692i</v>
      </c>
      <c r="BJ186" s="20">
        <f t="shared" si="200"/>
        <v>45.99184135028117</v>
      </c>
      <c r="BK186" s="44">
        <f t="shared" si="204"/>
        <v>85.59614222629375</v>
      </c>
      <c r="BL186">
        <f t="shared" si="201"/>
        <v>36.442642730716123</v>
      </c>
      <c r="BM186" s="44">
        <f t="shared" si="202"/>
        <v>73.347875289993084</v>
      </c>
    </row>
    <row r="187" spans="14:65" x14ac:dyDescent="0.35">
      <c r="N187" s="9">
        <v>69</v>
      </c>
      <c r="O187" s="35">
        <f t="shared" si="205"/>
        <v>489.77881936844625</v>
      </c>
      <c r="P187" s="34" t="str">
        <f t="shared" si="155"/>
        <v>16.3709677419355</v>
      </c>
      <c r="Q187" s="4" t="str">
        <f t="shared" si="156"/>
        <v>1+0.452671359103341i</v>
      </c>
      <c r="R187" s="4">
        <f t="shared" si="167"/>
        <v>1.0976845445538832</v>
      </c>
      <c r="S187" s="4">
        <f t="shared" si="168"/>
        <v>0.42507320837223578</v>
      </c>
      <c r="T187" s="4" t="str">
        <f t="shared" si="157"/>
        <v>1+0.000492379373059774i</v>
      </c>
      <c r="U187" s="4">
        <f t="shared" si="169"/>
        <v>1.0000001212187162</v>
      </c>
      <c r="V187" s="4">
        <f t="shared" si="170"/>
        <v>4.9237933326938034E-4</v>
      </c>
      <c r="W187" t="str">
        <f t="shared" si="158"/>
        <v>1-0.00644363822397102i</v>
      </c>
      <c r="X187" s="4">
        <f t="shared" si="171"/>
        <v>1.0000207600212914</v>
      </c>
      <c r="Y187" s="4">
        <f t="shared" si="172"/>
        <v>-6.4435490452224835E-3</v>
      </c>
      <c r="Z187" t="str">
        <f t="shared" si="159"/>
        <v>0.999999792421164+0.00126900406224603i</v>
      </c>
      <c r="AA187" s="4">
        <f t="shared" si="173"/>
        <v>1.0000005976066622</v>
      </c>
      <c r="AB187" s="4">
        <f t="shared" si="174"/>
        <v>1.2690036444754599E-3</v>
      </c>
      <c r="AC187" s="48" t="str">
        <f t="shared" si="175"/>
        <v>13.5423788851672-6.24844965109187i</v>
      </c>
      <c r="AD187" s="20">
        <f t="shared" si="176"/>
        <v>23.472112247267471</v>
      </c>
      <c r="AE187" s="44">
        <f t="shared" si="177"/>
        <v>-24.768586284490247</v>
      </c>
      <c r="AF187" t="str">
        <f t="shared" si="178"/>
        <v>45.9520231294187</v>
      </c>
      <c r="AG187" t="str">
        <f t="shared" si="160"/>
        <v>1+0.217226193996959i</v>
      </c>
      <c r="AH187">
        <f t="shared" si="179"/>
        <v>1.023321659771943</v>
      </c>
      <c r="AI187">
        <f t="shared" si="180"/>
        <v>0.21390301863859093</v>
      </c>
      <c r="AJ187" t="str">
        <f t="shared" si="161"/>
        <v>1+0.000492379373059774i</v>
      </c>
      <c r="AK187">
        <f t="shared" si="181"/>
        <v>1.0000001212187162</v>
      </c>
      <c r="AL187">
        <f t="shared" si="182"/>
        <v>4.9237933326938034E-4</v>
      </c>
      <c r="AM187" t="str">
        <f t="shared" si="162"/>
        <v>1-0.0011016140914775i</v>
      </c>
      <c r="AN187">
        <f t="shared" si="183"/>
        <v>1.0000006067766192</v>
      </c>
      <c r="AO187">
        <f t="shared" si="184"/>
        <v>-1.1016136458552399E-3</v>
      </c>
      <c r="AP187" s="42" t="str">
        <f t="shared" si="185"/>
        <v>43.8755991615738-9.55892498307681i</v>
      </c>
      <c r="AQ187">
        <f t="shared" si="186"/>
        <v>33.045855728488704</v>
      </c>
      <c r="AR187" s="44">
        <f t="shared" si="187"/>
        <v>-12.290646747945159</v>
      </c>
      <c r="AS187" t="str">
        <f t="shared" si="163"/>
        <v>-0.000166666666666667</v>
      </c>
      <c r="AT187" t="str">
        <f t="shared" si="164"/>
        <v>0.0000388364230500897i</v>
      </c>
      <c r="AU187">
        <f t="shared" si="188"/>
        <v>3.8836423050089703E-5</v>
      </c>
      <c r="AV187">
        <f t="shared" si="189"/>
        <v>1.5707963267948966</v>
      </c>
      <c r="AW187" t="str">
        <f t="shared" si="165"/>
        <v>1+0.00707551500034787i</v>
      </c>
      <c r="AX187">
        <f t="shared" si="190"/>
        <v>1.000025031142981</v>
      </c>
      <c r="AY187">
        <f t="shared" si="191"/>
        <v>7.0753969302649105E-3</v>
      </c>
      <c r="AZ187" t="str">
        <f t="shared" si="166"/>
        <v>1+0.144020966619984i</v>
      </c>
      <c r="BA187">
        <f t="shared" si="192"/>
        <v>1.0103177910074406</v>
      </c>
      <c r="BB187">
        <f t="shared" si="193"/>
        <v>0.14303741559225991</v>
      </c>
      <c r="BC187" s="42" t="str">
        <f t="shared" si="194"/>
        <v>-0.58767253916108+4.29566213225338i</v>
      </c>
      <c r="BD187">
        <f t="shared" si="195"/>
        <v>12.741133125703621</v>
      </c>
      <c r="BE187" s="44">
        <f t="shared" si="196"/>
        <v>97.790049843411254</v>
      </c>
      <c r="BF187" s="42" t="str">
        <f t="shared" si="197"/>
        <v>18.8827443657596+61.8455264299178i</v>
      </c>
      <c r="BG187" s="20">
        <f t="shared" si="198"/>
        <v>36.213245372971087</v>
      </c>
      <c r="BH187" s="44">
        <f t="shared" si="199"/>
        <v>73.021463558920999</v>
      </c>
      <c r="BI187" s="42" t="str">
        <f t="shared" si="203"/>
        <v>15.277427308358+194.092267564756i</v>
      </c>
      <c r="BJ187" s="20">
        <f t="shared" si="200"/>
        <v>45.78698885419233</v>
      </c>
      <c r="BK187" s="44">
        <f t="shared" si="204"/>
        <v>85.499403095466107</v>
      </c>
      <c r="BL187">
        <f t="shared" si="201"/>
        <v>36.213245372971087</v>
      </c>
      <c r="BM187" s="44">
        <f t="shared" si="202"/>
        <v>73.021463558920999</v>
      </c>
    </row>
    <row r="188" spans="14:65" x14ac:dyDescent="0.35">
      <c r="N188" s="9">
        <v>70</v>
      </c>
      <c r="O188" s="35">
        <f t="shared" si="205"/>
        <v>501.18723362727269</v>
      </c>
      <c r="P188" s="34" t="str">
        <f t="shared" si="155"/>
        <v>16.3709677419355</v>
      </c>
      <c r="Q188" s="4" t="str">
        <f t="shared" si="156"/>
        <v>1+0.463215429576653i</v>
      </c>
      <c r="R188" s="4">
        <f t="shared" si="167"/>
        <v>1.1020746500114604</v>
      </c>
      <c r="S188" s="4">
        <f t="shared" si="168"/>
        <v>0.43378936923314826</v>
      </c>
      <c r="T188" s="4" t="str">
        <f t="shared" si="157"/>
        <v>1+0.000503848361995658i</v>
      </c>
      <c r="U188" s="4">
        <f t="shared" si="169"/>
        <v>1.0000001269315779</v>
      </c>
      <c r="V188" s="4">
        <f t="shared" si="170"/>
        <v>5.038483193594834E-4</v>
      </c>
      <c r="W188" t="str">
        <f t="shared" si="158"/>
        <v>1-0.00659372983938194i</v>
      </c>
      <c r="X188" s="4">
        <f t="shared" si="171"/>
        <v>1.0000217384003183</v>
      </c>
      <c r="Y188" s="4">
        <f t="shared" si="172"/>
        <v>-6.5936342827434538E-3</v>
      </c>
      <c r="Z188" t="str">
        <f t="shared" si="159"/>
        <v>0.999999782638275+0.00129856296407217i</v>
      </c>
      <c r="AA188" s="4">
        <f t="shared" si="173"/>
        <v>1.0000006257709886</v>
      </c>
      <c r="AB188" s="4">
        <f t="shared" si="174"/>
        <v>1.2985625164229535E-3</v>
      </c>
      <c r="AC188" s="48" t="str">
        <f t="shared" si="175"/>
        <v>13.4326219797653-6.34315364388681i</v>
      </c>
      <c r="AD188" s="20">
        <f t="shared" si="176"/>
        <v>23.437451280710462</v>
      </c>
      <c r="AE188" s="44">
        <f t="shared" si="177"/>
        <v>-25.277621240166376</v>
      </c>
      <c r="AF188" t="str">
        <f t="shared" si="178"/>
        <v>45.9520231294187</v>
      </c>
      <c r="AG188" t="str">
        <f t="shared" si="160"/>
        <v>1+0.222286042056907i</v>
      </c>
      <c r="AH188">
        <f t="shared" si="179"/>
        <v>1.0244076749484676</v>
      </c>
      <c r="AI188">
        <f t="shared" si="180"/>
        <v>0.21872976160030197</v>
      </c>
      <c r="AJ188" t="str">
        <f t="shared" si="161"/>
        <v>1+0.000503848361995658i</v>
      </c>
      <c r="AK188">
        <f t="shared" si="181"/>
        <v>1.0000001269315779</v>
      </c>
      <c r="AL188">
        <f t="shared" si="182"/>
        <v>5.038483193594834E-4</v>
      </c>
      <c r="AM188" t="str">
        <f t="shared" si="162"/>
        <v>1-0.00112727398000665i</v>
      </c>
      <c r="AN188">
        <f t="shared" si="183"/>
        <v>1.000000635373111</v>
      </c>
      <c r="AO188">
        <f t="shared" si="184"/>
        <v>-1.1272735025138118E-3</v>
      </c>
      <c r="AP188" s="42" t="str">
        <f t="shared" si="185"/>
        <v>43.7823479579334-9.76085250794564i</v>
      </c>
      <c r="AQ188">
        <f t="shared" si="186"/>
        <v>33.036642886172004</v>
      </c>
      <c r="AR188" s="44">
        <f t="shared" si="187"/>
        <v>-12.568011825436882</v>
      </c>
      <c r="AS188" t="str">
        <f t="shared" si="163"/>
        <v>-0.000166666666666667</v>
      </c>
      <c r="AT188" t="str">
        <f t="shared" si="164"/>
        <v>0.0000397410395524075i</v>
      </c>
      <c r="AU188">
        <f t="shared" si="188"/>
        <v>3.9741039552407503E-5</v>
      </c>
      <c r="AV188">
        <f t="shared" si="189"/>
        <v>1.5707963267948966</v>
      </c>
      <c r="AW188" t="str">
        <f t="shared" si="165"/>
        <v>1+0.00724032491663333i</v>
      </c>
      <c r="AX188">
        <f t="shared" si="190"/>
        <v>1.0000262108089459</v>
      </c>
      <c r="AY188">
        <f t="shared" si="191"/>
        <v>7.2401984024391582E-3</v>
      </c>
      <c r="AZ188" t="str">
        <f t="shared" si="166"/>
        <v>1+0.14737564588373i</v>
      </c>
      <c r="BA188">
        <f t="shared" si="192"/>
        <v>1.0108014547870647</v>
      </c>
      <c r="BB188">
        <f t="shared" si="193"/>
        <v>0.14632235925898471</v>
      </c>
      <c r="BC188" s="42" t="str">
        <f t="shared" si="194"/>
        <v>-0.587671152683653+4.19807241810166i</v>
      </c>
      <c r="BD188">
        <f t="shared" si="195"/>
        <v>12.545280031848758</v>
      </c>
      <c r="BE188" s="44">
        <f t="shared" si="196"/>
        <v>97.968820822639685</v>
      </c>
      <c r="BF188" s="42" t="str">
        <f t="shared" si="197"/>
        <v>18.7350539137698+60.1188082495913i</v>
      </c>
      <c r="BG188" s="20">
        <f t="shared" si="198"/>
        <v>35.982731312559217</v>
      </c>
      <c r="BH188" s="44">
        <f t="shared" si="199"/>
        <v>72.691199582473331</v>
      </c>
      <c r="BI188" s="42" t="str">
        <f t="shared" si="203"/>
        <v>15.2471427991295+189.537638806449i</v>
      </c>
      <c r="BJ188" s="20">
        <f t="shared" si="200"/>
        <v>45.581922918020751</v>
      </c>
      <c r="BK188" s="44">
        <f t="shared" si="204"/>
        <v>85.400808997202802</v>
      </c>
      <c r="BL188">
        <f t="shared" si="201"/>
        <v>35.982731312559217</v>
      </c>
      <c r="BM188" s="44">
        <f t="shared" si="202"/>
        <v>72.691199582473331</v>
      </c>
    </row>
    <row r="189" spans="14:65" x14ac:dyDescent="0.35">
      <c r="N189" s="9">
        <v>71</v>
      </c>
      <c r="O189" s="35">
        <f t="shared" si="205"/>
        <v>512.86138399136519</v>
      </c>
      <c r="P189" s="34" t="str">
        <f t="shared" si="155"/>
        <v>16.3709677419355</v>
      </c>
      <c r="Q189" s="4" t="str">
        <f t="shared" si="156"/>
        <v>1+0.474005103002108i</v>
      </c>
      <c r="R189" s="4">
        <f t="shared" si="167"/>
        <v>1.1066529888235241</v>
      </c>
      <c r="S189" s="4">
        <f t="shared" si="168"/>
        <v>0.44263627682635964</v>
      </c>
      <c r="T189" s="4" t="str">
        <f t="shared" si="157"/>
        <v>1+0.000515584498002293i</v>
      </c>
      <c r="U189" s="4">
        <f t="shared" si="169"/>
        <v>1.0000001329136785</v>
      </c>
      <c r="V189" s="4">
        <f t="shared" si="170"/>
        <v>5.1558445231680915E-4</v>
      </c>
      <c r="W189" t="str">
        <f t="shared" si="158"/>
        <v>1-0.00674731753763204i</v>
      </c>
      <c r="X189" s="4">
        <f t="shared" si="171"/>
        <v>1.0000227628879024</v>
      </c>
      <c r="Y189" s="4">
        <f t="shared" si="172"/>
        <v>-6.7472151469750328E-3</v>
      </c>
      <c r="Z189" t="str">
        <f t="shared" si="159"/>
        <v>0.999999772394333+0.00132881038117037i</v>
      </c>
      <c r="AA189" s="4">
        <f t="shared" si="173"/>
        <v>1.0000006552626588</v>
      </c>
      <c r="AB189" s="4">
        <f t="shared" si="174"/>
        <v>1.3288099015056083E-3</v>
      </c>
      <c r="AC189" s="48" t="str">
        <f t="shared" si="175"/>
        <v>13.319547648204-6.43730685763133i</v>
      </c>
      <c r="AD189" s="20">
        <f t="shared" si="176"/>
        <v>23.401451005838922</v>
      </c>
      <c r="AE189" s="44">
        <f t="shared" si="177"/>
        <v>-25.79437185895442</v>
      </c>
      <c r="AF189" t="str">
        <f t="shared" si="178"/>
        <v>45.9520231294187</v>
      </c>
      <c r="AG189" t="str">
        <f t="shared" si="160"/>
        <v>1+0.227463749118658i</v>
      </c>
      <c r="AH189">
        <f t="shared" si="179"/>
        <v>1.025543639814082</v>
      </c>
      <c r="AI189">
        <f t="shared" si="180"/>
        <v>0.22365823327400469</v>
      </c>
      <c r="AJ189" t="str">
        <f t="shared" si="161"/>
        <v>1+0.000515584498002293i</v>
      </c>
      <c r="AK189">
        <f t="shared" si="181"/>
        <v>1.0000001329136785</v>
      </c>
      <c r="AL189">
        <f t="shared" si="182"/>
        <v>5.1558445231680915E-4</v>
      </c>
      <c r="AM189" t="str">
        <f t="shared" si="162"/>
        <v>1-0.00115353156412124i</v>
      </c>
      <c r="AN189">
        <f t="shared" si="183"/>
        <v>1.0000006653173135</v>
      </c>
      <c r="AO189">
        <f t="shared" si="184"/>
        <v>-1.153531052478464E-3</v>
      </c>
      <c r="AP189" s="42" t="str">
        <f t="shared" si="185"/>
        <v>43.6851246287991-9.96609718712012i</v>
      </c>
      <c r="AQ189">
        <f t="shared" si="186"/>
        <v>33.027016758420629</v>
      </c>
      <c r="AR189" s="44">
        <f t="shared" si="187"/>
        <v>-12.851224467696902</v>
      </c>
      <c r="AS189" t="str">
        <f t="shared" si="163"/>
        <v>-0.000166666666666667</v>
      </c>
      <c r="AT189" t="str">
        <f t="shared" si="164"/>
        <v>0.0000406667272799309i</v>
      </c>
      <c r="AU189">
        <f t="shared" si="188"/>
        <v>4.06667272799309E-5</v>
      </c>
      <c r="AV189">
        <f t="shared" si="189"/>
        <v>1.5707963267948966</v>
      </c>
      <c r="AW189" t="str">
        <f t="shared" si="165"/>
        <v>1+0.00740897374902661i</v>
      </c>
      <c r="AX189">
        <f t="shared" si="190"/>
        <v>1.0000274460693634</v>
      </c>
      <c r="AY189">
        <f t="shared" si="191"/>
        <v>7.4088381868261102E-3</v>
      </c>
      <c r="AZ189" t="str">
        <f t="shared" si="166"/>
        <v>1+0.15080846566567i</v>
      </c>
      <c r="BA189">
        <f t="shared" si="192"/>
        <v>1.0113076650141803</v>
      </c>
      <c r="BB189">
        <f t="shared" si="193"/>
        <v>0.14968052914840185</v>
      </c>
      <c r="BC189" s="42" t="str">
        <f t="shared" si="194"/>
        <v>-0.587669700870565+4.10270857656766i</v>
      </c>
      <c r="BD189">
        <f t="shared" si="195"/>
        <v>12.349618114855796</v>
      </c>
      <c r="BE189" s="44">
        <f t="shared" si="196"/>
        <v>98.151567436287849</v>
      </c>
      <c r="BF189" s="42" t="str">
        <f t="shared" si="197"/>
        <v>18.5828994726506+58.4292325677244i</v>
      </c>
      <c r="BG189" s="20">
        <f t="shared" si="198"/>
        <v>35.751069120694716</v>
      </c>
      <c r="BH189" s="44">
        <f t="shared" si="199"/>
        <v>72.357195577333414</v>
      </c>
      <c r="BI189" s="42" t="str">
        <f t="shared" si="203"/>
        <v>15.2155682814048+185.084108835803i</v>
      </c>
      <c r="BJ189" s="20">
        <f t="shared" si="200"/>
        <v>45.376634873276423</v>
      </c>
      <c r="BK189" s="44">
        <f t="shared" si="204"/>
        <v>85.300342968590954</v>
      </c>
      <c r="BL189">
        <f t="shared" si="201"/>
        <v>35.751069120694716</v>
      </c>
      <c r="BM189" s="44">
        <f t="shared" si="202"/>
        <v>72.357195577333414</v>
      </c>
    </row>
    <row r="190" spans="14:65" x14ac:dyDescent="0.35">
      <c r="N190" s="9">
        <v>72</v>
      </c>
      <c r="O190" s="35">
        <f t="shared" si="205"/>
        <v>524.80746024977248</v>
      </c>
      <c r="P190" s="34" t="str">
        <f t="shared" si="155"/>
        <v>16.3709677419355</v>
      </c>
      <c r="Q190" s="4" t="str">
        <f t="shared" si="156"/>
        <v>1+0.485046100207375i</v>
      </c>
      <c r="R190" s="4">
        <f t="shared" si="167"/>
        <v>1.1114268843816866</v>
      </c>
      <c r="S190" s="4">
        <f t="shared" si="168"/>
        <v>0.45161308146370849</v>
      </c>
      <c r="T190" s="4" t="str">
        <f t="shared" si="157"/>
        <v>1+0.000527594003734338i</v>
      </c>
      <c r="U190" s="4">
        <f t="shared" si="169"/>
        <v>1.0000001391777067</v>
      </c>
      <c r="V190" s="4">
        <f t="shared" si="170"/>
        <v>5.2759395478146041E-4</v>
      </c>
      <c r="W190" t="str">
        <f t="shared" si="158"/>
        <v>1-0.00690448275295191i</v>
      </c>
      <c r="X190" s="4">
        <f t="shared" si="171"/>
        <v>1.0000238356569737</v>
      </c>
      <c r="Y190" s="4">
        <f t="shared" si="172"/>
        <v>-6.9043730395274864E-3</v>
      </c>
      <c r="Z190" t="str">
        <f t="shared" si="159"/>
        <v>0.999999761667608+0.00135976235112156i</v>
      </c>
      <c r="AA190" s="4">
        <f t="shared" si="173"/>
        <v>1.0000006861442268</v>
      </c>
      <c r="AB190" s="4">
        <f t="shared" si="174"/>
        <v>1.3597618371515268E-3</v>
      </c>
      <c r="AC190" s="48" t="str">
        <f t="shared" si="175"/>
        <v>13.2031285425725-6.53078235810594i</v>
      </c>
      <c r="AD190" s="20">
        <f t="shared" si="176"/>
        <v>23.364071380436378</v>
      </c>
      <c r="AE190" s="44">
        <f t="shared" si="177"/>
        <v>-26.318794683623377</v>
      </c>
      <c r="AF190" t="str">
        <f t="shared" si="178"/>
        <v>45.9520231294187</v>
      </c>
      <c r="AG190" t="str">
        <f t="shared" si="160"/>
        <v>1+0.232762060471031i</v>
      </c>
      <c r="AH190">
        <f t="shared" si="179"/>
        <v>1.0267317939923355</v>
      </c>
      <c r="AI190">
        <f t="shared" si="180"/>
        <v>0.228690088672791</v>
      </c>
      <c r="AJ190" t="str">
        <f t="shared" si="161"/>
        <v>1+0.000527594003734338i</v>
      </c>
      <c r="AK190">
        <f t="shared" si="181"/>
        <v>1.0000001391777067</v>
      </c>
      <c r="AL190">
        <f t="shared" si="182"/>
        <v>5.2759395478146041E-4</v>
      </c>
      <c r="AM190" t="str">
        <f t="shared" si="162"/>
        <v>1-0.00118040076593992i</v>
      </c>
      <c r="AN190">
        <f t="shared" si="183"/>
        <v>1.0000006966727415</v>
      </c>
      <c r="AO190">
        <f t="shared" si="184"/>
        <v>-1.1804002177048291E-3</v>
      </c>
      <c r="AP190" s="42" t="str">
        <f t="shared" si="185"/>
        <v>43.5837796785197-10.1746481525236i</v>
      </c>
      <c r="AQ190">
        <f t="shared" si="186"/>
        <v>33.016959782880832</v>
      </c>
      <c r="AR190" s="44">
        <f t="shared" si="187"/>
        <v>-13.140379941128687</v>
      </c>
      <c r="AS190" t="str">
        <f t="shared" si="163"/>
        <v>-0.000166666666666667</v>
      </c>
      <c r="AT190" t="str">
        <f t="shared" si="164"/>
        <v>0.0000416139770445458i</v>
      </c>
      <c r="AU190">
        <f t="shared" si="188"/>
        <v>4.1613977044545797E-5</v>
      </c>
      <c r="AV190">
        <f t="shared" si="189"/>
        <v>1.5707963267948966</v>
      </c>
      <c r="AW190" t="str">
        <f t="shared" si="165"/>
        <v>1+0.00758155091737101i</v>
      </c>
      <c r="AX190">
        <f t="shared" si="190"/>
        <v>1.0000287395441756</v>
      </c>
      <c r="AY190">
        <f t="shared" si="191"/>
        <v>7.5814056600815739E-3</v>
      </c>
      <c r="AZ190" t="str">
        <f t="shared" si="166"/>
        <v>1+0.154321246092294i</v>
      </c>
      <c r="BA190">
        <f t="shared" si="192"/>
        <v>1.0118374607591272</v>
      </c>
      <c r="BB190">
        <f t="shared" si="193"/>
        <v>0.15311340268083334</v>
      </c>
      <c r="BC190" s="42" t="str">
        <f t="shared" si="194"/>
        <v>-0.587668180643333+4.00952004441266i</v>
      </c>
      <c r="BD190">
        <f t="shared" si="195"/>
        <v>12.154155982891409</v>
      </c>
      <c r="BE190" s="44">
        <f t="shared" si="196"/>
        <v>98.338369213399559</v>
      </c>
      <c r="BF190" s="42" t="str">
        <f t="shared" si="197"/>
        <v>18.4262442411087+56.7761415269671i</v>
      </c>
      <c r="BG190" s="20">
        <f t="shared" si="198"/>
        <v>35.518227363327789</v>
      </c>
      <c r="BH190" s="44">
        <f t="shared" si="199"/>
        <v>72.019574529776207</v>
      </c>
      <c r="BI190" s="42" t="str">
        <f t="shared" si="203"/>
        <v>15.1826552031541+180.72935520077i</v>
      </c>
      <c r="BJ190" s="20">
        <f t="shared" si="200"/>
        <v>45.171115765772257</v>
      </c>
      <c r="BK190" s="44">
        <f t="shared" si="204"/>
        <v>85.197989272270888</v>
      </c>
      <c r="BL190">
        <f t="shared" si="201"/>
        <v>35.518227363327789</v>
      </c>
      <c r="BM190" s="44">
        <f t="shared" si="202"/>
        <v>72.019574529776207</v>
      </c>
    </row>
    <row r="191" spans="14:65" x14ac:dyDescent="0.35">
      <c r="N191" s="9">
        <v>73</v>
      </c>
      <c r="O191" s="35">
        <f t="shared" si="205"/>
        <v>537.03179637025301</v>
      </c>
      <c r="P191" s="34" t="str">
        <f t="shared" si="155"/>
        <v>16.3709677419355</v>
      </c>
      <c r="Q191" s="4" t="str">
        <f t="shared" si="156"/>
        <v>1+0.496344275275314i</v>
      </c>
      <c r="R191" s="4">
        <f t="shared" si="167"/>
        <v>1.1164038873089688</v>
      </c>
      <c r="S191" s="4">
        <f t="shared" si="168"/>
        <v>0.46071875474963264</v>
      </c>
      <c r="T191" s="4" t="str">
        <f t="shared" si="157"/>
        <v>1+0.000539883246790693i</v>
      </c>
      <c r="U191" s="4">
        <f t="shared" si="169"/>
        <v>1.0000001457369494</v>
      </c>
      <c r="V191" s="4">
        <f t="shared" si="170"/>
        <v>5.3988319433674007E-4</v>
      </c>
      <c r="W191" t="str">
        <f t="shared" si="158"/>
        <v>1-0.00706530881641901i</v>
      </c>
      <c r="X191" s="4">
        <f t="shared" si="171"/>
        <v>1.0000249589828603</v>
      </c>
      <c r="Y191" s="4">
        <f t="shared" si="172"/>
        <v>-7.0651912565251633E-3</v>
      </c>
      <c r="Z191" t="str">
        <f t="shared" si="159"/>
        <v>0.999999750435349+0.00139143528506989i</v>
      </c>
      <c r="AA191" s="4">
        <f t="shared" si="173"/>
        <v>1.0000007184811983</v>
      </c>
      <c r="AB191" s="4">
        <f t="shared" si="174"/>
        <v>1.3914347343410966E-3</v>
      </c>
      <c r="AC191" s="48" t="str">
        <f t="shared" si="175"/>
        <v>13.0833429735194-6.62344893402903i</v>
      </c>
      <c r="AD191" s="20">
        <f t="shared" si="176"/>
        <v>23.325272067914234</v>
      </c>
      <c r="AE191" s="44">
        <f t="shared" si="177"/>
        <v>-26.850836139408468</v>
      </c>
      <c r="AF191" t="str">
        <f t="shared" si="178"/>
        <v>45.9520231294187</v>
      </c>
      <c r="AG191" t="str">
        <f t="shared" si="160"/>
        <v>1+0.238183785348834i</v>
      </c>
      <c r="AH191">
        <f t="shared" si="179"/>
        <v>1.0279744722526427</v>
      </c>
      <c r="AI191">
        <f t="shared" si="180"/>
        <v>0.23382697606130876</v>
      </c>
      <c r="AJ191" t="str">
        <f t="shared" si="161"/>
        <v>1+0.000539883246790693i</v>
      </c>
      <c r="AK191">
        <f t="shared" si="181"/>
        <v>1.0000001457369494</v>
      </c>
      <c r="AL191">
        <f t="shared" si="182"/>
        <v>5.3988319433674007E-4</v>
      </c>
      <c r="AM191" t="str">
        <f t="shared" si="162"/>
        <v>1-0.00120789583186916i</v>
      </c>
      <c r="AN191">
        <f t="shared" si="183"/>
        <v>1.0000007295059044</v>
      </c>
      <c r="AO191">
        <f t="shared" si="184"/>
        <v>-1.2078952444246993E-3</v>
      </c>
      <c r="AP191" s="42" t="str">
        <f t="shared" si="185"/>
        <v>43.4781597801597-10.3864892062001i</v>
      </c>
      <c r="AQ191">
        <f t="shared" si="186"/>
        <v>33.006453740045394</v>
      </c>
      <c r="AR191" s="44">
        <f t="shared" si="187"/>
        <v>-13.435573135753403</v>
      </c>
      <c r="AS191" t="str">
        <f t="shared" si="163"/>
        <v>-0.000166666666666667</v>
      </c>
      <c r="AT191" t="str">
        <f t="shared" si="164"/>
        <v>0.0000425832910906159i</v>
      </c>
      <c r="AU191">
        <f t="shared" si="188"/>
        <v>4.2583291090615901E-5</v>
      </c>
      <c r="AV191">
        <f t="shared" si="189"/>
        <v>1.5707963267948966</v>
      </c>
      <c r="AW191" t="str">
        <f t="shared" si="165"/>
        <v>1+0.00775814792436547i</v>
      </c>
      <c r="AX191">
        <f t="shared" si="190"/>
        <v>1.0000300939767846</v>
      </c>
      <c r="AY191">
        <f t="shared" si="191"/>
        <v>7.757992278628582E-3</v>
      </c>
      <c r="AZ191" t="str">
        <f t="shared" si="166"/>
        <v>1+0.157915849686277i</v>
      </c>
      <c r="BA191">
        <f t="shared" si="192"/>
        <v>1.0123919278531111</v>
      </c>
      <c r="BB191">
        <f t="shared" si="193"/>
        <v>0.15662247620351577</v>
      </c>
      <c r="BC191" s="42" t="str">
        <f t="shared" si="194"/>
        <v>-0.587666588778418+3.91845741177087i</v>
      </c>
      <c r="BD191">
        <f t="shared" si="195"/>
        <v>11.958902612407904</v>
      </c>
      <c r="BE191" s="44">
        <f t="shared" si="196"/>
        <v>98.52930664828915</v>
      </c>
      <c r="BF191" s="42" t="str">
        <f t="shared" si="197"/>
        <v>18.2650590319657+55.1589018863363i</v>
      </c>
      <c r="BG191" s="20">
        <f t="shared" si="198"/>
        <v>35.284174680322138</v>
      </c>
      <c r="BH191" s="44">
        <f t="shared" si="199"/>
        <v>71.678470508880665</v>
      </c>
      <c r="BI191" s="42" t="str">
        <f t="shared" si="203"/>
        <v>15.1483537679435+176.471110121916i</v>
      </c>
      <c r="BJ191" s="20">
        <f t="shared" si="200"/>
        <v>44.96535635245327</v>
      </c>
      <c r="BK191" s="44">
        <f t="shared" si="204"/>
        <v>85.093733512535721</v>
      </c>
      <c r="BL191">
        <f t="shared" si="201"/>
        <v>35.284174680322138</v>
      </c>
      <c r="BM191" s="44">
        <f t="shared" si="202"/>
        <v>71.678470508880665</v>
      </c>
    </row>
    <row r="192" spans="14:65" x14ac:dyDescent="0.35">
      <c r="N192" s="9">
        <v>74</v>
      </c>
      <c r="O192" s="35">
        <f t="shared" si="205"/>
        <v>549.54087385762534</v>
      </c>
      <c r="P192" s="34" t="str">
        <f t="shared" si="155"/>
        <v>16.3709677419355</v>
      </c>
      <c r="Q192" s="4" t="str">
        <f t="shared" si="156"/>
        <v>1+0.507905618647899i</v>
      </c>
      <c r="R192" s="4">
        <f t="shared" si="167"/>
        <v>1.1215917784354987</v>
      </c>
      <c r="S192" s="4">
        <f t="shared" si="168"/>
        <v>0.46995208381745895</v>
      </c>
      <c r="T192" s="4" t="str">
        <f t="shared" si="157"/>
        <v>1+0.000552458743090698i</v>
      </c>
      <c r="U192" s="4">
        <f t="shared" si="169"/>
        <v>1.0000001526053197</v>
      </c>
      <c r="V192" s="4">
        <f t="shared" si="170"/>
        <v>5.5245868688527525E-4</v>
      </c>
      <c r="W192" t="str">
        <f t="shared" si="158"/>
        <v>1-0.00722988100014101i</v>
      </c>
      <c r="X192" s="4">
        <f t="shared" si="171"/>
        <v>1.0000261352481126</v>
      </c>
      <c r="Y192" s="4">
        <f t="shared" si="172"/>
        <v>-7.2297550326230345E-3</v>
      </c>
      <c r="Z192" t="str">
        <f t="shared" si="159"/>
        <v>0.999999738673729+0.0014238459764242i</v>
      </c>
      <c r="AA192" s="4">
        <f t="shared" si="173"/>
        <v>1.0000007523421626</v>
      </c>
      <c r="AB192" s="4">
        <f t="shared" si="174"/>
        <v>1.4238453863076896E-3</v>
      </c>
      <c r="AC192" s="48" t="str">
        <f t="shared" si="175"/>
        <v>12.9601753219485-6.71517133057582i</v>
      </c>
      <c r="AD192" s="20">
        <f t="shared" si="176"/>
        <v>23.285012507872498</v>
      </c>
      <c r="AE192" s="44">
        <f t="shared" si="177"/>
        <v>-27.390432206602192</v>
      </c>
      <c r="AF192" t="str">
        <f t="shared" si="178"/>
        <v>45.9520231294187</v>
      </c>
      <c r="AG192" t="str">
        <f t="shared" si="160"/>
        <v>1+0.243731798422366i</v>
      </c>
      <c r="AH192">
        <f t="shared" si="179"/>
        <v>1.0292741080791845</v>
      </c>
      <c r="AI192">
        <f t="shared" si="180"/>
        <v>0.23907053420391372</v>
      </c>
      <c r="AJ192" t="str">
        <f t="shared" si="161"/>
        <v>1+0.000552458743090698i</v>
      </c>
      <c r="AK192">
        <f t="shared" si="181"/>
        <v>1.0000001526053197</v>
      </c>
      <c r="AL192">
        <f t="shared" si="182"/>
        <v>5.5245868688527525E-4</v>
      </c>
      <c r="AM192" t="str">
        <f t="shared" si="162"/>
        <v>1-0.00123603134015684i</v>
      </c>
      <c r="AN192">
        <f t="shared" si="183"/>
        <v>1.0000007638864452</v>
      </c>
      <c r="AO192">
        <f t="shared" si="184"/>
        <v>-1.2360307106987856E-3</v>
      </c>
      <c r="AP192" s="42" t="str">
        <f t="shared" si="185"/>
        <v>43.3681078483061-10.6015984638338i</v>
      </c>
      <c r="AQ192">
        <f t="shared" si="186"/>
        <v>32.995479736777334</v>
      </c>
      <c r="AR192" s="44">
        <f t="shared" si="187"/>
        <v>-13.736898407779988</v>
      </c>
      <c r="AS192" t="str">
        <f t="shared" si="163"/>
        <v>-0.000166666666666667</v>
      </c>
      <c r="AT192" t="str">
        <f t="shared" si="164"/>
        <v>0.0000435751833612788i</v>
      </c>
      <c r="AU192">
        <f t="shared" si="188"/>
        <v>4.3575183361278799E-5</v>
      </c>
      <c r="AV192">
        <f t="shared" si="189"/>
        <v>1.5707963267948966</v>
      </c>
      <c r="AW192" t="str">
        <f t="shared" si="165"/>
        <v>1+0.00793885840408067i</v>
      </c>
      <c r="AX192">
        <f t="shared" si="190"/>
        <v>1.0000315122398693</v>
      </c>
      <c r="AY192">
        <f t="shared" si="191"/>
        <v>7.9386916269526507E-3</v>
      </c>
      <c r="AZ192" t="str">
        <f t="shared" si="166"/>
        <v>1+0.161594182354029i</v>
      </c>
      <c r="BA192">
        <f t="shared" si="192"/>
        <v>1.012972200887402</v>
      </c>
      <c r="BB192">
        <f t="shared" si="193"/>
        <v>0.16020926442185601</v>
      </c>
      <c r="BC192" s="42" t="str">
        <f t="shared" si="194"/>
        <v>-0.58766492190047+3.82947239595141i</v>
      </c>
      <c r="BD192">
        <f t="shared" si="195"/>
        <v>11.763867362085442</v>
      </c>
      <c r="BE192" s="44">
        <f t="shared" si="196"/>
        <v>98.724461165187535</v>
      </c>
      <c r="BF192" s="42" t="str">
        <f t="shared" si="197"/>
        <v>18.0993228261351+53.5769042776236i</v>
      </c>
      <c r="BG192" s="20">
        <f t="shared" si="198"/>
        <v>35.048879869957943</v>
      </c>
      <c r="BH192" s="44">
        <f t="shared" si="199"/>
        <v>71.334028958585407</v>
      </c>
      <c r="BI192" s="42" t="str">
        <f t="shared" si="203"/>
        <v>15.1126129585664+172.307159403001i</v>
      </c>
      <c r="BJ192" s="20">
        <f t="shared" si="200"/>
        <v>44.759347098862783</v>
      </c>
      <c r="BK192" s="44">
        <f t="shared" si="204"/>
        <v>84.987562757407588</v>
      </c>
      <c r="BL192">
        <f t="shared" si="201"/>
        <v>35.048879869957943</v>
      </c>
      <c r="BM192" s="44">
        <f t="shared" si="202"/>
        <v>71.334028958585407</v>
      </c>
    </row>
    <row r="193" spans="14:65" x14ac:dyDescent="0.35">
      <c r="N193" s="9">
        <v>75</v>
      </c>
      <c r="O193" s="35">
        <f t="shared" si="205"/>
        <v>562.34132519034927</v>
      </c>
      <c r="P193" s="34" t="str">
        <f t="shared" si="155"/>
        <v>16.3709677419355</v>
      </c>
      <c r="Q193" s="4" t="str">
        <f t="shared" si="156"/>
        <v>1+0.519736260302416i</v>
      </c>
      <c r="R193" s="4">
        <f t="shared" si="167"/>
        <v>1.1269985715488466</v>
      </c>
      <c r="S193" s="4">
        <f t="shared" si="168"/>
        <v>0.479311665915299</v>
      </c>
      <c r="T193" s="4" t="str">
        <f t="shared" si="157"/>
        <v>1+0.000565327160328944i</v>
      </c>
      <c r="U193" s="4">
        <f t="shared" si="169"/>
        <v>1.0000001597973864</v>
      </c>
      <c r="V193" s="4">
        <f t="shared" si="170"/>
        <v>5.6532710010374898E-4</v>
      </c>
      <c r="W193" t="str">
        <f t="shared" si="158"/>
        <v>1-0.00739828656246806i</v>
      </c>
      <c r="X193" s="4">
        <f t="shared" si="171"/>
        <v>1.0000273669475552</v>
      </c>
      <c r="Y193" s="4">
        <f t="shared" si="172"/>
        <v>-7.3981515860402133E-3</v>
      </c>
      <c r="Z193" t="str">
        <f t="shared" si="159"/>
        <v>0.999999726357801+0.00145701160976203i</v>
      </c>
      <c r="AA193" s="4">
        <f t="shared" si="173"/>
        <v>1.0000007877989434</v>
      </c>
      <c r="AB193" s="4">
        <f t="shared" si="174"/>
        <v>1.4570109774408231E-3</v>
      </c>
      <c r="AC193" s="48" t="str">
        <f t="shared" si="175"/>
        <v>12.8336164459999-6.80581052113762i</v>
      </c>
      <c r="AD193" s="20">
        <f t="shared" si="176"/>
        <v>23.24325199158897</v>
      </c>
      <c r="AE193" s="44">
        <f t="shared" si="177"/>
        <v>-27.937508113240497</v>
      </c>
      <c r="AF193" t="str">
        <f t="shared" si="178"/>
        <v>45.9520231294187</v>
      </c>
      <c r="AG193" t="str">
        <f t="shared" si="160"/>
        <v>1+0.249409041321592i</v>
      </c>
      <c r="AH193">
        <f t="shared" si="179"/>
        <v>1.0306332373317657</v>
      </c>
      <c r="AI193">
        <f t="shared" si="180"/>
        <v>0.24442238943166938</v>
      </c>
      <c r="AJ193" t="str">
        <f t="shared" si="161"/>
        <v>1+0.000565327160328944i</v>
      </c>
      <c r="AK193">
        <f t="shared" si="181"/>
        <v>1.0000001597973864</v>
      </c>
      <c r="AL193">
        <f t="shared" si="182"/>
        <v>5.6532710010374898E-4</v>
      </c>
      <c r="AM193" t="str">
        <f t="shared" si="162"/>
        <v>1-0.00126482220862188i</v>
      </c>
      <c r="AN193">
        <f t="shared" si="183"/>
        <v>1.0000007998872897</v>
      </c>
      <c r="AO193">
        <f t="shared" si="184"/>
        <v>-1.264821534145452E-3</v>
      </c>
      <c r="AP193" s="42" t="str">
        <f t="shared" si="185"/>
        <v>43.2534631324543-10.8199479863423i</v>
      </c>
      <c r="AQ193">
        <f t="shared" si="186"/>
        <v>32.984018190193815</v>
      </c>
      <c r="AR193" s="44">
        <f t="shared" si="187"/>
        <v>-14.044449411801127</v>
      </c>
      <c r="AS193" t="str">
        <f t="shared" si="163"/>
        <v>-0.000166666666666667</v>
      </c>
      <c r="AT193" t="str">
        <f t="shared" si="164"/>
        <v>0.0000445901797709455i</v>
      </c>
      <c r="AU193">
        <f t="shared" si="188"/>
        <v>4.4590179770945497E-5</v>
      </c>
      <c r="AV193">
        <f t="shared" si="189"/>
        <v>1.5707963267948966</v>
      </c>
      <c r="AW193" t="str">
        <f t="shared" si="165"/>
        <v>1+0.00812377817160492i</v>
      </c>
      <c r="AX193">
        <f t="shared" si="190"/>
        <v>1.0000329973414785</v>
      </c>
      <c r="AY193">
        <f t="shared" si="191"/>
        <v>8.1235994670110431E-3</v>
      </c>
      <c r="AZ193" t="str">
        <f t="shared" si="166"/>
        <v>1+0.165358194396216i</v>
      </c>
      <c r="BA193">
        <f t="shared" si="192"/>
        <v>1.0135794652882313</v>
      </c>
      <c r="BB193">
        <f t="shared" si="193"/>
        <v>0.16387529975645798</v>
      </c>
      <c r="BC193" s="42" t="str">
        <f t="shared" si="194"/>
        <v>-0.587663176475118+3.74251781583779i</v>
      </c>
      <c r="BD193">
        <f t="shared" si="195"/>
        <v>11.569059987128929</v>
      </c>
      <c r="BE193" s="44">
        <f t="shared" si="196"/>
        <v>98.923915078571824</v>
      </c>
      <c r="BF193" s="42" t="str">
        <f t="shared" si="197"/>
        <v>17.9290233202542+52.029562420123i</v>
      </c>
      <c r="BG193" s="20">
        <f t="shared" si="198"/>
        <v>34.812311978717901</v>
      </c>
      <c r="BH193" s="44">
        <f t="shared" si="199"/>
        <v>70.986406965331341</v>
      </c>
      <c r="BI193" s="42" t="str">
        <f t="shared" si="203"/>
        <v>15.0753805673568+168.235341372843i</v>
      </c>
      <c r="BJ193" s="20">
        <f t="shared" si="200"/>
        <v>44.55307817732276</v>
      </c>
      <c r="BK193" s="44">
        <f t="shared" si="204"/>
        <v>84.879465666770713</v>
      </c>
      <c r="BL193">
        <f t="shared" si="201"/>
        <v>34.812311978717901</v>
      </c>
      <c r="BM193" s="44">
        <f t="shared" si="202"/>
        <v>70.986406965331341</v>
      </c>
    </row>
    <row r="194" spans="14:65" x14ac:dyDescent="0.35">
      <c r="N194" s="9">
        <v>76</v>
      </c>
      <c r="O194" s="35">
        <f t="shared" si="205"/>
        <v>575.43993733715706</v>
      </c>
      <c r="P194" s="34" t="str">
        <f t="shared" si="155"/>
        <v>16.3709677419355</v>
      </c>
      <c r="Q194" s="4" t="str">
        <f t="shared" si="156"/>
        <v>1+0.531842473001669i</v>
      </c>
      <c r="R194" s="4">
        <f t="shared" si="167"/>
        <v>1.1326325159064308</v>
      </c>
      <c r="S194" s="4">
        <f t="shared" si="168"/>
        <v>0.48879590339521733</v>
      </c>
      <c r="T194" s="4" t="str">
        <f t="shared" si="157"/>
        <v>1+0.000578495321510587i</v>
      </c>
      <c r="U194" s="4">
        <f t="shared" si="169"/>
        <v>1.0000001673284045</v>
      </c>
      <c r="V194" s="4">
        <f t="shared" si="170"/>
        <v>5.7849525697812839E-4</v>
      </c>
      <c r="W194" t="str">
        <f t="shared" si="158"/>
        <v>1-0.00757061479425844i</v>
      </c>
      <c r="X194" s="4">
        <f t="shared" si="171"/>
        <v>1.0000286566935785</v>
      </c>
      <c r="Y194" s="4">
        <f t="shared" si="172"/>
        <v>-7.5704701646340886E-3</v>
      </c>
      <c r="Z194" t="str">
        <f t="shared" si="159"/>
        <v>0.999999713461442+0.00149094976994119i</v>
      </c>
      <c r="AA194" s="4">
        <f t="shared" si="173"/>
        <v>1.0000008249267511</v>
      </c>
      <c r="AB194" s="4">
        <f t="shared" si="174"/>
        <v>1.4909490923968381E-3</v>
      </c>
      <c r="AC194" s="48" t="str">
        <f t="shared" si="175"/>
        <v>12.7036640797701-6.89522401826535i</v>
      </c>
      <c r="AD194" s="20">
        <f t="shared" si="176"/>
        <v>23.199949742357362</v>
      </c>
      <c r="AE194" s="44">
        <f t="shared" si="177"/>
        <v>-28.491978050963475</v>
      </c>
      <c r="AF194" t="str">
        <f t="shared" si="178"/>
        <v>45.9520231294187</v>
      </c>
      <c r="AG194" t="str">
        <f t="shared" si="160"/>
        <v>1+0.255218524195847i</v>
      </c>
      <c r="AH194">
        <f t="shared" si="179"/>
        <v>1.0320545019972085</v>
      </c>
      <c r="AI194">
        <f t="shared" si="180"/>
        <v>0.24988415252242582</v>
      </c>
      <c r="AJ194" t="str">
        <f t="shared" si="161"/>
        <v>1+0.000578495321510587i</v>
      </c>
      <c r="AK194">
        <f t="shared" si="181"/>
        <v>1.0000001673284045</v>
      </c>
      <c r="AL194">
        <f t="shared" si="182"/>
        <v>5.7849525697812839E-4</v>
      </c>
      <c r="AM194" t="str">
        <f t="shared" si="162"/>
        <v>1-0.00129428370256384i</v>
      </c>
      <c r="AN194">
        <f t="shared" si="183"/>
        <v>1.0000008375848006</v>
      </c>
      <c r="AO194">
        <f t="shared" si="184"/>
        <v>-1.2942829798493591E-3</v>
      </c>
      <c r="AP194" s="42" t="str">
        <f t="shared" si="185"/>
        <v>43.134061332712-11.0415034001498i</v>
      </c>
      <c r="AQ194">
        <f t="shared" si="186"/>
        <v>32.972048812002761</v>
      </c>
      <c r="AR194" s="44">
        <f t="shared" si="187"/>
        <v>-14.358318922286102</v>
      </c>
      <c r="AS194" t="str">
        <f t="shared" si="163"/>
        <v>-0.000166666666666667</v>
      </c>
      <c r="AT194" t="str">
        <f t="shared" si="164"/>
        <v>0.0000456288184841475i</v>
      </c>
      <c r="AU194">
        <f t="shared" si="188"/>
        <v>4.56288184841475E-5</v>
      </c>
      <c r="AV194">
        <f t="shared" si="189"/>
        <v>1.5707963267948966</v>
      </c>
      <c r="AW194" t="str">
        <f t="shared" si="165"/>
        <v>1+0.00831300527384668i</v>
      </c>
      <c r="AX194">
        <f t="shared" si="190"/>
        <v>1.0000345524314063</v>
      </c>
      <c r="AY194">
        <f t="shared" si="191"/>
        <v>8.3128137887817297E-3</v>
      </c>
      <c r="AZ194" t="str">
        <f t="shared" si="166"/>
        <v>1+0.169209881541846i</v>
      </c>
      <c r="BA194">
        <f t="shared" si="192"/>
        <v>1.0142149594693453</v>
      </c>
      <c r="BB194">
        <f t="shared" si="193"/>
        <v>0.16762213162114767</v>
      </c>
      <c r="BC194" s="42" t="str">
        <f t="shared" si="194"/>
        <v>-0.587661348801515+3.65754756687142i</v>
      </c>
      <c r="BD194">
        <f t="shared" si="195"/>
        <v>11.374490653911453</v>
      </c>
      <c r="BE194" s="44">
        <f t="shared" si="196"/>
        <v>99.127751548902822</v>
      </c>
      <c r="BF194" s="42" t="str">
        <f t="shared" si="197"/>
        <v>17.7541574632008+50.5163122921774i</v>
      </c>
      <c r="BG194" s="20">
        <f t="shared" si="198"/>
        <v>34.574440396268812</v>
      </c>
      <c r="BH194" s="44">
        <f t="shared" si="199"/>
        <v>70.635773497939311</v>
      </c>
      <c r="BI194" s="42" t="str">
        <f t="shared" si="203"/>
        <v>15.0366032337516+164.253545857672i</v>
      </c>
      <c r="BJ194" s="20">
        <f t="shared" si="200"/>
        <v>44.346539465914219</v>
      </c>
      <c r="BK194" s="44">
        <f t="shared" si="204"/>
        <v>84.76943262661672</v>
      </c>
      <c r="BL194">
        <f t="shared" si="201"/>
        <v>34.574440396268812</v>
      </c>
      <c r="BM194" s="44">
        <f t="shared" si="202"/>
        <v>70.635773497939311</v>
      </c>
    </row>
    <row r="195" spans="14:65" x14ac:dyDescent="0.35">
      <c r="N195" s="9">
        <v>77</v>
      </c>
      <c r="O195" s="35">
        <f t="shared" si="205"/>
        <v>588.84365535558959</v>
      </c>
      <c r="P195" s="34" t="str">
        <f t="shared" si="155"/>
        <v>16.3709677419355</v>
      </c>
      <c r="Q195" s="4" t="str">
        <f t="shared" si="156"/>
        <v>1+0.544230675619874i</v>
      </c>
      <c r="R195" s="4">
        <f t="shared" si="167"/>
        <v>1.1385020984985774</v>
      </c>
      <c r="S195" s="4">
        <f t="shared" si="168"/>
        <v>0.49840299916035447</v>
      </c>
      <c r="T195" s="4" t="str">
        <f t="shared" si="157"/>
        <v>1+0.000591970208568986i</v>
      </c>
      <c r="U195" s="4">
        <f t="shared" si="169"/>
        <v>1.0000001752143486</v>
      </c>
      <c r="V195" s="4">
        <f t="shared" si="170"/>
        <v>5.9197013942121149E-4</v>
      </c>
      <c r="W195" t="str">
        <f t="shared" si="158"/>
        <v>1-0.00774695706622167i</v>
      </c>
      <c r="X195" s="4">
        <f t="shared" si="171"/>
        <v>1.0000300072216763</v>
      </c>
      <c r="Y195" s="4">
        <f t="shared" si="172"/>
        <v>-7.7468020930382183E-3</v>
      </c>
      <c r="Z195" t="str">
        <f t="shared" si="159"/>
        <v>0.999999699957295+0.00152567845142342i</v>
      </c>
      <c r="AA195" s="4">
        <f t="shared" si="173"/>
        <v>1.0000008638043356</v>
      </c>
      <c r="AB195" s="4">
        <f t="shared" si="174"/>
        <v>1.5256777254216008E-3</v>
      </c>
      <c r="AC195" s="48" t="str">
        <f t="shared" si="175"/>
        <v>12.5703232199948-6.98326622441729i</v>
      </c>
      <c r="AD195" s="20">
        <f t="shared" si="176"/>
        <v>23.155065000553854</v>
      </c>
      <c r="AE195" s="44">
        <f t="shared" si="177"/>
        <v>-29.053744917182012</v>
      </c>
      <c r="AF195" t="str">
        <f t="shared" si="178"/>
        <v>45.9520231294187</v>
      </c>
      <c r="AG195" t="str">
        <f t="shared" si="160"/>
        <v>1+0.261163327309846i</v>
      </c>
      <c r="AH195">
        <f t="shared" si="179"/>
        <v>1.0335406540294145</v>
      </c>
      <c r="AI195">
        <f t="shared" si="180"/>
        <v>0.25545741538845551</v>
      </c>
      <c r="AJ195" t="str">
        <f t="shared" si="161"/>
        <v>1+0.000591970208568986i</v>
      </c>
      <c r="AK195">
        <f t="shared" si="181"/>
        <v>1.0000001752143486</v>
      </c>
      <c r="AL195">
        <f t="shared" si="182"/>
        <v>5.9197013942121149E-4</v>
      </c>
      <c r="AM195" t="str">
        <f t="shared" si="162"/>
        <v>1-0.00132443144285677i</v>
      </c>
      <c r="AN195">
        <f t="shared" si="183"/>
        <v>1.0000008770589388</v>
      </c>
      <c r="AO195">
        <f t="shared" si="184"/>
        <v>-1.3244306684542882E-3</v>
      </c>
      <c r="AP195" s="42" t="str">
        <f t="shared" si="185"/>
        <v>43.0097347396287-11.2662235068947i</v>
      </c>
      <c r="AQ195">
        <f t="shared" si="186"/>
        <v>32.959550593394013</v>
      </c>
      <c r="AR195" s="44">
        <f t="shared" si="187"/>
        <v>-14.678598644052348</v>
      </c>
      <c r="AS195" t="str">
        <f t="shared" si="163"/>
        <v>-0.000166666666666667</v>
      </c>
      <c r="AT195" t="str">
        <f t="shared" si="164"/>
        <v>0.0000466916502008788i</v>
      </c>
      <c r="AU195">
        <f t="shared" si="188"/>
        <v>4.6691650200878799E-5</v>
      </c>
      <c r="AV195">
        <f t="shared" si="189"/>
        <v>1.5707963267948966</v>
      </c>
      <c r="AW195" t="str">
        <f t="shared" si="165"/>
        <v>1+0.00850664004152026i</v>
      </c>
      <c r="AX195">
        <f t="shared" si="190"/>
        <v>1.0000361808078726</v>
      </c>
      <c r="AY195">
        <f t="shared" si="191"/>
        <v>8.5064348619774254E-3</v>
      </c>
      <c r="AZ195" t="str">
        <f t="shared" si="166"/>
        <v>1+0.173151286006428i</v>
      </c>
      <c r="BA195">
        <f t="shared" si="192"/>
        <v>1.0148799770641255</v>
      </c>
      <c r="BB195">
        <f t="shared" si="193"/>
        <v>0.17145132561692783</v>
      </c>
      <c r="BC195" s="42" t="str">
        <f t="shared" si="194"/>
        <v>-0.587659435004495+3.57451659660601i</v>
      </c>
      <c r="BD195">
        <f t="shared" si="195"/>
        <v>11.180169954953508</v>
      </c>
      <c r="BE195" s="44">
        <f t="shared" si="196"/>
        <v>99.336054533478929</v>
      </c>
      <c r="BF195" s="42" t="str">
        <f t="shared" si="197"/>
        <v>17.5747319764118+49.0366112585004i</v>
      </c>
      <c r="BG195" s="20">
        <f t="shared" si="198"/>
        <v>34.335234955507374</v>
      </c>
      <c r="BH195" s="44">
        <f t="shared" si="199"/>
        <v>70.282309616296914</v>
      </c>
      <c r="BI195" s="42" t="str">
        <f t="shared" si="203"/>
        <v>14.9962264896845+160.359713183121i</v>
      </c>
      <c r="BJ195" s="20">
        <f t="shared" si="200"/>
        <v>44.139720548347519</v>
      </c>
      <c r="BK195" s="44">
        <f t="shared" si="204"/>
        <v>84.657455889426586</v>
      </c>
      <c r="BL195">
        <f t="shared" si="201"/>
        <v>34.335234955507374</v>
      </c>
      <c r="BM195" s="44">
        <f t="shared" si="202"/>
        <v>70.282309616296914</v>
      </c>
    </row>
    <row r="196" spans="14:65" x14ac:dyDescent="0.35">
      <c r="N196" s="9">
        <v>78</v>
      </c>
      <c r="O196" s="35">
        <f t="shared" si="205"/>
        <v>602.55958607435832</v>
      </c>
      <c r="P196" s="34" t="str">
        <f t="shared" si="155"/>
        <v>16.3709677419355</v>
      </c>
      <c r="Q196" s="4" t="str">
        <f t="shared" si="156"/>
        <v>1+0.556907436546037i</v>
      </c>
      <c r="R196" s="4">
        <f t="shared" si="167"/>
        <v>1.1446160460522463</v>
      </c>
      <c r="S196" s="4">
        <f t="shared" si="168"/>
        <v>0.50813095262535313</v>
      </c>
      <c r="T196" s="4" t="str">
        <f t="shared" si="157"/>
        <v>1+0.000605758966067619i</v>
      </c>
      <c r="U196" s="4">
        <f t="shared" si="169"/>
        <v>1.0000001834719456</v>
      </c>
      <c r="V196" s="4">
        <f t="shared" si="170"/>
        <v>6.0575889197444447E-4</v>
      </c>
      <c r="W196" t="str">
        <f t="shared" si="158"/>
        <v>1-0.0079274068773645i</v>
      </c>
      <c r="X196" s="4">
        <f t="shared" si="171"/>
        <v>1.0000314213962476</v>
      </c>
      <c r="Y196" s="4">
        <f t="shared" si="172"/>
        <v>-7.9272408208884322E-3</v>
      </c>
      <c r="Z196" t="str">
        <f t="shared" si="159"/>
        <v>0.999999685816718+0.00156121606781534i</v>
      </c>
      <c r="AA196" s="4">
        <f t="shared" si="173"/>
        <v>1.0000009045141636</v>
      </c>
      <c r="AB196" s="4">
        <f t="shared" si="174"/>
        <v>1.5612152898904113E-3</v>
      </c>
      <c r="AC196" s="48" t="str">
        <f t="shared" si="175"/>
        <v>12.4336064967061-7.06978882276632i</v>
      </c>
      <c r="AD196" s="20">
        <f t="shared" si="176"/>
        <v>23.108557113263586</v>
      </c>
      <c r="AE196" s="44">
        <f t="shared" si="177"/>
        <v>-29.622700086724709</v>
      </c>
      <c r="AF196" t="str">
        <f t="shared" si="178"/>
        <v>45.9520231294187</v>
      </c>
      <c r="AG196" t="str">
        <f t="shared" si="160"/>
        <v>1+0.26724660267689i</v>
      </c>
      <c r="AH196">
        <f t="shared" si="179"/>
        <v>1.0350945592757888</v>
      </c>
      <c r="AI196">
        <f t="shared" si="180"/>
        <v>0.26114374756663244</v>
      </c>
      <c r="AJ196" t="str">
        <f t="shared" si="161"/>
        <v>1+0.000605758966067619i</v>
      </c>
      <c r="AK196">
        <f t="shared" si="181"/>
        <v>1.0000001834719456</v>
      </c>
      <c r="AL196">
        <f t="shared" si="182"/>
        <v>6.0575889197444447E-4</v>
      </c>
      <c r="AM196" t="str">
        <f t="shared" si="162"/>
        <v>1-0.00135528141423162i</v>
      </c>
      <c r="AN196">
        <f t="shared" si="183"/>
        <v>1.0000009183934342</v>
      </c>
      <c r="AO196">
        <f t="shared" si="184"/>
        <v>-1.355280584444452E-3</v>
      </c>
      <c r="AP196" s="42" t="str">
        <f t="shared" si="185"/>
        <v>42.8803123999994-11.4940598834976i</v>
      </c>
      <c r="AQ196">
        <f t="shared" si="186"/>
        <v>32.946501790592642</v>
      </c>
      <c r="AR196" s="44">
        <f t="shared" si="187"/>
        <v>-15.005379011429822</v>
      </c>
      <c r="AS196" t="str">
        <f t="shared" si="163"/>
        <v>-0.000166666666666667</v>
      </c>
      <c r="AT196" t="str">
        <f t="shared" si="164"/>
        <v>0.0000477792384485835i</v>
      </c>
      <c r="AU196">
        <f t="shared" si="188"/>
        <v>4.7779238448583501E-5</v>
      </c>
      <c r="AV196">
        <f t="shared" si="189"/>
        <v>1.5707963267948966</v>
      </c>
      <c r="AW196" t="str">
        <f t="shared" si="165"/>
        <v>1+0.00870478514234254i</v>
      </c>
      <c r="AX196">
        <f t="shared" si="190"/>
        <v>1.0000378859245156</v>
      </c>
      <c r="AY196">
        <f t="shared" si="191"/>
        <v>8.704565288951192E-3</v>
      </c>
      <c r="AZ196" t="str">
        <f t="shared" si="166"/>
        <v>1+0.177184497574778i</v>
      </c>
      <c r="BA196">
        <f t="shared" si="192"/>
        <v>1.0155758692391359</v>
      </c>
      <c r="BB196">
        <f t="shared" si="193"/>
        <v>0.17536446263664823</v>
      </c>
      <c r="BC196" s="42" t="str">
        <f t="shared" si="194"/>
        <v>-0.587657431026359+3.49338088081966i</v>
      </c>
      <c r="BD196">
        <f t="shared" si="195"/>
        <v>10.986108924224048</v>
      </c>
      <c r="BE196" s="44">
        <f t="shared" si="196"/>
        <v>99.548908732106568</v>
      </c>
      <c r="BF196" s="42" t="str">
        <f t="shared" si="197"/>
        <v>17.3907638526374+47.5899371527139i</v>
      </c>
      <c r="BG196" s="20">
        <f t="shared" si="198"/>
        <v>34.094666037487627</v>
      </c>
      <c r="BH196" s="44">
        <f t="shared" si="199"/>
        <v>69.926208645381891</v>
      </c>
      <c r="BI196" s="42" t="str">
        <f t="shared" si="203"/>
        <v>14.9541948134154+156.551833204931i</v>
      </c>
      <c r="BJ196" s="20">
        <f t="shared" si="200"/>
        <v>43.932610714816668</v>
      </c>
      <c r="BK196" s="44">
        <f t="shared" si="204"/>
        <v>84.54352972067673</v>
      </c>
      <c r="BL196">
        <f t="shared" si="201"/>
        <v>34.094666037487627</v>
      </c>
      <c r="BM196" s="44">
        <f t="shared" si="202"/>
        <v>69.926208645381891</v>
      </c>
    </row>
    <row r="197" spans="14:65" x14ac:dyDescent="0.35">
      <c r="N197" s="9">
        <v>79</v>
      </c>
      <c r="O197" s="35">
        <f t="shared" si="205"/>
        <v>616.59500186148273</v>
      </c>
      <c r="P197" s="34" t="str">
        <f t="shared" si="155"/>
        <v>16.3709677419355</v>
      </c>
      <c r="Q197" s="4" t="str">
        <f t="shared" si="156"/>
        <v>1+0.569879477166599i</v>
      </c>
      <c r="R197" s="4">
        <f t="shared" si="167"/>
        <v>1.1509833267670198</v>
      </c>
      <c r="S197" s="4">
        <f t="shared" si="168"/>
        <v>0.5179775562454757</v>
      </c>
      <c r="T197" s="4" t="str">
        <f t="shared" si="157"/>
        <v>1+0.00061986890498823i</v>
      </c>
      <c r="U197" s="4">
        <f t="shared" si="169"/>
        <v>1.0000001921187112</v>
      </c>
      <c r="V197" s="4">
        <f t="shared" si="170"/>
        <v>6.1986882559596386E-4</v>
      </c>
      <c r="W197" t="str">
        <f t="shared" si="158"/>
        <v>1-0.00811205990456536i</v>
      </c>
      <c r="X197" s="4">
        <f t="shared" si="171"/>
        <v>1.0000329022166696</v>
      </c>
      <c r="Y197" s="4">
        <f t="shared" si="172"/>
        <v>-8.1118819721616685E-3</v>
      </c>
      <c r="Z197" t="str">
        <f t="shared" si="159"/>
        <v>0.999999671009717+0.00159758146163155i</v>
      </c>
      <c r="AA197" s="4">
        <f t="shared" si="173"/>
        <v>1.0000009471425857</v>
      </c>
      <c r="AB197" s="4">
        <f t="shared" si="174"/>
        <v>1.5975806280700109E-3</v>
      </c>
      <c r="AC197" s="48" t="str">
        <f t="shared" si="175"/>
        <v>12.2935345237008-7.15464120791568i</v>
      </c>
      <c r="AD197" s="20">
        <f t="shared" si="176"/>
        <v>23.060385628248742</v>
      </c>
      <c r="AE197" s="44">
        <f t="shared" si="177"/>
        <v>-30.198723216141076</v>
      </c>
      <c r="AF197" t="str">
        <f t="shared" si="178"/>
        <v>45.9520231294187</v>
      </c>
      <c r="AG197" t="str">
        <f t="shared" si="160"/>
        <v>1+0.273471575730101i</v>
      </c>
      <c r="AH197">
        <f t="shared" si="179"/>
        <v>1.0367192014872226</v>
      </c>
      <c r="AI197">
        <f t="shared" si="180"/>
        <v>0.2669446925065746</v>
      </c>
      <c r="AJ197" t="str">
        <f t="shared" si="161"/>
        <v>1+0.00061986890498823i</v>
      </c>
      <c r="AK197">
        <f t="shared" si="181"/>
        <v>1.0000001921187112</v>
      </c>
      <c r="AL197">
        <f t="shared" si="182"/>
        <v>6.1986882559596386E-4</v>
      </c>
      <c r="AM197" t="str">
        <f t="shared" si="162"/>
        <v>1-0.00138684997375156i</v>
      </c>
      <c r="AN197">
        <f t="shared" si="183"/>
        <v>1.0000009616759624</v>
      </c>
      <c r="AO197">
        <f t="shared" si="184"/>
        <v>-1.3868490846186364E-3</v>
      </c>
      <c r="AP197" s="42" t="str">
        <f t="shared" si="185"/>
        <v>42.745620310544-11.7249564736967i</v>
      </c>
      <c r="AQ197">
        <f t="shared" si="186"/>
        <v>32.93287991119216</v>
      </c>
      <c r="AR197" s="44">
        <f t="shared" si="187"/>
        <v>-15.338748975856088</v>
      </c>
      <c r="AS197" t="str">
        <f t="shared" si="163"/>
        <v>-0.000166666666666667</v>
      </c>
      <c r="AT197" t="str">
        <f t="shared" si="164"/>
        <v>0.0000488921598809466i</v>
      </c>
      <c r="AU197">
        <f t="shared" si="188"/>
        <v>4.8892159880946602E-5</v>
      </c>
      <c r="AV197">
        <f t="shared" si="189"/>
        <v>1.5707963267948966</v>
      </c>
      <c r="AW197" t="str">
        <f t="shared" si="165"/>
        <v>1+0.00890754563546875i</v>
      </c>
      <c r="AX197">
        <f t="shared" si="190"/>
        <v>1.000039671397714</v>
      </c>
      <c r="AY197">
        <f t="shared" si="191"/>
        <v>8.9073100588203252E-3</v>
      </c>
      <c r="AZ197" t="str">
        <f t="shared" si="166"/>
        <v>1+0.181311654709057i</v>
      </c>
      <c r="BA197">
        <f t="shared" si="192"/>
        <v>1.0163040470908971</v>
      </c>
      <c r="BB197">
        <f t="shared" si="193"/>
        <v>0.17936313787498284</v>
      </c>
      <c r="BC197" s="42" t="str">
        <f t="shared" si="194"/>
        <v>-0.587655332618296+3.41409740017212i</v>
      </c>
      <c r="BD197">
        <f t="shared" si="195"/>
        <v>10.792319052747416</v>
      </c>
      <c r="BE197" s="44">
        <f t="shared" si="196"/>
        <v>99.766399527274785</v>
      </c>
      <c r="BF197" s="42" t="str">
        <f t="shared" si="197"/>
        <v>17.2022808275293+46.1757873150954i</v>
      </c>
      <c r="BG197" s="20">
        <f t="shared" si="198"/>
        <v>33.852704680996162</v>
      </c>
      <c r="BH197" s="44">
        <f t="shared" si="199"/>
        <v>69.567676311133781</v>
      </c>
      <c r="BI197" s="42" t="str">
        <f t="shared" si="203"/>
        <v>14.910451692411+152.827944367458i</v>
      </c>
      <c r="BJ197" s="20">
        <f t="shared" si="200"/>
        <v>43.725198963939569</v>
      </c>
      <c r="BK197" s="44">
        <f t="shared" si="204"/>
        <v>84.427650551418722</v>
      </c>
      <c r="BL197">
        <f t="shared" si="201"/>
        <v>33.852704680996162</v>
      </c>
      <c r="BM197" s="44">
        <f t="shared" si="202"/>
        <v>69.567676311133781</v>
      </c>
    </row>
    <row r="198" spans="14:65" x14ac:dyDescent="0.35">
      <c r="N198" s="9">
        <v>80</v>
      </c>
      <c r="O198" s="35">
        <f t="shared" si="205"/>
        <v>630.95734448019323</v>
      </c>
      <c r="P198" s="34" t="str">
        <f t="shared" si="155"/>
        <v>16.3709677419355</v>
      </c>
      <c r="Q198" s="4" t="str">
        <f t="shared" si="156"/>
        <v>1+0.5831536754292i</v>
      </c>
      <c r="R198" s="4">
        <f t="shared" si="167"/>
        <v>1.1576131517767863</v>
      </c>
      <c r="S198" s="4">
        <f t="shared" si="168"/>
        <v>0.5279403926693077</v>
      </c>
      <c r="T198" s="4" t="str">
        <f t="shared" si="157"/>
        <v>1+0.0006343075066072i</v>
      </c>
      <c r="U198" s="4">
        <f t="shared" si="169"/>
        <v>1.0000002011729863</v>
      </c>
      <c r="V198" s="4">
        <f t="shared" si="170"/>
        <v>6.3430742153685509E-4</v>
      </c>
      <c r="W198" t="str">
        <f t="shared" si="158"/>
        <v>1-0.0083010140533034i</v>
      </c>
      <c r="X198" s="4">
        <f t="shared" si="171"/>
        <v>1.000034452823658</v>
      </c>
      <c r="Y198" s="4">
        <f t="shared" si="172"/>
        <v>-8.3008233956525738E-3</v>
      </c>
      <c r="Z198" t="str">
        <f t="shared" si="159"/>
        <v>0.999999655504882+0.00163479391428521i</v>
      </c>
      <c r="AA198" s="4">
        <f t="shared" si="173"/>
        <v>1.0000009917800208</v>
      </c>
      <c r="AB198" s="4">
        <f t="shared" si="174"/>
        <v>1.6347930211079757E-3</v>
      </c>
      <c r="AC198" s="48" t="str">
        <f t="shared" si="175"/>
        <v>12.1501362245255-7.23767095593087i</v>
      </c>
      <c r="AD198" s="20">
        <f t="shared" si="176"/>
        <v>23.010510391991229</v>
      </c>
      <c r="AE198" s="44">
        <f t="shared" si="177"/>
        <v>-30.781682083804043</v>
      </c>
      <c r="AF198" t="str">
        <f t="shared" si="178"/>
        <v>45.9520231294187</v>
      </c>
      <c r="AG198" t="str">
        <f t="shared" si="160"/>
        <v>1+0.279841547032588i</v>
      </c>
      <c r="AH198">
        <f t="shared" si="179"/>
        <v>1.0384176864083123</v>
      </c>
      <c r="AI198">
        <f t="shared" si="180"/>
        <v>0.27286176365281911</v>
      </c>
      <c r="AJ198" t="str">
        <f t="shared" si="161"/>
        <v>1+0.0006343075066072i</v>
      </c>
      <c r="AK198">
        <f t="shared" si="181"/>
        <v>1.0000002011729863</v>
      </c>
      <c r="AL198">
        <f t="shared" si="182"/>
        <v>6.3430742153685509E-4</v>
      </c>
      <c r="AM198" t="str">
        <f t="shared" si="162"/>
        <v>1-0.00141915385948472i</v>
      </c>
      <c r="AN198">
        <f t="shared" si="183"/>
        <v>1.0000010069983314</v>
      </c>
      <c r="AO198">
        <f t="shared" si="184"/>
        <v>-1.4191529067616791E-3</v>
      </c>
      <c r="AP198" s="42" t="str">
        <f t="shared" si="185"/>
        <v>42.6054816413873-11.9588491723548i</v>
      </c>
      <c r="AQ198">
        <f t="shared" si="186"/>
        <v>32.918661701392153</v>
      </c>
      <c r="AR198" s="44">
        <f t="shared" si="187"/>
        <v>-15.678795781675962</v>
      </c>
      <c r="AS198" t="str">
        <f t="shared" si="163"/>
        <v>-0.000166666666666667</v>
      </c>
      <c r="AT198" t="str">
        <f t="shared" si="164"/>
        <v>0.0000500310045836429i</v>
      </c>
      <c r="AU198">
        <f t="shared" si="188"/>
        <v>5.0031004583642903E-5</v>
      </c>
      <c r="AV198">
        <f t="shared" si="189"/>
        <v>1.5707963267948966</v>
      </c>
      <c r="AW198" t="str">
        <f t="shared" si="165"/>
        <v>1+0.00911502902719618i</v>
      </c>
      <c r="AX198">
        <f t="shared" si="190"/>
        <v>1.0000415410142554</v>
      </c>
      <c r="AY198">
        <f t="shared" si="191"/>
        <v>9.1147766028358383E-3</v>
      </c>
      <c r="AZ198" t="str">
        <f t="shared" si="166"/>
        <v>1+0.185534945682606i</v>
      </c>
      <c r="BA198">
        <f t="shared" si="192"/>
        <v>1.017065984127602</v>
      </c>
      <c r="BB198">
        <f t="shared" si="193"/>
        <v>0.18344895973808481</v>
      </c>
      <c r="BC198" s="42" t="str">
        <f t="shared" si="194"/>
        <v>-0.587653135331366+3.33662411739494i</v>
      </c>
      <c r="BD198">
        <f t="shared" si="195"/>
        <v>10.598812304497118</v>
      </c>
      <c r="BE198" s="44">
        <f t="shared" si="196"/>
        <v>99.988612918510512</v>
      </c>
      <c r="BF198" s="42" t="str">
        <f t="shared" si="197"/>
        <v>17.0093218182822+44.7936775861352i</v>
      </c>
      <c r="BG198" s="20">
        <f t="shared" si="198"/>
        <v>33.609322696488341</v>
      </c>
      <c r="BH198" s="44">
        <f t="shared" si="199"/>
        <v>69.206930834706498</v>
      </c>
      <c r="BI198" s="42" t="str">
        <f t="shared" si="203"/>
        <v>14.8649396959033+149.186132788969i</v>
      </c>
      <c r="BJ198" s="20">
        <f t="shared" si="200"/>
        <v>43.517474005889255</v>
      </c>
      <c r="BK198" s="44">
        <f t="shared" si="204"/>
        <v>84.309817136834553</v>
      </c>
      <c r="BL198">
        <f t="shared" si="201"/>
        <v>33.609322696488341</v>
      </c>
      <c r="BM198" s="44">
        <f t="shared" si="202"/>
        <v>69.206930834706498</v>
      </c>
    </row>
    <row r="199" spans="14:65" x14ac:dyDescent="0.35">
      <c r="N199" s="9">
        <v>81</v>
      </c>
      <c r="O199" s="35">
        <f t="shared" si="205"/>
        <v>645.65422903465594</v>
      </c>
      <c r="P199" s="34" t="str">
        <f t="shared" si="155"/>
        <v>16.3709677419355</v>
      </c>
      <c r="Q199" s="4" t="str">
        <f t="shared" si="156"/>
        <v>1+0.596737069489465i</v>
      </c>
      <c r="R199" s="4">
        <f t="shared" si="167"/>
        <v>1.1645149763325822</v>
      </c>
      <c r="S199" s="4">
        <f t="shared" si="168"/>
        <v>0.53801683256880362</v>
      </c>
      <c r="T199" s="4" t="str">
        <f t="shared" si="157"/>
        <v>1+0.000649082426462226i</v>
      </c>
      <c r="U199" s="4">
        <f t="shared" si="169"/>
        <v>1.000000210653976</v>
      </c>
      <c r="V199" s="4">
        <f t="shared" si="170"/>
        <v>6.4908233530771024E-4</v>
      </c>
      <c r="W199" t="str">
        <f t="shared" si="158"/>
        <v>1-0.00849436950956943i</v>
      </c>
      <c r="X199" s="4">
        <f t="shared" si="171"/>
        <v>1.0000360765059253</v>
      </c>
      <c r="Y199" s="4">
        <f t="shared" si="172"/>
        <v>-8.4941652166139175E-3</v>
      </c>
      <c r="Z199" t="str">
        <f t="shared" si="159"/>
        <v>0.999999639269327+0.00167287315631128i</v>
      </c>
      <c r="AA199" s="4">
        <f t="shared" si="173"/>
        <v>1.0000010385211513</v>
      </c>
      <c r="AB199" s="4">
        <f t="shared" si="174"/>
        <v>1.6728721992546826E-3</v>
      </c>
      <c r="AC199" s="48" t="str">
        <f t="shared" si="175"/>
        <v>12.0034491295923-7.3187243326199i</v>
      </c>
      <c r="AD199" s="20">
        <f t="shared" si="176"/>
        <v>22.958891651487562</v>
      </c>
      <c r="AE199" s="44">
        <f t="shared" si="177"/>
        <v>-31.371432468900281</v>
      </c>
      <c r="AF199" t="str">
        <f t="shared" si="178"/>
        <v>45.9520231294187</v>
      </c>
      <c r="AG199" t="str">
        <f t="shared" si="160"/>
        <v>1+0.286359894027452i</v>
      </c>
      <c r="AH199">
        <f t="shared" si="179"/>
        <v>1.0401932459439514</v>
      </c>
      <c r="AI199">
        <f t="shared" si="180"/>
        <v>0.27889644031778904</v>
      </c>
      <c r="AJ199" t="str">
        <f t="shared" si="161"/>
        <v>1+0.000649082426462226i</v>
      </c>
      <c r="AK199">
        <f t="shared" si="181"/>
        <v>1.000000210653976</v>
      </c>
      <c r="AL199">
        <f t="shared" si="182"/>
        <v>6.4908233530771024E-4</v>
      </c>
      <c r="AM199" t="str">
        <f t="shared" si="162"/>
        <v>1-0.0014522101993789i</v>
      </c>
      <c r="AN199">
        <f t="shared" si="183"/>
        <v>1.0000010544566758</v>
      </c>
      <c r="AO199">
        <f t="shared" si="184"/>
        <v>-1.4522091785178274E-3</v>
      </c>
      <c r="AP199" s="42" t="str">
        <f t="shared" si="185"/>
        <v>42.459716991285-12.1956654040569i</v>
      </c>
      <c r="AQ199">
        <f t="shared" si="186"/>
        <v>32.903823134274241</v>
      </c>
      <c r="AR199" s="44">
        <f t="shared" si="187"/>
        <v>-16.025604729961142</v>
      </c>
      <c r="AS199" t="str">
        <f t="shared" si="163"/>
        <v>-0.000166666666666667</v>
      </c>
      <c r="AT199" t="str">
        <f t="shared" si="164"/>
        <v>0.0000511963763872081i</v>
      </c>
      <c r="AU199">
        <f t="shared" si="188"/>
        <v>5.1196376387208099E-5</v>
      </c>
      <c r="AV199">
        <f t="shared" si="189"/>
        <v>1.5707963267948966</v>
      </c>
      <c r="AW199" t="str">
        <f t="shared" si="165"/>
        <v>1+0.00932734532796551i</v>
      </c>
      <c r="AX199">
        <f t="shared" si="190"/>
        <v>1.0000434987393634</v>
      </c>
      <c r="AY199">
        <f t="shared" si="191"/>
        <v>9.327074851025699E-3</v>
      </c>
      <c r="AZ199" t="str">
        <f t="shared" si="166"/>
        <v>1+0.189856609740201i</v>
      </c>
      <c r="BA199">
        <f t="shared" si="192"/>
        <v>1.017863218837405</v>
      </c>
      <c r="BB199">
        <f t="shared" si="193"/>
        <v>0.18762354864715614</v>
      </c>
      <c r="BC199" s="42" t="str">
        <f t="shared" si="194"/>
        <v>-0.587650834507106+3.26091995500209i</v>
      </c>
      <c r="BD199">
        <f t="shared" si="195"/>
        <v>10.405601132552968</v>
      </c>
      <c r="BE199" s="44">
        <f t="shared" si="196"/>
        <v>100.21563545058315</v>
      </c>
      <c r="BF199" s="42" t="str">
        <f t="shared" si="197"/>
        <v>16.8119373234311+43.4431412571316i</v>
      </c>
      <c r="BG199" s="20">
        <f t="shared" si="198"/>
        <v>33.364492784040543</v>
      </c>
      <c r="BH199" s="44">
        <f t="shared" si="199"/>
        <v>68.844202981682869</v>
      </c>
      <c r="BI199" s="42" t="str">
        <f t="shared" si="203"/>
        <v>14.8176005577536+145.624531372686i</v>
      </c>
      <c r="BJ199" s="20">
        <f t="shared" si="200"/>
        <v>43.309424266827207</v>
      </c>
      <c r="BK199" s="44">
        <f t="shared" si="204"/>
        <v>84.190030720622005</v>
      </c>
      <c r="BL199">
        <f t="shared" si="201"/>
        <v>33.364492784040543</v>
      </c>
      <c r="BM199" s="44">
        <f t="shared" si="202"/>
        <v>68.844202981682869</v>
      </c>
    </row>
    <row r="200" spans="14:65" x14ac:dyDescent="0.35">
      <c r="N200" s="9">
        <v>82</v>
      </c>
      <c r="O200" s="35">
        <f t="shared" si="205"/>
        <v>660.69344800759643</v>
      </c>
      <c r="P200" s="34" t="str">
        <f t="shared" si="155"/>
        <v>16.3709677419355</v>
      </c>
      <c r="Q200" s="4" t="str">
        <f t="shared" si="156"/>
        <v>1+0.610636861442724i</v>
      </c>
      <c r="R200" s="4">
        <f t="shared" si="167"/>
        <v>1.1716985007042642</v>
      </c>
      <c r="S200" s="4">
        <f t="shared" si="168"/>
        <v>0.54820403319858158</v>
      </c>
      <c r="T200" s="4" t="str">
        <f t="shared" si="157"/>
        <v>1+0.000664201498411384i</v>
      </c>
      <c r="U200" s="4">
        <f t="shared" si="169"/>
        <v>1.0000002205817908</v>
      </c>
      <c r="V200" s="4">
        <f t="shared" si="170"/>
        <v>6.6420140073756174E-4</v>
      </c>
      <c r="W200" t="str">
        <f t="shared" si="158"/>
        <v>1-0.00869222879298571i</v>
      </c>
      <c r="X200" s="4">
        <f t="shared" si="171"/>
        <v>1.0000377767071549</v>
      </c>
      <c r="Y200" s="4">
        <f t="shared" si="172"/>
        <v>-8.6920098895865595E-3</v>
      </c>
      <c r="Z200" t="str">
        <f t="shared" si="159"/>
        <v>0.999999622268615+0.00171183937782792i</v>
      </c>
      <c r="AA200" s="4">
        <f t="shared" si="173"/>
        <v>1.0000010874651228</v>
      </c>
      <c r="AB200" s="4">
        <f t="shared" si="174"/>
        <v>1.7118383523233561E-3</v>
      </c>
      <c r="AC200" s="48" t="str">
        <f t="shared" si="175"/>
        <v>11.8535196400132-7.39764683848968i</v>
      </c>
      <c r="AD200" s="20">
        <f t="shared" si="176"/>
        <v>22.905490159424446</v>
      </c>
      <c r="AE200" s="44">
        <f t="shared" si="177"/>
        <v>-31.967818072275428</v>
      </c>
      <c r="AF200" t="str">
        <f t="shared" si="178"/>
        <v>45.9520231294187</v>
      </c>
      <c r="AG200" t="str">
        <f t="shared" si="160"/>
        <v>1+0.293030072828551i</v>
      </c>
      <c r="AH200">
        <f t="shared" si="179"/>
        <v>1.0420492423978369</v>
      </c>
      <c r="AI200">
        <f t="shared" si="180"/>
        <v>0.28505016334311944</v>
      </c>
      <c r="AJ200" t="str">
        <f t="shared" si="161"/>
        <v>1+0.000664201498411384i</v>
      </c>
      <c r="AK200">
        <f t="shared" si="181"/>
        <v>1.0000002205817908</v>
      </c>
      <c r="AL200">
        <f t="shared" si="182"/>
        <v>6.6420140073756174E-4</v>
      </c>
      <c r="AM200" t="str">
        <f t="shared" si="162"/>
        <v>1-0.00148603652034307i</v>
      </c>
      <c r="AN200">
        <f t="shared" si="183"/>
        <v>1.0000011041516603</v>
      </c>
      <c r="AO200">
        <f t="shared" si="184"/>
        <v>-1.4860354264707881E-3</v>
      </c>
      <c r="AP200" s="42" t="str">
        <f t="shared" si="185"/>
        <v>42.3081446765411-12.4353236977441i</v>
      </c>
      <c r="AQ200">
        <f t="shared" si="186"/>
        <v>32.888339399258378</v>
      </c>
      <c r="AR200" s="44">
        <f t="shared" si="187"/>
        <v>-16.379258930210256</v>
      </c>
      <c r="AS200" t="str">
        <f t="shared" si="163"/>
        <v>-0.000166666666666667</v>
      </c>
      <c r="AT200" t="str">
        <f t="shared" si="164"/>
        <v>0.0000523888931871979i</v>
      </c>
      <c r="AU200">
        <f t="shared" si="188"/>
        <v>5.2388893187197903E-5</v>
      </c>
      <c r="AV200">
        <f t="shared" si="189"/>
        <v>1.5707963267948966</v>
      </c>
      <c r="AW200" t="str">
        <f t="shared" si="165"/>
        <v>1+0.00954460711068974i</v>
      </c>
      <c r="AX200">
        <f t="shared" si="190"/>
        <v>1.0000455487251056</v>
      </c>
      <c r="AY200">
        <f t="shared" si="191"/>
        <v>9.5443172901400457E-3</v>
      </c>
      <c r="AZ200" t="str">
        <f t="shared" si="166"/>
        <v>1+0.19427893828533i</v>
      </c>
      <c r="BA200">
        <f t="shared" si="192"/>
        <v>1.0186973573447979</v>
      </c>
      <c r="BB200">
        <f t="shared" si="193"/>
        <v>0.19188853572996636</v>
      </c>
      <c r="BC200" s="42" t="str">
        <f t="shared" si="194"/>
        <v>-0.587648425267649+3.18694477350959i</v>
      </c>
      <c r="BD200">
        <f t="shared" si="195"/>
        <v>10.212698495496317</v>
      </c>
      <c r="BE200" s="44">
        <f t="shared" si="196"/>
        <v>100.44755413521361</v>
      </c>
      <c r="BF200" s="42" t="str">
        <f t="shared" si="197"/>
        <v>16.6101897778615+42.123727979758i</v>
      </c>
      <c r="BG200" s="20">
        <f t="shared" si="198"/>
        <v>33.118188654920758</v>
      </c>
      <c r="BH200" s="44">
        <f t="shared" si="199"/>
        <v>68.479736062938201</v>
      </c>
      <c r="BI200" s="42" t="str">
        <f t="shared" si="203"/>
        <v>14.7683752702603+142.141318942463i</v>
      </c>
      <c r="BJ200" s="20">
        <f t="shared" si="200"/>
        <v>43.10103789475469</v>
      </c>
      <c r="BK200" s="44">
        <f t="shared" si="204"/>
        <v>84.068295205003338</v>
      </c>
      <c r="BL200">
        <f t="shared" si="201"/>
        <v>33.118188654920758</v>
      </c>
      <c r="BM200" s="44">
        <f t="shared" si="202"/>
        <v>68.479736062938201</v>
      </c>
    </row>
    <row r="201" spans="14:65" x14ac:dyDescent="0.35">
      <c r="N201" s="9">
        <v>83</v>
      </c>
      <c r="O201" s="35">
        <f t="shared" si="205"/>
        <v>676.08297539198213</v>
      </c>
      <c r="P201" s="34" t="str">
        <f t="shared" si="155"/>
        <v>16.3709677419355</v>
      </c>
      <c r="Q201" s="4" t="str">
        <f t="shared" si="156"/>
        <v>1+0.624860421142653i</v>
      </c>
      <c r="R201" s="4">
        <f t="shared" si="167"/>
        <v>1.1791736708011138</v>
      </c>
      <c r="S201" s="4">
        <f t="shared" si="168"/>
        <v>0.55849893773385584</v>
      </c>
      <c r="T201" s="4" t="str">
        <f t="shared" si="157"/>
        <v>1+0.000679672738786746i</v>
      </c>
      <c r="U201" s="4">
        <f t="shared" si="169"/>
        <v>1.0000002309774891</v>
      </c>
      <c r="V201" s="4">
        <f t="shared" si="170"/>
        <v>6.7967263412736106E-4</v>
      </c>
      <c r="W201" t="str">
        <f t="shared" si="158"/>
        <v>1-0.00889469681116327i</v>
      </c>
      <c r="X201" s="4">
        <f t="shared" si="171"/>
        <v>1.0000395570333018</v>
      </c>
      <c r="Y201" s="4">
        <f t="shared" si="172"/>
        <v>-8.8944622524461964E-3</v>
      </c>
      <c r="Z201" t="str">
        <f t="shared" si="159"/>
        <v>0.999999604466683+0.00175171323924155i</v>
      </c>
      <c r="AA201" s="4">
        <f t="shared" si="173"/>
        <v>1.000001138715749</v>
      </c>
      <c r="AB201" s="4">
        <f t="shared" si="174"/>
        <v>1.7517121403936779E-3</v>
      </c>
      <c r="AC201" s="48" t="str">
        <f t="shared" si="175"/>
        <v>11.7004032537615-7.47428378828142i</v>
      </c>
      <c r="AD201" s="20">
        <f t="shared" si="176"/>
        <v>22.850267282307048</v>
      </c>
      <c r="AE201" s="44">
        <f t="shared" si="177"/>
        <v>-32.570670481973728</v>
      </c>
      <c r="AF201" t="str">
        <f t="shared" si="178"/>
        <v>45.9520231294187</v>
      </c>
      <c r="AG201" t="str">
        <f t="shared" si="160"/>
        <v>1+0.299855620052975i</v>
      </c>
      <c r="AH201">
        <f t="shared" si="179"/>
        <v>1.0439891727778379</v>
      </c>
      <c r="AI201">
        <f t="shared" si="180"/>
        <v>0.29132433054784773</v>
      </c>
      <c r="AJ201" t="str">
        <f t="shared" si="161"/>
        <v>1+0.000679672738786746i</v>
      </c>
      <c r="AK201">
        <f t="shared" si="181"/>
        <v>1.0000002309774891</v>
      </c>
      <c r="AL201">
        <f t="shared" si="182"/>
        <v>6.7967263412736106E-4</v>
      </c>
      <c r="AM201" t="str">
        <f t="shared" si="162"/>
        <v>1-0.00152065075754034i</v>
      </c>
      <c r="AN201">
        <f t="shared" si="183"/>
        <v>1.0000011561886948</v>
      </c>
      <c r="AO201">
        <f t="shared" si="184"/>
        <v>-1.5206495854351457E-3</v>
      </c>
      <c r="AP201" s="42" t="str">
        <f t="shared" si="185"/>
        <v>42.1505810555411-12.6777332593716i</v>
      </c>
      <c r="AQ201">
        <f t="shared" si="186"/>
        <v>32.872184892889564</v>
      </c>
      <c r="AR201" s="44">
        <f t="shared" si="187"/>
        <v>-16.739839039843563</v>
      </c>
      <c r="AS201" t="str">
        <f t="shared" si="163"/>
        <v>-0.000166666666666667</v>
      </c>
      <c r="AT201" t="str">
        <f t="shared" si="164"/>
        <v>0.0000536091872718046i</v>
      </c>
      <c r="AU201">
        <f t="shared" si="188"/>
        <v>5.3609187271804598E-5</v>
      </c>
      <c r="AV201">
        <f t="shared" si="189"/>
        <v>1.5707963267948966</v>
      </c>
      <c r="AW201" t="str">
        <f t="shared" si="165"/>
        <v>1+0.00976692957044187i</v>
      </c>
      <c r="AX201">
        <f t="shared" si="190"/>
        <v>1.0000476953191952</v>
      </c>
      <c r="AY201">
        <f t="shared" si="191"/>
        <v>9.7666190229277368E-3</v>
      </c>
      <c r="AZ201" t="str">
        <f t="shared" si="166"/>
        <v>1+0.198804276095123i</v>
      </c>
      <c r="BA201">
        <f t="shared" si="192"/>
        <v>1.0195700761564681</v>
      </c>
      <c r="BB201">
        <f t="shared" si="193"/>
        <v>0.19624556139421517</v>
      </c>
      <c r="BC201" s="42" t="str">
        <f t="shared" si="194"/>
        <v>-0.587645902505406+3.11465935015237i</v>
      </c>
      <c r="BD201">
        <f t="shared" si="195"/>
        <v>10.020117874012582</v>
      </c>
      <c r="BE201" s="44">
        <f t="shared" si="196"/>
        <v>100.68445636593809</v>
      </c>
      <c r="BF201" s="42" t="str">
        <f t="shared" si="197"/>
        <v>16.4041538571291+40.8350026372276i</v>
      </c>
      <c r="BG201" s="20">
        <f t="shared" si="198"/>
        <v>32.870385156319621</v>
      </c>
      <c r="BH201" s="44">
        <f t="shared" si="199"/>
        <v>68.113785883964397</v>
      </c>
      <c r="BI201" s="42" t="str">
        <f t="shared" si="203"/>
        <v>14.7172041895287+138.734719401923i</v>
      </c>
      <c r="BJ201" s="20">
        <f t="shared" si="200"/>
        <v>42.892302766902162</v>
      </c>
      <c r="BK201" s="44">
        <f t="shared" si="204"/>
        <v>83.944617326094544</v>
      </c>
      <c r="BL201">
        <f t="shared" si="201"/>
        <v>32.870385156319621</v>
      </c>
      <c r="BM201" s="44">
        <f t="shared" si="202"/>
        <v>68.113785883964397</v>
      </c>
    </row>
    <row r="202" spans="14:65" x14ac:dyDescent="0.35">
      <c r="N202" s="9">
        <v>84</v>
      </c>
      <c r="O202" s="35">
        <f t="shared" si="205"/>
        <v>691.83097091893671</v>
      </c>
      <c r="P202" s="34" t="str">
        <f t="shared" si="155"/>
        <v>16.3709677419355</v>
      </c>
      <c r="Q202" s="4" t="str">
        <f t="shared" si="156"/>
        <v>1+0.639415290108877i</v>
      </c>
      <c r="R202" s="4">
        <f t="shared" si="167"/>
        <v>1.1869506785140735</v>
      </c>
      <c r="S202" s="4">
        <f t="shared" si="168"/>
        <v>0.56889827543312632</v>
      </c>
      <c r="T202" s="4" t="str">
        <f t="shared" si="157"/>
        <v>1+0.000695504350644744i</v>
      </c>
      <c r="U202" s="4">
        <f t="shared" si="169"/>
        <v>1.0000002418631215</v>
      </c>
      <c r="V202" s="4">
        <f t="shared" si="170"/>
        <v>6.955042385001941E-4</v>
      </c>
      <c r="W202" t="str">
        <f t="shared" si="158"/>
        <v>1-0.00910188091532534i</v>
      </c>
      <c r="X202" s="4">
        <f t="shared" si="171"/>
        <v>1.000041421260238</v>
      </c>
      <c r="Y202" s="4">
        <f t="shared" si="172"/>
        <v>-9.1016295816940193E-3</v>
      </c>
      <c r="Z202" t="str">
        <f t="shared" si="159"/>
        <v>0.999999585825772+0.0017925158822013i</v>
      </c>
      <c r="AA202" s="4">
        <f t="shared" si="173"/>
        <v>1.0000011923817409</v>
      </c>
      <c r="AB202" s="4">
        <f t="shared" si="174"/>
        <v>1.7925147047646646E-3</v>
      </c>
      <c r="AC202" s="48" t="str">
        <f t="shared" si="175"/>
        <v>11.5441647498647-7.54848092244545i</v>
      </c>
      <c r="AD202" s="20">
        <f t="shared" si="176"/>
        <v>22.7931851110616</v>
      </c>
      <c r="AE202" s="44">
        <f t="shared" si="177"/>
        <v>-33.179809186110376</v>
      </c>
      <c r="AF202" t="str">
        <f t="shared" si="178"/>
        <v>45.9520231294187</v>
      </c>
      <c r="AG202" t="str">
        <f t="shared" si="160"/>
        <v>1+0.30684015469621i</v>
      </c>
      <c r="AH202">
        <f t="shared" si="179"/>
        <v>1.0460166731625238</v>
      </c>
      <c r="AI202">
        <f t="shared" si="180"/>
        <v>0.29772029196303956</v>
      </c>
      <c r="AJ202" t="str">
        <f t="shared" si="161"/>
        <v>1+0.000695504350644744i</v>
      </c>
      <c r="AK202">
        <f t="shared" si="181"/>
        <v>1.0000002418631215</v>
      </c>
      <c r="AL202">
        <f t="shared" si="182"/>
        <v>6.955042385001941E-4</v>
      </c>
      <c r="AM202" t="str">
        <f t="shared" si="162"/>
        <v>1-0.00155607126389745i</v>
      </c>
      <c r="AN202">
        <f t="shared" si="183"/>
        <v>1.0000012106781562</v>
      </c>
      <c r="AO202">
        <f t="shared" si="184"/>
        <v>-1.5560700079641884E-3</v>
      </c>
      <c r="AP202" s="42" t="str">
        <f t="shared" si="185"/>
        <v>41.9868408907898-12.9227935448373i</v>
      </c>
      <c r="AQ202">
        <f t="shared" si="186"/>
        <v>32.855333211114292</v>
      </c>
      <c r="AR202" s="44">
        <f t="shared" si="187"/>
        <v>-17.107422991468528</v>
      </c>
      <c r="AS202" t="str">
        <f t="shared" si="163"/>
        <v>-0.000166666666666667</v>
      </c>
      <c r="AT202" t="str">
        <f t="shared" si="164"/>
        <v>0.0000548579056571042i</v>
      </c>
      <c r="AU202">
        <f t="shared" si="188"/>
        <v>5.4857905657104202E-5</v>
      </c>
      <c r="AV202">
        <f t="shared" si="189"/>
        <v>1.5707963267948966</v>
      </c>
      <c r="AW202" t="str">
        <f t="shared" si="165"/>
        <v>1+0.00999443058553284i</v>
      </c>
      <c r="AX202">
        <f t="shared" si="190"/>
        <v>1.0000499430742091</v>
      </c>
      <c r="AY202">
        <f t="shared" si="191"/>
        <v>9.9940978287737722E-3</v>
      </c>
      <c r="AZ202" t="str">
        <f t="shared" si="166"/>
        <v>1+0.203435022563587i</v>
      </c>
      <c r="BA202">
        <f t="shared" si="192"/>
        <v>1.0204831249978841</v>
      </c>
      <c r="BB202">
        <f t="shared" si="193"/>
        <v>0.20069627377650334</v>
      </c>
      <c r="BC202" s="42" t="str">
        <f t="shared" si="194"/>
        <v>-0.587643260872258+3.04402535808717i</v>
      </c>
      <c r="BD202">
        <f t="shared" si="195"/>
        <v>9.8278732876670958</v>
      </c>
      <c r="BE202" s="44">
        <f t="shared" si="196"/>
        <v>100.92642982576614</v>
      </c>
      <c r="BF202" s="42" t="str">
        <f t="shared" si="197"/>
        <v>16.1939167253041+39.5765441804221i</v>
      </c>
      <c r="BG202" s="20">
        <f t="shared" si="198"/>
        <v>32.621058398728707</v>
      </c>
      <c r="BH202" s="44">
        <f t="shared" si="199"/>
        <v>67.746620639655802</v>
      </c>
      <c r="BI202" s="42" t="str">
        <f t="shared" si="203"/>
        <v>14.6640271530215+135.403000915803i</v>
      </c>
      <c r="BJ202" s="20">
        <f t="shared" si="200"/>
        <v>42.683206498781409</v>
      </c>
      <c r="BK202" s="44">
        <f t="shared" si="204"/>
        <v>83.819006834297653</v>
      </c>
      <c r="BL202">
        <f t="shared" si="201"/>
        <v>32.621058398728707</v>
      </c>
      <c r="BM202" s="44">
        <f t="shared" si="202"/>
        <v>67.746620639655802</v>
      </c>
    </row>
    <row r="203" spans="14:65" x14ac:dyDescent="0.35">
      <c r="N203" s="9">
        <v>85</v>
      </c>
      <c r="O203" s="35">
        <f t="shared" si="205"/>
        <v>707.94578438413873</v>
      </c>
      <c r="P203" s="34" t="str">
        <f t="shared" si="155"/>
        <v>16.3709677419355</v>
      </c>
      <c r="Q203" s="4" t="str">
        <f t="shared" si="156"/>
        <v>1+0.654309185525581i</v>
      </c>
      <c r="R203" s="4">
        <f t="shared" si="167"/>
        <v>1.1950399617850231</v>
      </c>
      <c r="S203" s="4">
        <f t="shared" si="168"/>
        <v>0.57939856266768175</v>
      </c>
      <c r="T203" s="4" t="str">
        <f t="shared" si="157"/>
        <v>1+0.000711704728115544i</v>
      </c>
      <c r="U203" s="4">
        <f t="shared" si="169"/>
        <v>1.000000253261778</v>
      </c>
      <c r="V203" s="4">
        <f t="shared" si="170"/>
        <v>7.1170460795049535E-4</v>
      </c>
      <c r="W203" t="str">
        <f t="shared" si="158"/>
        <v>1-0.00931389095722637i</v>
      </c>
      <c r="X203" s="4">
        <f t="shared" si="171"/>
        <v>1.0000433733417582</v>
      </c>
      <c r="Y203" s="4">
        <f t="shared" si="172"/>
        <v>-9.3136216490191902E-3</v>
      </c>
      <c r="Z203" t="str">
        <f t="shared" si="159"/>
        <v>0.999999566306342+0.00183426894080855i</v>
      </c>
      <c r="AA203" s="4">
        <f t="shared" si="173"/>
        <v>1.0000012485769303</v>
      </c>
      <c r="AB203" s="4">
        <f t="shared" si="174"/>
        <v>1.8342676791625466E-3</v>
      </c>
      <c r="AC203" s="48" t="str">
        <f t="shared" si="175"/>
        <v>11.3848783264934-7.62008504736963i</v>
      </c>
      <c r="AD203" s="20">
        <f t="shared" si="176"/>
        <v>22.734206573582583</v>
      </c>
      <c r="AE203" s="44">
        <f t="shared" si="177"/>
        <v>-33.795041635492446</v>
      </c>
      <c r="AF203" t="str">
        <f t="shared" si="178"/>
        <v>45.9520231294187</v>
      </c>
      <c r="AG203" t="str">
        <f t="shared" si="160"/>
        <v>1+0.313987380050975i</v>
      </c>
      <c r="AH203">
        <f t="shared" si="179"/>
        <v>1.0481355231224994</v>
      </c>
      <c r="AI203">
        <f t="shared" si="180"/>
        <v>0.30423934485359105</v>
      </c>
      <c r="AJ203" t="str">
        <f t="shared" si="161"/>
        <v>1+0.000711704728115544i</v>
      </c>
      <c r="AK203">
        <f t="shared" si="181"/>
        <v>1.000000253261778</v>
      </c>
      <c r="AL203">
        <f t="shared" si="182"/>
        <v>7.1170460795049535E-4</v>
      </c>
      <c r="AM203" t="str">
        <f t="shared" si="162"/>
        <v>1-0.00159231681983572i</v>
      </c>
      <c r="AN203">
        <f t="shared" si="183"/>
        <v>1.0000012677356238</v>
      </c>
      <c r="AO203">
        <f t="shared" si="184"/>
        <v>-1.5923154740790763E-3</v>
      </c>
      <c r="AP203" s="42" t="str">
        <f t="shared" si="185"/>
        <v>41.8167377502724-13.1703938356935i</v>
      </c>
      <c r="AQ203">
        <f t="shared" si="186"/>
        <v>32.837757143212791</v>
      </c>
      <c r="AR203" s="44">
        <f t="shared" si="187"/>
        <v>-17.482085707958493</v>
      </c>
      <c r="AS203" t="str">
        <f t="shared" si="163"/>
        <v>-0.000166666666666667</v>
      </c>
      <c r="AT203" t="str">
        <f t="shared" si="164"/>
        <v>0.0000561357104301135i</v>
      </c>
      <c r="AU203">
        <f t="shared" si="188"/>
        <v>5.6135710430113498E-5</v>
      </c>
      <c r="AV203">
        <f t="shared" si="189"/>
        <v>1.5707963267948966</v>
      </c>
      <c r="AW203" t="str">
        <f t="shared" si="165"/>
        <v>1+0.0102272307800122i</v>
      </c>
      <c r="AX203">
        <f t="shared" si="190"/>
        <v>1.0000522967572385</v>
      </c>
      <c r="AY203">
        <f t="shared" si="191"/>
        <v>1.0226874225727937E-2</v>
      </c>
      <c r="AZ203" t="str">
        <f t="shared" si="166"/>
        <v>1+0.208173632973796i</v>
      </c>
      <c r="BA203">
        <f t="shared" si="192"/>
        <v>1.0214383297416976</v>
      </c>
      <c r="BB203">
        <f t="shared" si="193"/>
        <v>0.20524232706054213</v>
      </c>
      <c r="BC203" s="42" t="str">
        <f t="shared" si="194"/>
        <v>-0.587640494768231+2.97500534607031i</v>
      </c>
      <c r="BD203">
        <f t="shared" si="195"/>
        <v>9.6359793118149319</v>
      </c>
      <c r="BE203" s="44">
        <f t="shared" si="196"/>
        <v>101.17356238726741</v>
      </c>
      <c r="BF203" s="42" t="str">
        <f t="shared" si="197"/>
        <v>15.9795782207784+38.3479444330902i</v>
      </c>
      <c r="BG203" s="20">
        <f t="shared" si="198"/>
        <v>32.370185885397525</v>
      </c>
      <c r="BH203" s="44">
        <f t="shared" si="199"/>
        <v>67.378520751774985</v>
      </c>
      <c r="BI203" s="42" t="str">
        <f t="shared" si="203"/>
        <v>14.6087836098762+132.14447511218i</v>
      </c>
      <c r="BJ203" s="20">
        <f t="shared" si="200"/>
        <v>42.473736455027726</v>
      </c>
      <c r="BK203" s="44">
        <f t="shared" si="204"/>
        <v>83.69147667930892</v>
      </c>
      <c r="BL203">
        <f t="shared" si="201"/>
        <v>32.370185885397525</v>
      </c>
      <c r="BM203" s="44">
        <f t="shared" si="202"/>
        <v>67.378520751774985</v>
      </c>
    </row>
    <row r="204" spans="14:65" x14ac:dyDescent="0.35">
      <c r="N204" s="9">
        <v>86</v>
      </c>
      <c r="O204" s="35">
        <f t="shared" si="205"/>
        <v>724.43596007499025</v>
      </c>
      <c r="P204" s="34" t="str">
        <f t="shared" si="155"/>
        <v>16.3709677419355</v>
      </c>
      <c r="Q204" s="4" t="str">
        <f t="shared" si="156"/>
        <v>1+0.669550004333254i</v>
      </c>
      <c r="R204" s="4">
        <f t="shared" si="167"/>
        <v>1.2034522044114009</v>
      </c>
      <c r="S204" s="4">
        <f t="shared" si="168"/>
        <v>0.58999610485520315</v>
      </c>
      <c r="T204" s="4" t="str">
        <f t="shared" si="157"/>
        <v>1+0.000728282460853715i</v>
      </c>
      <c r="U204" s="4">
        <f t="shared" si="169"/>
        <v>1.0000002651976363</v>
      </c>
      <c r="V204" s="4">
        <f t="shared" si="170"/>
        <v>7.2828233209454752E-4</v>
      </c>
      <c r="W204" t="str">
        <f t="shared" si="158"/>
        <v>1-0.00953083934739683i</v>
      </c>
      <c r="X204" s="4">
        <f t="shared" si="171"/>
        <v>1.000045417417962</v>
      </c>
      <c r="Y204" s="4">
        <f t="shared" si="172"/>
        <v>-9.5305507791615847E-3</v>
      </c>
      <c r="Z204" t="str">
        <f t="shared" si="159"/>
        <v>0.999999545866989+0.00187699455308763i</v>
      </c>
      <c r="AA204" s="4">
        <f t="shared" si="173"/>
        <v>1.0000013074205136</v>
      </c>
      <c r="AB204" s="4">
        <f t="shared" si="174"/>
        <v>1.8769932012096741E-3</v>
      </c>
      <c r="AC204" s="48" t="str">
        <f t="shared" si="175"/>
        <v>11.2226276890472-7.68894470062992i</v>
      </c>
      <c r="AD204" s="20">
        <f t="shared" si="176"/>
        <v>22.673295548647157</v>
      </c>
      <c r="AE204" s="44">
        <f t="shared" si="177"/>
        <v>-34.416163358123285</v>
      </c>
      <c r="AF204" t="str">
        <f t="shared" si="178"/>
        <v>45.9520231294187</v>
      </c>
      <c r="AG204" t="str">
        <f t="shared" si="160"/>
        <v>1+0.321301085670756i</v>
      </c>
      <c r="AH204">
        <f t="shared" si="179"/>
        <v>1.0503496501895007</v>
      </c>
      <c r="AI204">
        <f t="shared" si="180"/>
        <v>0.31088272852929133</v>
      </c>
      <c r="AJ204" t="str">
        <f t="shared" si="161"/>
        <v>1+0.000728282460853715i</v>
      </c>
      <c r="AK204">
        <f t="shared" si="181"/>
        <v>1.0000002651976363</v>
      </c>
      <c r="AL204">
        <f t="shared" si="182"/>
        <v>7.2828233209454752E-4</v>
      </c>
      <c r="AM204" t="str">
        <f t="shared" si="162"/>
        <v>1-0.00162940664322866i</v>
      </c>
      <c r="AN204">
        <f t="shared" si="183"/>
        <v>1.0000013274821233</v>
      </c>
      <c r="AO204">
        <f t="shared" si="184"/>
        <v>-1.6294052012245394E-3</v>
      </c>
      <c r="AP204" s="42" t="str">
        <f t="shared" si="185"/>
        <v>41.6400844498709-13.4204128204365i</v>
      </c>
      <c r="AQ204">
        <f t="shared" si="186"/>
        <v>32.819428667562072</v>
      </c>
      <c r="AR204" s="44">
        <f t="shared" si="187"/>
        <v>-17.863898805463624</v>
      </c>
      <c r="AS204" t="str">
        <f t="shared" si="163"/>
        <v>-0.000166666666666667</v>
      </c>
      <c r="AT204" t="str">
        <f t="shared" si="164"/>
        <v>0.0000574432790998367i</v>
      </c>
      <c r="AU204">
        <f t="shared" si="188"/>
        <v>5.7443279099836699E-5</v>
      </c>
      <c r="AV204">
        <f t="shared" si="189"/>
        <v>1.5707963267948966</v>
      </c>
      <c r="AW204" t="str">
        <f t="shared" si="165"/>
        <v>1+0.0104654535876245i</v>
      </c>
      <c r="AX204">
        <f t="shared" si="190"/>
        <v>1.0000547613599939</v>
      </c>
      <c r="AY204">
        <f t="shared" si="191"/>
        <v>1.0465071533955442E-2</v>
      </c>
      <c r="AZ204" t="str">
        <f t="shared" si="166"/>
        <v>1+0.213022619799711i</v>
      </c>
      <c r="BA204">
        <f t="shared" si="192"/>
        <v>1.0224375954288516</v>
      </c>
      <c r="BB204">
        <f t="shared" si="193"/>
        <v>0.20988537965814799</v>
      </c>
      <c r="BC204" s="42" t="str">
        <f t="shared" si="194"/>
        <v>-0.58763759832965+2.90756271859989i</v>
      </c>
      <c r="BD204">
        <f t="shared" si="195"/>
        <v>9.4444510946020355</v>
      </c>
      <c r="BE204" s="44">
        <f t="shared" si="196"/>
        <v>101.42594200471468</v>
      </c>
      <c r="BF204" s="42" t="str">
        <f t="shared" si="197"/>
        <v>15.7612509747882+37.1488068709681i</v>
      </c>
      <c r="BG204" s="20">
        <f t="shared" si="198"/>
        <v>32.117746643249191</v>
      </c>
      <c r="BH204" s="44">
        <f t="shared" si="199"/>
        <v>67.009778646591414</v>
      </c>
      <c r="BI204" s="42" t="str">
        <f t="shared" si="203"/>
        <v>14.5514127645552+128.957496304189i</v>
      </c>
      <c r="BJ204" s="20">
        <f t="shared" si="200"/>
        <v>42.26387976216408</v>
      </c>
      <c r="BK204" s="44">
        <f t="shared" si="204"/>
        <v>83.56204319925105</v>
      </c>
      <c r="BL204">
        <f t="shared" si="201"/>
        <v>32.117746643249191</v>
      </c>
      <c r="BM204" s="44">
        <f t="shared" si="202"/>
        <v>67.009778646591414</v>
      </c>
    </row>
    <row r="205" spans="14:65" x14ac:dyDescent="0.35">
      <c r="N205" s="9">
        <v>87</v>
      </c>
      <c r="O205" s="35">
        <f t="shared" si="205"/>
        <v>741.31024130091828</v>
      </c>
      <c r="P205" s="34" t="str">
        <f t="shared" si="155"/>
        <v>16.3709677419355</v>
      </c>
      <c r="Q205" s="4" t="str">
        <f t="shared" si="156"/>
        <v>1+0.685145827415767i</v>
      </c>
      <c r="R205" s="4">
        <f t="shared" si="167"/>
        <v>1.2121983355974533</v>
      </c>
      <c r="S205" s="4">
        <f t="shared" si="168"/>
        <v>0.60068699932924274</v>
      </c>
      <c r="T205" s="4" t="str">
        <f t="shared" si="157"/>
        <v>1+0.000745246338592589i</v>
      </c>
      <c r="U205" s="4">
        <f t="shared" si="169"/>
        <v>1.000000277696014</v>
      </c>
      <c r="V205" s="4">
        <f t="shared" si="170"/>
        <v>7.4524620062465738E-4</v>
      </c>
      <c r="W205" t="str">
        <f t="shared" si="158"/>
        <v>1-0.00975284111474484i</v>
      </c>
      <c r="X205" s="4">
        <f t="shared" si="171"/>
        <v>1.0000475578240313</v>
      </c>
      <c r="Y205" s="4">
        <f t="shared" si="172"/>
        <v>-9.7525319091040664E-3</v>
      </c>
      <c r="Z205" t="str">
        <f t="shared" si="159"/>
        <v>0.99999952446436+0.00192071537272371i</v>
      </c>
      <c r="AA205" s="4">
        <f t="shared" si="173"/>
        <v>1.0000013690373075</v>
      </c>
      <c r="AB205" s="4">
        <f t="shared" si="174"/>
        <v>1.9207139241604844E-3</v>
      </c>
      <c r="AC205" s="48" t="str">
        <f t="shared" si="175"/>
        <v>11.0575060846455-7.75491083699957i</v>
      </c>
      <c r="AD205" s="20">
        <f t="shared" si="176"/>
        <v>22.610416980573014</v>
      </c>
      <c r="AE205" s="44">
        <f t="shared" si="177"/>
        <v>-35.042958127414153</v>
      </c>
      <c r="AF205" t="str">
        <f t="shared" si="178"/>
        <v>45.9520231294187</v>
      </c>
      <c r="AG205" t="str">
        <f t="shared" si="160"/>
        <v>1+0.328785149379083i</v>
      </c>
      <c r="AH205">
        <f t="shared" si="179"/>
        <v>1.0526631343655131</v>
      </c>
      <c r="AI205">
        <f t="shared" si="180"/>
        <v>0.31765161894869487</v>
      </c>
      <c r="AJ205" t="str">
        <f t="shared" si="161"/>
        <v>1+0.000745246338592589i</v>
      </c>
      <c r="AK205">
        <f t="shared" si="181"/>
        <v>1.000000277696014</v>
      </c>
      <c r="AL205">
        <f t="shared" si="182"/>
        <v>7.4524620062465738E-4</v>
      </c>
      <c r="AM205" t="str">
        <f t="shared" si="162"/>
        <v>1-0.0016673603995916i</v>
      </c>
      <c r="AN205">
        <f t="shared" si="183"/>
        <v>1.0000013900443849</v>
      </c>
      <c r="AO205">
        <f t="shared" si="184"/>
        <v>-1.6673588544564627E-3</v>
      </c>
      <c r="AP205" s="42" t="str">
        <f t="shared" si="185"/>
        <v>41.4566935384423-13.6727181844586i</v>
      </c>
      <c r="AQ205">
        <f t="shared" si="186"/>
        <v>32.800318949411334</v>
      </c>
      <c r="AR205" s="44">
        <f t="shared" si="187"/>
        <v>-18.252930284558225</v>
      </c>
      <c r="AS205" t="str">
        <f t="shared" si="163"/>
        <v>-0.000166666666666667</v>
      </c>
      <c r="AT205" t="str">
        <f t="shared" si="164"/>
        <v>0.0000587813049564905i</v>
      </c>
      <c r="AU205">
        <f t="shared" si="188"/>
        <v>5.8781304956490499E-5</v>
      </c>
      <c r="AV205">
        <f t="shared" si="189"/>
        <v>1.5707963267948966</v>
      </c>
      <c r="AW205" t="str">
        <f t="shared" si="165"/>
        <v>1+0.0107092253172556i</v>
      </c>
      <c r="AX205">
        <f t="shared" si="190"/>
        <v>1.0000573421093892</v>
      </c>
      <c r="AY205">
        <f t="shared" si="191"/>
        <v>1.070881594064132E-2</v>
      </c>
      <c r="AZ205" t="str">
        <f t="shared" si="166"/>
        <v>1+0.217984554038332i</v>
      </c>
      <c r="BA205">
        <f t="shared" si="192"/>
        <v>1.0234829093830977</v>
      </c>
      <c r="BB205">
        <f t="shared" si="193"/>
        <v>0.21462709224651585</v>
      </c>
      <c r="BC205" s="42" t="str">
        <f t="shared" si="194"/>
        <v>-0.587634565416723+2.84166171651141i</v>
      </c>
      <c r="BD205">
        <f t="shared" si="195"/>
        <v>9.2533043740074401</v>
      </c>
      <c r="BE205" s="44">
        <f t="shared" si="196"/>
        <v>101.68365659790913</v>
      </c>
      <c r="BF205" s="42" t="str">
        <f t="shared" si="197"/>
        <v>15.5390604578177+35.9787453803748i</v>
      </c>
      <c r="BG205" s="20">
        <f t="shared" si="198"/>
        <v>31.863721354580463</v>
      </c>
      <c r="BH205" s="44">
        <f t="shared" si="199"/>
        <v>66.640698470494996</v>
      </c>
      <c r="BI205" s="42" t="str">
        <f t="shared" si="203"/>
        <v>14.4918537343486+125.840460729727i</v>
      </c>
      <c r="BJ205" s="20">
        <f t="shared" si="200"/>
        <v>42.053623323418769</v>
      </c>
      <c r="BK205" s="44">
        <f t="shared" si="204"/>
        <v>83.430726313350888</v>
      </c>
      <c r="BL205">
        <f t="shared" si="201"/>
        <v>31.863721354580463</v>
      </c>
      <c r="BM205" s="44">
        <f t="shared" si="202"/>
        <v>66.640698470494996</v>
      </c>
    </row>
    <row r="206" spans="14:65" x14ac:dyDescent="0.35">
      <c r="N206" s="9">
        <v>88</v>
      </c>
      <c r="O206" s="35">
        <f t="shared" si="205"/>
        <v>758.57757502918378</v>
      </c>
      <c r="P206" s="34" t="str">
        <f t="shared" si="155"/>
        <v>16.3709677419355</v>
      </c>
      <c r="Q206" s="4" t="str">
        <f t="shared" si="156"/>
        <v>1+0.701104923884953i</v>
      </c>
      <c r="R206" s="4">
        <f t="shared" si="167"/>
        <v>1.2212895292663921</v>
      </c>
      <c r="S206" s="4">
        <f t="shared" si="168"/>
        <v>0.61146713917003004</v>
      </c>
      <c r="T206" s="4" t="str">
        <f t="shared" si="157"/>
        <v>1+0.000762605355804686i</v>
      </c>
      <c r="U206" s="4">
        <f t="shared" si="169"/>
        <v>1.000000290783422</v>
      </c>
      <c r="V206" s="4">
        <f t="shared" si="170"/>
        <v>7.6260520796938604E-4</v>
      </c>
      <c r="W206" t="str">
        <f t="shared" si="158"/>
        <v>1-0.00998001396754602i</v>
      </c>
      <c r="X206" s="4">
        <f t="shared" si="171"/>
        <v>1.000049799099421</v>
      </c>
      <c r="Y206" s="4">
        <f t="shared" si="172"/>
        <v>-9.979682648623707E-3</v>
      </c>
      <c r="Z206" t="str">
        <f t="shared" si="159"/>
        <v>0.999999502053056+0.00196545458107409i</v>
      </c>
      <c r="AA206" s="4">
        <f t="shared" si="173"/>
        <v>1.0000014335580076</v>
      </c>
      <c r="AB206" s="4">
        <f t="shared" si="174"/>
        <v>1.9654530289107443E-3</v>
      </c>
      <c r="AC206" s="48" t="str">
        <f t="shared" si="175"/>
        <v>10.8896162798184-7.81783753044524i</v>
      </c>
      <c r="AD206" s="20">
        <f t="shared" si="176"/>
        <v>22.545536993955913</v>
      </c>
      <c r="AE206" s="44">
        <f t="shared" si="177"/>
        <v>-35.675198185563836</v>
      </c>
      <c r="AF206" t="str">
        <f t="shared" si="178"/>
        <v>45.9520231294187</v>
      </c>
      <c r="AG206" t="str">
        <f t="shared" si="160"/>
        <v>1+0.336443539325596i</v>
      </c>
      <c r="AH206">
        <f t="shared" si="179"/>
        <v>1.055080212663442</v>
      </c>
      <c r="AI206">
        <f t="shared" si="180"/>
        <v>0.32454712312094702</v>
      </c>
      <c r="AJ206" t="str">
        <f t="shared" si="161"/>
        <v>1+0.000762605355804686i</v>
      </c>
      <c r="AK206">
        <f t="shared" si="181"/>
        <v>1.000000290783422</v>
      </c>
      <c r="AL206">
        <f t="shared" si="182"/>
        <v>7.6260520796938604E-4</v>
      </c>
      <c r="AM206" t="str">
        <f t="shared" si="162"/>
        <v>1-0.00170619821250852i</v>
      </c>
      <c r="AN206">
        <f t="shared" si="183"/>
        <v>1.0000014555551109</v>
      </c>
      <c r="AO206">
        <f t="shared" si="184"/>
        <v>-1.7061965568665213E-3</v>
      </c>
      <c r="AP206" s="42" t="str">
        <f t="shared" si="185"/>
        <v>41.2663778270092-13.9271662120423i</v>
      </c>
      <c r="AQ206">
        <f t="shared" si="186"/>
        <v>32.7803983408579</v>
      </c>
      <c r="AR206" s="44">
        <f t="shared" si="187"/>
        <v>-18.649244209819848</v>
      </c>
      <c r="AS206" t="str">
        <f t="shared" si="163"/>
        <v>-0.000166666666666667</v>
      </c>
      <c r="AT206" t="str">
        <f t="shared" si="164"/>
        <v>0.0000601504974390946i</v>
      </c>
      <c r="AU206">
        <f t="shared" si="188"/>
        <v>6.01504974390946E-5</v>
      </c>
      <c r="AV206">
        <f t="shared" si="189"/>
        <v>1.5707963267948966</v>
      </c>
      <c r="AW206" t="str">
        <f t="shared" si="165"/>
        <v>1+0.0109586752199033i</v>
      </c>
      <c r="AX206">
        <f t="shared" si="190"/>
        <v>1.0000600444786178</v>
      </c>
      <c r="AY206">
        <f t="shared" si="191"/>
        <v>1.0958236566380418E-2</v>
      </c>
      <c r="AZ206" t="str">
        <f t="shared" si="166"/>
        <v>1+0.22306206657287i</v>
      </c>
      <c r="BA206">
        <f t="shared" si="192"/>
        <v>1.0245763444193701</v>
      </c>
      <c r="BB206">
        <f t="shared" si="193"/>
        <v>0.21946912565520077</v>
      </c>
      <c r="BC206" s="42" t="str">
        <f t="shared" si="194"/>
        <v>-0.58763138960057+2.77726739801692i</v>
      </c>
      <c r="BD206">
        <f t="shared" si="195"/>
        <v>9.0625554948732763</v>
      </c>
      <c r="BE206" s="44">
        <f t="shared" si="196"/>
        <v>101.94679392730983</v>
      </c>
      <c r="BF206" s="42" t="str">
        <f t="shared" si="197"/>
        <v>15.313144949572+34.837383002541i</v>
      </c>
      <c r="BG206" s="20">
        <f t="shared" si="198"/>
        <v>31.608092488829197</v>
      </c>
      <c r="BH206" s="44">
        <f t="shared" si="199"/>
        <v>66.271595741746026</v>
      </c>
      <c r="BI206" s="42" t="str">
        <f t="shared" si="203"/>
        <v>14.4300457212003+122.791805807581i</v>
      </c>
      <c r="BJ206" s="20">
        <f t="shared" si="200"/>
        <v>41.842953835731144</v>
      </c>
      <c r="BK206" s="44">
        <f t="shared" si="204"/>
        <v>83.297549717489971</v>
      </c>
      <c r="BL206">
        <f t="shared" si="201"/>
        <v>31.608092488829197</v>
      </c>
      <c r="BM206" s="44">
        <f t="shared" si="202"/>
        <v>66.271595741746026</v>
      </c>
    </row>
    <row r="207" spans="14:65" x14ac:dyDescent="0.35">
      <c r="N207" s="9">
        <v>89</v>
      </c>
      <c r="O207" s="35">
        <f t="shared" si="205"/>
        <v>776.24711662869231</v>
      </c>
      <c r="P207" s="34" t="str">
        <f t="shared" si="155"/>
        <v>16.3709677419355</v>
      </c>
      <c r="Q207" s="4" t="str">
        <f t="shared" si="156"/>
        <v>1+0.717435755465005i</v>
      </c>
      <c r="R207" s="4">
        <f t="shared" si="167"/>
        <v>1.2307372031508768</v>
      </c>
      <c r="S207" s="4">
        <f t="shared" si="168"/>
        <v>0.62233221801519312</v>
      </c>
      <c r="T207" s="4" t="str">
        <f t="shared" si="157"/>
        <v>1+0.000780368716470707i</v>
      </c>
      <c r="U207" s="4">
        <f t="shared" si="169"/>
        <v>1.0000003044876205</v>
      </c>
      <c r="V207" s="4">
        <f t="shared" si="170"/>
        <v>7.8036855806233173E-4</v>
      </c>
      <c r="W207" t="str">
        <f t="shared" si="158"/>
        <v>1-0.0102124783558539i</v>
      </c>
      <c r="X207" s="4">
        <f t="shared" si="171"/>
        <v>1.0000521459974818</v>
      </c>
      <c r="Y207" s="4">
        <f t="shared" si="172"/>
        <v>-1.0212123342232236E-2</v>
      </c>
      <c r="Z207" t="str">
        <f t="shared" si="159"/>
        <v>0.999999478585539+0.00201123589945922i</v>
      </c>
      <c r="AA207" s="4">
        <f t="shared" si="173"/>
        <v>1.0000015011194698</v>
      </c>
      <c r="AB207" s="4">
        <f t="shared" si="174"/>
        <v>2.0112342362863605E-3</v>
      </c>
      <c r="AC207" s="48" t="str">
        <f t="shared" si="175"/>
        <v>10.7190704786521-7.87758268686567i</v>
      </c>
      <c r="AD207" s="20">
        <f t="shared" si="176"/>
        <v>22.47862300778738</v>
      </c>
      <c r="AE207" s="44">
        <f t="shared" si="177"/>
        <v>-36.312644523172693</v>
      </c>
      <c r="AF207" t="str">
        <f t="shared" si="178"/>
        <v>45.9520231294187</v>
      </c>
      <c r="AG207" t="str">
        <f t="shared" si="160"/>
        <v>1+0.344280316090017i</v>
      </c>
      <c r="AH207">
        <f t="shared" si="179"/>
        <v>1.0576052836701613</v>
      </c>
      <c r="AI207">
        <f t="shared" si="180"/>
        <v>0.3315702733125111</v>
      </c>
      <c r="AJ207" t="str">
        <f t="shared" si="161"/>
        <v>1+0.000780368716470707i</v>
      </c>
      <c r="AK207">
        <f t="shared" si="181"/>
        <v>1.0000003044876205</v>
      </c>
      <c r="AL207">
        <f t="shared" si="182"/>
        <v>7.8036855806233173E-4</v>
      </c>
      <c r="AM207" t="str">
        <f t="shared" si="162"/>
        <v>1-0.00174594067430192i</v>
      </c>
      <c r="AN207">
        <f t="shared" si="183"/>
        <v>1.0000015241532576</v>
      </c>
      <c r="AO207">
        <f t="shared" si="184"/>
        <v>-1.7459389002497019E-3</v>
      </c>
      <c r="AP207" s="42" t="str">
        <f t="shared" si="185"/>
        <v>41.0689509633246-14.1836014040782i</v>
      </c>
      <c r="AQ207">
        <f t="shared" si="186"/>
        <v>32.759636383218307</v>
      </c>
      <c r="AR207" s="44">
        <f t="shared" si="187"/>
        <v>-19.052900378236441</v>
      </c>
      <c r="AS207" t="str">
        <f t="shared" si="163"/>
        <v>-0.000166666666666667</v>
      </c>
      <c r="AT207" t="str">
        <f t="shared" si="164"/>
        <v>0.000061551582511627i</v>
      </c>
      <c r="AU207">
        <f t="shared" si="188"/>
        <v>6.1551582511626995E-5</v>
      </c>
      <c r="AV207">
        <f t="shared" si="189"/>
        <v>1.5707963267948966</v>
      </c>
      <c r="AW207" t="str">
        <f t="shared" si="165"/>
        <v>1+0.0112139355572078i</v>
      </c>
      <c r="AX207">
        <f t="shared" si="190"/>
        <v>1.0000628741987583</v>
      </c>
      <c r="AY207">
        <f t="shared" si="191"/>
        <v>1.1213465533085705E-2</v>
      </c>
      <c r="AZ207" t="str">
        <f t="shared" si="166"/>
        <v>1+0.228257849567681i</v>
      </c>
      <c r="BA207">
        <f t="shared" si="192"/>
        <v>1.0257200621462281</v>
      </c>
      <c r="BB207">
        <f t="shared" si="193"/>
        <v>0.22441313859628131</v>
      </c>
      <c r="BC207" s="42" t="str">
        <f t="shared" si="194"/>
        <v>-0.587628064149603+2.71434562017749i</v>
      </c>
      <c r="BD207">
        <f t="shared" si="195"/>
        <v>8.8722214258619605</v>
      </c>
      <c r="BE207" s="44">
        <f t="shared" si="196"/>
        <v>102.21544146009008</v>
      </c>
      <c r="BF207" s="42" t="str">
        <f t="shared" si="197"/>
        <v>15.0836554288264+33.7243506705645i</v>
      </c>
      <c r="BG207" s="20">
        <f t="shared" si="198"/>
        <v>31.35084443364935</v>
      </c>
      <c r="BH207" s="44">
        <f t="shared" si="199"/>
        <v>65.902796936917369</v>
      </c>
      <c r="BI207" s="42" t="str">
        <f t="shared" si="203"/>
        <v>14.3659281982696+119.810009408332i</v>
      </c>
      <c r="BJ207" s="20">
        <f t="shared" si="200"/>
        <v>41.631857809080238</v>
      </c>
      <c r="BK207" s="44">
        <f t="shared" si="204"/>
        <v>83.162541081853604</v>
      </c>
      <c r="BL207">
        <f t="shared" si="201"/>
        <v>31.35084443364935</v>
      </c>
      <c r="BM207" s="44">
        <f t="shared" si="202"/>
        <v>65.902796936917369</v>
      </c>
    </row>
    <row r="208" spans="14:65" x14ac:dyDescent="0.35">
      <c r="N208" s="9">
        <v>90</v>
      </c>
      <c r="O208" s="35">
        <f t="shared" si="205"/>
        <v>794.32823472428208</v>
      </c>
      <c r="P208" s="34" t="str">
        <f t="shared" si="155"/>
        <v>16.3709677419355</v>
      </c>
      <c r="Q208" s="4" t="str">
        <f t="shared" si="156"/>
        <v>1+0.734146980978988i</v>
      </c>
      <c r="R208" s="4">
        <f t="shared" si="167"/>
        <v>1.2405530176822603</v>
      </c>
      <c r="S208" s="4">
        <f t="shared" si="168"/>
        <v>0.63327773586136493</v>
      </c>
      <c r="T208" s="4" t="str">
        <f t="shared" si="157"/>
        <v>1+0.000798545838959602i</v>
      </c>
      <c r="U208" s="4">
        <f t="shared" si="169"/>
        <v>1.0000003188376776</v>
      </c>
      <c r="V208" s="4">
        <f t="shared" si="170"/>
        <v>7.9854566922197266E-4</v>
      </c>
      <c r="W208" t="str">
        <f t="shared" si="158"/>
        <v>1-0.0104503575353642i</v>
      </c>
      <c r="X208" s="4">
        <f t="shared" si="171"/>
        <v>1.0000546034955375</v>
      </c>
      <c r="Y208" s="4">
        <f t="shared" si="172"/>
        <v>-1.0449977132536733E-2</v>
      </c>
      <c r="Z208" t="str">
        <f t="shared" si="159"/>
        <v>0.999999454012033+0.0020580836017401i</v>
      </c>
      <c r="AA208" s="4">
        <f t="shared" si="173"/>
        <v>1.0000015718650026</v>
      </c>
      <c r="AB208" s="4">
        <f t="shared" si="174"/>
        <v>2.0580818196184185E-3</v>
      </c>
      <c r="AC208" s="48" t="str">
        <f t="shared" si="175"/>
        <v>10.5459901791739-7.9340087619007i</v>
      </c>
      <c r="AD208" s="20">
        <f t="shared" si="176"/>
        <v>22.409643848222352</v>
      </c>
      <c r="AE208" s="44">
        <f t="shared" si="177"/>
        <v>-36.955047215721059</v>
      </c>
      <c r="AF208" t="str">
        <f t="shared" si="178"/>
        <v>45.9520231294187</v>
      </c>
      <c r="AG208" t="str">
        <f t="shared" si="160"/>
        <v>1+0.352299634835118i</v>
      </c>
      <c r="AH208">
        <f t="shared" si="179"/>
        <v>1.0602429121220087</v>
      </c>
      <c r="AI208">
        <f t="shared" si="180"/>
        <v>0.33872202106761418</v>
      </c>
      <c r="AJ208" t="str">
        <f t="shared" si="161"/>
        <v>1+0.000798545838959602i</v>
      </c>
      <c r="AK208">
        <f t="shared" si="181"/>
        <v>1.0000003188376776</v>
      </c>
      <c r="AL208">
        <f t="shared" si="182"/>
        <v>7.9854566922197266E-4</v>
      </c>
      <c r="AM208" t="str">
        <f t="shared" si="162"/>
        <v>1-0.00178660885695109i</v>
      </c>
      <c r="AN208">
        <f t="shared" si="183"/>
        <v>1.0000015959843302</v>
      </c>
      <c r="AO208">
        <f t="shared" si="184"/>
        <v>-1.7866069560200537E-3</v>
      </c>
      <c r="AP208" s="42" t="str">
        <f t="shared" si="185"/>
        <v>40.8642280528392-14.4418561154903i</v>
      </c>
      <c r="AQ208">
        <f t="shared" si="186"/>
        <v>32.738001811993776</v>
      </c>
      <c r="AR208" s="44">
        <f t="shared" si="187"/>
        <v>-19.463953976949437</v>
      </c>
      <c r="AS208" t="str">
        <f t="shared" si="163"/>
        <v>-0.000166666666666667</v>
      </c>
      <c r="AT208" t="str">
        <f t="shared" si="164"/>
        <v>0.0000629853030479385i</v>
      </c>
      <c r="AU208">
        <f t="shared" si="188"/>
        <v>6.2985303047938504E-5</v>
      </c>
      <c r="AV208">
        <f t="shared" si="189"/>
        <v>1.5707963267948966</v>
      </c>
      <c r="AW208" t="str">
        <f t="shared" si="165"/>
        <v>1+0.0114751416715788i</v>
      </c>
      <c r="AX208">
        <f t="shared" si="190"/>
        <v>1.0000658372709184</v>
      </c>
      <c r="AY208">
        <f t="shared" si="191"/>
        <v>1.1474638033448755E-2</v>
      </c>
      <c r="AZ208" t="str">
        <f t="shared" si="166"/>
        <v>1+0.233574657895683i</v>
      </c>
      <c r="BA208">
        <f t="shared" si="192"/>
        <v>1.0269163163622854</v>
      </c>
      <c r="BB208">
        <f t="shared" si="193"/>
        <v>0.22946078523118657</v>
      </c>
      <c r="BC208" s="42" t="str">
        <f t="shared" si="194"/>
        <v>-0.587624582015303+2.65286302079904i</v>
      </c>
      <c r="BD208">
        <f t="shared" si="195"/>
        <v>8.6823197762737276</v>
      </c>
      <c r="BE208" s="44">
        <f t="shared" si="196"/>
        <v>102.48968622674788</v>
      </c>
      <c r="BF208" s="42" t="str">
        <f t="shared" si="197"/>
        <v>14.8507553801674+32.6392859464579i</v>
      </c>
      <c r="BG208" s="20">
        <f t="shared" si="198"/>
        <v>31.091963624496074</v>
      </c>
      <c r="BH208" s="44">
        <f t="shared" si="199"/>
        <v>65.534639011026798</v>
      </c>
      <c r="BI208" s="42" t="str">
        <f t="shared" si="203"/>
        <v>14.299441111557+116.893589138266i</v>
      </c>
      <c r="BJ208" s="20">
        <f t="shared" si="200"/>
        <v>41.420321588267505</v>
      </c>
      <c r="BK208" s="44">
        <f t="shared" si="204"/>
        <v>83.025732249798466</v>
      </c>
      <c r="BL208">
        <f t="shared" si="201"/>
        <v>31.091963624496074</v>
      </c>
      <c r="BM208" s="44">
        <f t="shared" si="202"/>
        <v>65.534639011026798</v>
      </c>
    </row>
    <row r="209" spans="14:65" x14ac:dyDescent="0.35">
      <c r="N209" s="9">
        <v>91</v>
      </c>
      <c r="O209" s="35">
        <f t="shared" si="205"/>
        <v>812.83051616409978</v>
      </c>
      <c r="P209" s="34" t="str">
        <f t="shared" si="155"/>
        <v>16.3709677419355</v>
      </c>
      <c r="Q209" s="4" t="str">
        <f t="shared" si="156"/>
        <v>1+0.75124746093987i</v>
      </c>
      <c r="R209" s="4">
        <f t="shared" si="167"/>
        <v>1.2507488747021129</v>
      </c>
      <c r="S209" s="4">
        <f t="shared" si="168"/>
        <v>0.64429900585957178</v>
      </c>
      <c r="T209" s="4" t="str">
        <f t="shared" si="157"/>
        <v>1+0.000817146361022315i</v>
      </c>
      <c r="U209" s="4">
        <f t="shared" si="169"/>
        <v>1.000000333864032</v>
      </c>
      <c r="V209" s="4">
        <f t="shared" si="170"/>
        <v>8.1714617914517161E-4</v>
      </c>
      <c r="W209" t="str">
        <f t="shared" si="158"/>
        <v>1-0.0106937776327665i</v>
      </c>
      <c r="X209" s="4">
        <f t="shared" si="171"/>
        <v>1.000057176805436</v>
      </c>
      <c r="Y209" s="4">
        <f t="shared" si="172"/>
        <v>-1.0693370025051741E-2</v>
      </c>
      <c r="Z209" t="str">
        <f t="shared" si="159"/>
        <v>0.999999428280413+0.00210602252718858i</v>
      </c>
      <c r="AA209" s="4">
        <f t="shared" si="173"/>
        <v>1.0000016459446643</v>
      </c>
      <c r="AB209" s="4">
        <f t="shared" si="174"/>
        <v>2.1060206176109573E-3</v>
      </c>
      <c r="AC209" s="48" t="str">
        <f t="shared" si="175"/>
        <v>10.3705059663602-7.98698347777105i</v>
      </c>
      <c r="AD209" s="20">
        <f t="shared" si="176"/>
        <v>22.338569859244171</v>
      </c>
      <c r="AE209" s="44">
        <f t="shared" si="177"/>
        <v>-37.602145817081741</v>
      </c>
      <c r="AF209" t="str">
        <f t="shared" si="178"/>
        <v>45.9520231294187</v>
      </c>
      <c r="AG209" t="str">
        <f t="shared" si="160"/>
        <v>1+0.360505747509844i</v>
      </c>
      <c r="AH209">
        <f t="shared" si="179"/>
        <v>1.0629978334820966</v>
      </c>
      <c r="AI209">
        <f t="shared" si="180"/>
        <v>0.34600323105333175</v>
      </c>
      <c r="AJ209" t="str">
        <f t="shared" si="161"/>
        <v>1+0.000817146361022315i</v>
      </c>
      <c r="AK209">
        <f t="shared" si="181"/>
        <v>1.000000333864032</v>
      </c>
      <c r="AL209">
        <f t="shared" si="182"/>
        <v>8.1714617914517161E-4</v>
      </c>
      <c r="AM209" t="str">
        <f t="shared" si="162"/>
        <v>1-0.00182822432326477i</v>
      </c>
      <c r="AN209">
        <f t="shared" si="183"/>
        <v>1.0000016712006916</v>
      </c>
      <c r="AO209">
        <f t="shared" si="184"/>
        <v>-1.8282222863806505E-3</v>
      </c>
      <c r="AP209" s="42" t="str">
        <f t="shared" si="185"/>
        <v>40.6520263268242-14.7017502166482i</v>
      </c>
      <c r="AQ209">
        <f t="shared" si="186"/>
        <v>32.715462564632716</v>
      </c>
      <c r="AR209" s="44">
        <f t="shared" si="187"/>
        <v>-19.882455230956854</v>
      </c>
      <c r="AS209" t="str">
        <f t="shared" si="163"/>
        <v>-0.000166666666666667</v>
      </c>
      <c r="AT209" t="str">
        <f t="shared" si="164"/>
        <v>0.0000644524192256351i</v>
      </c>
      <c r="AU209">
        <f t="shared" si="188"/>
        <v>6.4452419225635095E-5</v>
      </c>
      <c r="AV209">
        <f t="shared" si="189"/>
        <v>1.5707963267948966</v>
      </c>
      <c r="AW209" t="str">
        <f t="shared" si="165"/>
        <v>1+0.0117424320579554i</v>
      </c>
      <c r="AX209">
        <f t="shared" si="190"/>
        <v>1.0000689399789575</v>
      </c>
      <c r="AY209">
        <f t="shared" si="191"/>
        <v>1.174189240198539E-2</v>
      </c>
      <c r="AZ209" t="str">
        <f t="shared" si="166"/>
        <v>1+0.239015310599027i</v>
      </c>
      <c r="BA209">
        <f t="shared" si="192"/>
        <v>1.0281674565462326</v>
      </c>
      <c r="BB209">
        <f t="shared" si="193"/>
        <v>0.23461371256779656</v>
      </c>
      <c r="BC209" s="42" t="str">
        <f t="shared" si="194"/>
        <v>-0.587620935817298+2.59278700074221i</v>
      </c>
      <c r="BD209">
        <f t="shared" si="195"/>
        <v>8.4928688126523522</v>
      </c>
      <c r="BE209" s="44">
        <f t="shared" si="196"/>
        <v>102.76961466789959</v>
      </c>
      <c r="BF209" s="42" t="str">
        <f t="shared" si="197"/>
        <v>14.6146205154561+31.5818317662634i</v>
      </c>
      <c r="BG209" s="20">
        <f t="shared" si="198"/>
        <v>30.831438671896521</v>
      </c>
      <c r="BH209" s="44">
        <f t="shared" si="199"/>
        <v>65.167468850817926</v>
      </c>
      <c r="BI209" s="42" t="str">
        <f t="shared" si="203"/>
        <v>14.2305250968465+114.041101634479i</v>
      </c>
      <c r="BJ209" s="20">
        <f t="shared" si="200"/>
        <v>41.208331377285077</v>
      </c>
      <c r="BK209" s="44">
        <f t="shared" si="204"/>
        <v>82.887159436942781</v>
      </c>
      <c r="BL209">
        <f t="shared" si="201"/>
        <v>30.831438671896521</v>
      </c>
      <c r="BM209" s="44">
        <f t="shared" si="202"/>
        <v>65.167468850817926</v>
      </c>
    </row>
    <row r="210" spans="14:65" x14ac:dyDescent="0.35">
      <c r="N210" s="9">
        <v>92</v>
      </c>
      <c r="O210" s="35">
        <f t="shared" si="205"/>
        <v>831.7637711026714</v>
      </c>
      <c r="P210" s="34" t="str">
        <f t="shared" si="155"/>
        <v>16.3709677419355</v>
      </c>
      <c r="Q210" s="4" t="str">
        <f t="shared" si="156"/>
        <v>1+0.768746262248479i</v>
      </c>
      <c r="R210" s="4">
        <f t="shared" si="167"/>
        <v>1.2613369160224428</v>
      </c>
      <c r="S210" s="4">
        <f t="shared" si="168"/>
        <v>0.65539116209868364</v>
      </c>
      <c r="T210" s="4" t="str">
        <f t="shared" si="157"/>
        <v>1+0.000836180144901854i</v>
      </c>
      <c r="U210" s="4">
        <f t="shared" si="169"/>
        <v>1.0000003495985563</v>
      </c>
      <c r="V210" s="4">
        <f t="shared" si="170"/>
        <v>8.3617995001698743E-4</v>
      </c>
      <c r="W210" t="str">
        <f t="shared" si="158"/>
        <v>1-0.0109428677126186i</v>
      </c>
      <c r="X210" s="4">
        <f t="shared" si="171"/>
        <v>1.0000598713845965</v>
      </c>
      <c r="Y210" s="4">
        <f t="shared" si="172"/>
        <v>-1.0942430954495473E-2</v>
      </c>
      <c r="Z210" t="str">
        <f t="shared" si="159"/>
        <v>0.999999401336099+0.00215507809365748i</v>
      </c>
      <c r="AA210" s="4">
        <f t="shared" si="173"/>
        <v>1.000001723515588</v>
      </c>
      <c r="AB210" s="4">
        <f t="shared" si="174"/>
        <v>2.1550760475083758E-3</v>
      </c>
      <c r="AC210" s="48" t="str">
        <f t="shared" si="175"/>
        <v>10.1927572408104-8.03638053280826i</v>
      </c>
      <c r="AD210" s="20">
        <f t="shared" si="176"/>
        <v>22.265373010458941</v>
      </c>
      <c r="AE210" s="44">
        <f t="shared" si="177"/>
        <v>-38.253669809737346</v>
      </c>
      <c r="AF210" t="str">
        <f t="shared" si="178"/>
        <v>45.9520231294187</v>
      </c>
      <c r="AG210" t="str">
        <f t="shared" si="160"/>
        <v>1+0.368903005103758i</v>
      </c>
      <c r="AH210">
        <f t="shared" si="179"/>
        <v>1.0658749585080716</v>
      </c>
      <c r="AI210">
        <f t="shared" si="180"/>
        <v>0.35341467474242616</v>
      </c>
      <c r="AJ210" t="str">
        <f t="shared" si="161"/>
        <v>1+0.000836180144901854i</v>
      </c>
      <c r="AK210">
        <f t="shared" si="181"/>
        <v>1.0000003495985563</v>
      </c>
      <c r="AL210">
        <f t="shared" si="182"/>
        <v>8.3617995001698743E-4</v>
      </c>
      <c r="AM210" t="str">
        <f t="shared" si="162"/>
        <v>1-0.00187080913831407i</v>
      </c>
      <c r="AN210">
        <f t="shared" si="183"/>
        <v>1.0000017499618847</v>
      </c>
      <c r="AO210">
        <f t="shared" si="184"/>
        <v>-1.8708069557536197E-3</v>
      </c>
      <c r="AP210" s="42" t="str">
        <f t="shared" si="185"/>
        <v>40.4321658580917-14.9630907833392i</v>
      </c>
      <c r="AQ210">
        <f t="shared" si="186"/>
        <v>32.691985791296759</v>
      </c>
      <c r="AR210" s="44">
        <f t="shared" si="187"/>
        <v>-20.308449041528672</v>
      </c>
      <c r="AS210" t="str">
        <f t="shared" si="163"/>
        <v>-0.000166666666666667</v>
      </c>
      <c r="AT210" t="str">
        <f t="shared" si="164"/>
        <v>0.0000659537089291338i</v>
      </c>
      <c r="AU210">
        <f t="shared" si="188"/>
        <v>6.5953708929133805E-5</v>
      </c>
      <c r="AV210">
        <f t="shared" si="189"/>
        <v>1.5707963267948966</v>
      </c>
      <c r="AW210" t="str">
        <f t="shared" si="165"/>
        <v>1+0.0120159484372386i</v>
      </c>
      <c r="AX210">
        <f t="shared" si="190"/>
        <v>1.0000721889028044</v>
      </c>
      <c r="AY210">
        <f t="shared" si="191"/>
        <v>1.2015370187702875E-2</v>
      </c>
      <c r="AZ210" t="str">
        <f t="shared" si="166"/>
        <v>1+0.244582692383792i</v>
      </c>
      <c r="BA210">
        <f t="shared" si="192"/>
        <v>1.0294759314397324</v>
      </c>
      <c r="BB210">
        <f t="shared" si="193"/>
        <v>0.23987355768155749</v>
      </c>
      <c r="BC210" s="42" t="str">
        <f t="shared" si="194"/>
        <v>-0.587617117827775+2.53408570663662i</v>
      </c>
      <c r="BD210">
        <f t="shared" si="195"/>
        <v>8.3038874750984668</v>
      </c>
      <c r="BE210" s="44">
        <f t="shared" si="196"/>
        <v>103.05531247089853</v>
      </c>
      <c r="BF210" s="42" t="str">
        <f t="shared" si="197"/>
        <v>14.375438408719+30.5516352016106i</v>
      </c>
      <c r="BG210" s="20">
        <f t="shared" si="198"/>
        <v>30.569260485557415</v>
      </c>
      <c r="BH210" s="44">
        <f t="shared" si="199"/>
        <v>64.80164266116121</v>
      </c>
      <c r="BI210" s="42" t="str">
        <f t="shared" si="203"/>
        <v>14.1591217120996+111.251141869252i</v>
      </c>
      <c r="BJ210" s="20">
        <f t="shared" si="200"/>
        <v>40.995873266395186</v>
      </c>
      <c r="BK210" s="44">
        <f t="shared" si="204"/>
        <v>82.746863429369824</v>
      </c>
      <c r="BL210">
        <f t="shared" si="201"/>
        <v>30.569260485557415</v>
      </c>
      <c r="BM210" s="44">
        <f t="shared" si="202"/>
        <v>64.80164266116121</v>
      </c>
    </row>
    <row r="211" spans="14:65" x14ac:dyDescent="0.35">
      <c r="N211" s="9">
        <v>93</v>
      </c>
      <c r="O211" s="35">
        <f t="shared" si="205"/>
        <v>851.13803820237763</v>
      </c>
      <c r="P211" s="34" t="str">
        <f t="shared" ref="P211:P274" si="206">COMPLEX(Adc,0)</f>
        <v>16.3709677419355</v>
      </c>
      <c r="Q211" s="4" t="str">
        <f t="shared" ref="Q211:Q274" si="207">IMSUM(COMPLEX(1,0),IMDIV(COMPLEX(0,2*PI()*O211),COMPLEX(wp_lf,0)))</f>
        <v>1+0.786652663000892i</v>
      </c>
      <c r="R211" s="4">
        <f t="shared" si="167"/>
        <v>1.2723295218638899</v>
      </c>
      <c r="S211" s="4">
        <f t="shared" si="168"/>
        <v>0.66654916836229705</v>
      </c>
      <c r="T211" s="4" t="str">
        <f t="shared" ref="T211:T274" si="208">IMSUM(COMPLEX(1,0),IMDIV(COMPLEX(0,2*PI()*O211),COMPLEX(wz_esr,0)))</f>
        <v>1+0.000855657282562374i</v>
      </c>
      <c r="U211" s="4">
        <f t="shared" si="169"/>
        <v>1.0000003660746255</v>
      </c>
      <c r="V211" s="4">
        <f t="shared" si="170"/>
        <v>8.5565707373948133E-4</v>
      </c>
      <c r="W211" t="str">
        <f t="shared" ref="W211:W274" si="209">IMSUB(COMPLEX(1,0),IMDIV(COMPLEX(0,2*PI()*O211),COMPLEX(wz_rhp,0)))</f>
        <v>1-0.011197759845778i</v>
      </c>
      <c r="X211" s="4">
        <f t="shared" si="171"/>
        <v>1.0000626929475791</v>
      </c>
      <c r="Y211" s="4">
        <f t="shared" si="172"/>
        <v>-1.1197291852601855E-2</v>
      </c>
      <c r="Z211" t="str">
        <f t="shared" ref="Z211:Z274" si="210">IMSUM(COMPLEX(1,0),IMDIV(COMPLEX(0,2*PI()*O211),COMPLEX(Q*(wsl/2),0)),IMDIV(IMPOWER(COMPLEX(0,2*PI()*O211),2),IMPOWER(COMPLEX(wsl/2,0),2)))</f>
        <v>0.999999373121938+0.00220527631105747i</v>
      </c>
      <c r="AA211" s="4">
        <f t="shared" si="173"/>
        <v>1.00000180474231</v>
      </c>
      <c r="AB211" s="4">
        <f t="shared" si="174"/>
        <v>2.2052741185694105E-3</v>
      </c>
      <c r="AC211" s="48" t="str">
        <f t="shared" si="175"/>
        <v>10.0128918828363-8.08208029711412i</v>
      </c>
      <c r="AD211" s="20">
        <f t="shared" si="176"/>
        <v>22.190027001242811</v>
      </c>
      <c r="AE211" s="44">
        <f t="shared" si="177"/>
        <v>-38.909339110872594</v>
      </c>
      <c r="AF211" t="str">
        <f t="shared" si="178"/>
        <v>45.9520231294187</v>
      </c>
      <c r="AG211" t="str">
        <f t="shared" ref="AG211:AG274" si="211">IMSUM(COMPLEX(1,0),IMDIV(COMPLEX(0,2*PI()*O211),COMPLEX(wp_lf_DCM,0)))</f>
        <v>1+0.377495859953988i</v>
      </c>
      <c r="AH211">
        <f t="shared" si="179"/>
        <v>1.0688793777982626</v>
      </c>
      <c r="AI211">
        <f t="shared" si="180"/>
        <v>0.36095702394939683</v>
      </c>
      <c r="AJ211" t="str">
        <f t="shared" ref="AJ211:AJ274" si="212">IMSUM(COMPLEX(1,0),IMDIV(COMPLEX(0,2*PI()*O211),COMPLEX(wz1_dcm,0)))</f>
        <v>1+0.000855657282562374i</v>
      </c>
      <c r="AK211">
        <f t="shared" si="181"/>
        <v>1.0000003660746255</v>
      </c>
      <c r="AL211">
        <f t="shared" si="182"/>
        <v>8.5565707373948133E-4</v>
      </c>
      <c r="AM211" t="str">
        <f t="shared" ref="AM211:AM274" si="213">IMSUB(COMPLEX(1,0),IMDIV(COMPLEX(0,2*PI()*O211),COMPLEX(wz2_dcm,0)))</f>
        <v>1-0.00191438588113158i</v>
      </c>
      <c r="AN211">
        <f t="shared" si="183"/>
        <v>1.000001832434972</v>
      </c>
      <c r="AO211">
        <f t="shared" si="184"/>
        <v>-1.914383542476154E-3</v>
      </c>
      <c r="AP211" s="42" t="str">
        <f t="shared" si="185"/>
        <v>40.2044703243842-15.2256718201472i</v>
      </c>
      <c r="AQ211">
        <f t="shared" si="186"/>
        <v>32.667537868836597</v>
      </c>
      <c r="AR211" s="44">
        <f t="shared" si="187"/>
        <v>-20.741974616220379</v>
      </c>
      <c r="AS211" t="str">
        <f t="shared" ref="AS211:AS274" si="214">COMPLEX(Adc_ea,0)</f>
        <v>-0.000166666666666667</v>
      </c>
      <c r="AT211" t="str">
        <f t="shared" ref="AT211:AT274" si="215">COMPLEX(0,2*PI()*O211*wp0_ea)</f>
        <v>0.0000674899681621073i</v>
      </c>
      <c r="AU211">
        <f t="shared" si="188"/>
        <v>6.7489968162107305E-5</v>
      </c>
      <c r="AV211">
        <f t="shared" si="189"/>
        <v>1.5707963267948966</v>
      </c>
      <c r="AW211" t="str">
        <f t="shared" ref="AW211:AW274" si="216">IMSUM(COMPLEX(1,0),IMDIV(COMPLEX(0,2*PI()*O211),COMPLEX(wp1_ea,0)))</f>
        <v>1+0.0122958358314332i</v>
      </c>
      <c r="AX211">
        <f t="shared" si="190"/>
        <v>1.0000755909324022</v>
      </c>
      <c r="AY211">
        <f t="shared" si="191"/>
        <v>1.2295216228421797E-2</v>
      </c>
      <c r="AZ211" t="str">
        <f t="shared" ref="AZ211:AZ274" si="217">IMSUM(COMPLEX(1,0),IMDIV(COMPLEX(0,2*PI()*O211),COMPLEX(wz_ea,0)))</f>
        <v>1+0.250279755149494i</v>
      </c>
      <c r="BA211">
        <f t="shared" si="192"/>
        <v>1.0308442927220827</v>
      </c>
      <c r="BB211">
        <f t="shared" si="193"/>
        <v>0.24524194475456512</v>
      </c>
      <c r="BC211" s="42" t="str">
        <f t="shared" si="194"/>
        <v>-0.587613119955123+2.47672801399059i</v>
      </c>
      <c r="BD211">
        <f t="shared" si="195"/>
        <v>8.11539539320421</v>
      </c>
      <c r="BE211" s="44">
        <f t="shared" si="196"/>
        <v>103.34686439592778</v>
      </c>
      <c r="BF211" s="42" t="str">
        <f t="shared" si="197"/>
        <v>14.1334080441372+29.5483462463947i</v>
      </c>
      <c r="BG211" s="20">
        <f t="shared" si="198"/>
        <v>30.305422394447024</v>
      </c>
      <c r="BH211" s="44">
        <f t="shared" si="199"/>
        <v>64.437525285055131</v>
      </c>
      <c r="BI211" s="42" t="str">
        <f t="shared" si="203"/>
        <v>14.0851736853311+108.522342461705i</v>
      </c>
      <c r="BJ211" s="20">
        <f t="shared" si="200"/>
        <v>40.782933262040792</v>
      </c>
      <c r="BK211" s="44">
        <f t="shared" si="204"/>
        <v>82.604889779707406</v>
      </c>
      <c r="BL211">
        <f t="shared" si="201"/>
        <v>30.305422394447024</v>
      </c>
      <c r="BM211" s="44">
        <f t="shared" si="202"/>
        <v>64.437525285055131</v>
      </c>
    </row>
    <row r="212" spans="14:65" x14ac:dyDescent="0.35">
      <c r="N212" s="9">
        <v>94</v>
      </c>
      <c r="O212" s="35">
        <f t="shared" si="205"/>
        <v>870.96358995608091</v>
      </c>
      <c r="P212" s="34" t="str">
        <f t="shared" si="206"/>
        <v>16.3709677419355</v>
      </c>
      <c r="Q212" s="4" t="str">
        <f t="shared" si="207"/>
        <v>1+0.804976157407805i</v>
      </c>
      <c r="R212" s="4">
        <f t="shared" ref="R212:R275" si="218">IMABS(Q212)</f>
        <v>1.2837393092037943</v>
      </c>
      <c r="S212" s="4">
        <f t="shared" ref="S212:S275" si="219">IMARGUMENT(Q212)</f>
        <v>0.67776782783522538</v>
      </c>
      <c r="T212" s="4" t="str">
        <f t="shared" si="208"/>
        <v>1+0.000875588101040069i</v>
      </c>
      <c r="U212" s="4">
        <f t="shared" ref="U212:U275" si="220">IMABS(T212)</f>
        <v>1.000000383327188</v>
      </c>
      <c r="V212" s="4">
        <f t="shared" ref="V212:V275" si="221">IMARGUMENT(T212)</f>
        <v>8.755878772823127E-4</v>
      </c>
      <c r="W212" t="str">
        <f t="shared" si="209"/>
        <v>1-0.0114585891794274i</v>
      </c>
      <c r="X212" s="4">
        <f t="shared" ref="X212:X275" si="222">IMABS(W212)</f>
        <v>1.0000656474781957</v>
      </c>
      <c r="Y212" s="4">
        <f t="shared" ref="Y212:Y275" si="223">IMARGUMENT(W212)</f>
        <v>-1.1458087717482272E-2</v>
      </c>
      <c r="Z212" t="str">
        <f t="shared" si="210"/>
        <v>0.999999343578085+0.00225664379514786i</v>
      </c>
      <c r="AA212" s="4">
        <f t="shared" ref="AA212:AA275" si="224">IMABS(Z212)</f>
        <v>1.0000018897971239</v>
      </c>
      <c r="AB212" s="4">
        <f t="shared" ref="AB212:AB275" si="225">IMARGUMENT(Z212)</f>
        <v>2.2566414458548086E-3</v>
      </c>
      <c r="AC212" s="48" t="str">
        <f t="shared" ref="AC212:AC275" si="226">(IMDIV(IMPRODUCT(P212,T212,W212),IMPRODUCT(Q212,Z212)))</f>
        <v>9.83106585247194-8.12397048765487i</v>
      </c>
      <c r="AD212" s="20">
        <f t="shared" ref="AD212:AD275" si="227">20*LOG(IMABS(AC212))</f>
        <v>22.112507360468854</v>
      </c>
      <c r="AE212" s="44">
        <f t="shared" ref="AE212:AE275" si="228">(180/PI())*IMARGUMENT(AC212)</f>
        <v>-39.5688646329709</v>
      </c>
      <c r="AF212" t="str">
        <f t="shared" ref="AF212:AF275" si="229">COMPLEX($B$68,0)</f>
        <v>45.9520231294187</v>
      </c>
      <c r="AG212" t="str">
        <f t="shared" si="211"/>
        <v>1+0.386288868105912i</v>
      </c>
      <c r="AH212">
        <f t="shared" ref="AH212:AH275" si="230">IMABS(AG212)</f>
        <v>1.0720163663034938</v>
      </c>
      <c r="AI212">
        <f t="shared" ref="AI212:AI275" si="231">IMARGUMENT(AG212)</f>
        <v>0.3686308442377127</v>
      </c>
      <c r="AJ212" t="str">
        <f t="shared" si="212"/>
        <v>1+0.000875588101040069i</v>
      </c>
      <c r="AK212">
        <f t="shared" ref="AK212:AK275" si="232">IMABS(AJ212)</f>
        <v>1.000000383327188</v>
      </c>
      <c r="AL212">
        <f t="shared" ref="AL212:AL275" si="233">IMARGUMENT(AJ212)</f>
        <v>8.755878772823127E-4</v>
      </c>
      <c r="AM212" t="str">
        <f t="shared" si="213"/>
        <v>1-0.00195897765668316i</v>
      </c>
      <c r="AN212">
        <f t="shared" ref="AN212:AN275" si="234">IMABS(AM212)</f>
        <v>1.0000019187948888</v>
      </c>
      <c r="AO212">
        <f t="shared" ref="AO212:AO275" si="235">IMARGUMENT(AM212)</f>
        <v>-1.9589751507689823E-3</v>
      </c>
      <c r="AP212" s="42" t="str">
        <f t="shared" ref="AP212:AP275" si="236">(IMDIV(IMPRODUCT(AF212,AJ212,AM212),IMPRODUCT(AG212)))</f>
        <v>39.9687678190977-15.4892740223463i</v>
      </c>
      <c r="AQ212">
        <f t="shared" ref="AQ212:AQ275" si="237">20*LOG(IMABS(AP212))</f>
        <v>32.642084418184496</v>
      </c>
      <c r="AR212" s="44">
        <f t="shared" ref="AR212:AR275" si="238">(180/PI())*IMARGUMENT(AP212)</f>
        <v>-21.183065091514312</v>
      </c>
      <c r="AS212" t="str">
        <f t="shared" si="214"/>
        <v>-0.000166666666666667</v>
      </c>
      <c r="AT212" t="str">
        <f t="shared" si="215"/>
        <v>0.0000690620114695355i</v>
      </c>
      <c r="AU212">
        <f t="shared" ref="AU212:AU275" si="239">IMABS(AT212)</f>
        <v>6.9062011469535496E-5</v>
      </c>
      <c r="AV212">
        <f t="shared" ref="AV212:AV275" si="240">IMARGUMENT(AT212)</f>
        <v>1.5707963267948966</v>
      </c>
      <c r="AW212" t="str">
        <f t="shared" si="216"/>
        <v>1+0.0125822426405401i</v>
      </c>
      <c r="AX212">
        <f t="shared" ref="AX212:AX275" si="241">IMABS(AW212)</f>
        <v>1.0000791532823117</v>
      </c>
      <c r="AY212">
        <f t="shared" ref="AY212:AY275" si="242">IMARGUMENT(AW212)</f>
        <v>1.2581578726789772E-2</v>
      </c>
      <c r="AZ212" t="str">
        <f t="shared" si="217"/>
        <v>1+0.25610951955422i</v>
      </c>
      <c r="BA212">
        <f t="shared" ref="BA212:BA275" si="243">IMABS(AZ212)</f>
        <v>1.0322751987751586</v>
      </c>
      <c r="BB212">
        <f t="shared" ref="BB212:BB275" si="244">IMARGUMENT(AZ212)</f>
        <v>0.25072048192684798</v>
      </c>
      <c r="BC212" s="42" t="str">
        <f t="shared" ref="BC212:BC275" si="245">IMPRODUCT(AS212,IMDIV(AZ212,IMPRODUCT(AT212,AW212)))</f>
        <v>-0.587608933726845+2.42068351068706i</v>
      </c>
      <c r="BD212">
        <f t="shared" ref="BD212:BD275" si="246">20*LOG(IMABS(BC212))</f>
        <v>7.9274129015137937</v>
      </c>
      <c r="BE212" s="44">
        <f t="shared" ref="BE212:BE275" si="247">(180/PI())*IMARGUMENT(BC212)</f>
        <v>103.64435409123776</v>
      </c>
      <c r="BF212" s="42" t="str">
        <f t="shared" ref="BF212:BF275" si="248">IMPRODUCT(AC212,BC212)</f>
        <v>13.888739277805+28.5716166374367i</v>
      </c>
      <c r="BG212" s="20">
        <f t="shared" ref="BG212:BG275" si="249">20*LOG(IMABS(BF212))</f>
        <v>30.039920261982651</v>
      </c>
      <c r="BH212" s="44">
        <f t="shared" ref="BH212:BH275" si="250">(180/PI())*IMARGUMENT(BF212)</f>
        <v>64.075489458266915</v>
      </c>
      <c r="BI212" s="42" t="str">
        <f t="shared" si="203"/>
        <v>14.0086251778513+105.853372994643i</v>
      </c>
      <c r="BJ212" s="20">
        <f t="shared" ref="BJ212:BJ275" si="251">20*LOG(IMABS(BI212))</f>
        <v>40.569497319698272</v>
      </c>
      <c r="BK212" s="44">
        <f t="shared" si="204"/>
        <v>82.461288999723436</v>
      </c>
      <c r="BL212">
        <f t="shared" ref="BL212:BL275" si="252">IF($B$31=0,BJ212,BG212)</f>
        <v>30.039920261982651</v>
      </c>
      <c r="BM212" s="44">
        <f t="shared" ref="BM212:BM275" si="253">IF($B$31=0,BK212,BH212)</f>
        <v>64.075489458266915</v>
      </c>
    </row>
    <row r="213" spans="14:65" x14ac:dyDescent="0.35">
      <c r="N213" s="9">
        <v>95</v>
      </c>
      <c r="O213" s="35">
        <f t="shared" si="205"/>
        <v>891.25093813374656</v>
      </c>
      <c r="P213" s="34" t="str">
        <f t="shared" si="206"/>
        <v>16.3709677419355</v>
      </c>
      <c r="Q213" s="4" t="str">
        <f t="shared" si="207"/>
        <v>1+0.823726460828497i</v>
      </c>
      <c r="R213" s="4">
        <f t="shared" si="218"/>
        <v>1.2955791300684962</v>
      </c>
      <c r="S213" s="4">
        <f t="shared" si="219"/>
        <v>0.6890417937264659</v>
      </c>
      <c r="T213" s="4" t="str">
        <f t="shared" si="208"/>
        <v>1+0.000895983167918717i</v>
      </c>
      <c r="U213" s="4">
        <f t="shared" si="220"/>
        <v>1.0000004013928381</v>
      </c>
      <c r="V213" s="4">
        <f t="shared" si="221"/>
        <v>8.9598292815796653E-4</v>
      </c>
      <c r="W213" t="str">
        <f t="shared" si="209"/>
        <v>1-0.0117254940087322i</v>
      </c>
      <c r="X213" s="4">
        <f t="shared" si="222"/>
        <v>1.0000687412421951</v>
      </c>
      <c r="Y213" s="4">
        <f t="shared" si="223"/>
        <v>-1.1724956684571894E-2</v>
      </c>
      <c r="Z213" t="str">
        <f t="shared" si="210"/>
        <v>0.999999312641874+0.00230920778164865i</v>
      </c>
      <c r="AA213" s="4">
        <f t="shared" si="224"/>
        <v>1.0000019788604417</v>
      </c>
      <c r="AB213" s="4">
        <f t="shared" si="225"/>
        <v>2.3092052643360499E-3</v>
      </c>
      <c r="AC213" s="48" t="str">
        <f t="shared" si="226"/>
        <v>9.64744272668541-8.16194681605932i</v>
      </c>
      <c r="AD213" s="20">
        <f t="shared" si="227"/>
        <v>22.032791541049651</v>
      </c>
      <c r="AE213" s="44">
        <f t="shared" si="228"/>
        <v>-40.231948897026598</v>
      </c>
      <c r="AF213" t="str">
        <f t="shared" si="229"/>
        <v>45.9520231294187</v>
      </c>
      <c r="AG213" t="str">
        <f t="shared" si="211"/>
        <v>1+0.395286691728845i</v>
      </c>
      <c r="AH213">
        <f t="shared" si="230"/>
        <v>1.0752913877912047</v>
      </c>
      <c r="AI213">
        <f t="shared" si="231"/>
        <v>0.37643658821880671</v>
      </c>
      <c r="AJ213" t="str">
        <f t="shared" si="212"/>
        <v>1+0.000895983167918717i</v>
      </c>
      <c r="AK213">
        <f t="shared" si="232"/>
        <v>1.0000004013928381</v>
      </c>
      <c r="AL213">
        <f t="shared" si="233"/>
        <v>8.9598292815796653E-4</v>
      </c>
      <c r="AM213" t="str">
        <f t="shared" si="213"/>
        <v>1-0.00200460810811846i</v>
      </c>
      <c r="AN213">
        <f t="shared" si="234"/>
        <v>1.0000020092248152</v>
      </c>
      <c r="AO213">
        <f t="shared" si="235"/>
        <v>-2.0046054229833333E-3</v>
      </c>
      <c r="AP213" s="42" t="str">
        <f t="shared" si="236"/>
        <v>39.7248917085376-15.7536645816484i</v>
      </c>
      <c r="AQ213">
        <f t="shared" si="237"/>
        <v>32.615590325366647</v>
      </c>
      <c r="AR213" s="44">
        <f t="shared" si="238"/>
        <v>-21.631747149268516</v>
      </c>
      <c r="AS213" t="str">
        <f t="shared" si="214"/>
        <v>-0.000166666666666667</v>
      </c>
      <c r="AT213" t="str">
        <f t="shared" si="215"/>
        <v>0.0000706706723695888i</v>
      </c>
      <c r="AU213">
        <f t="shared" si="239"/>
        <v>7.0670672369588797E-5</v>
      </c>
      <c r="AV213">
        <f t="shared" si="240"/>
        <v>1.5707963267948966</v>
      </c>
      <c r="AW213" t="str">
        <f t="shared" si="216"/>
        <v>1+0.0128753207212408i</v>
      </c>
      <c r="AX213">
        <f t="shared" si="241"/>
        <v>1.0000828835069995</v>
      </c>
      <c r="AY213">
        <f t="shared" si="242"/>
        <v>1.2874609328024537E-2</v>
      </c>
      <c r="AZ213" t="str">
        <f t="shared" si="217"/>
        <v>1+0.262075076616224i</v>
      </c>
      <c r="BA213">
        <f t="shared" si="243"/>
        <v>1.0337714185367091</v>
      </c>
      <c r="BB213">
        <f t="shared" si="244"/>
        <v>0.25631075795444147</v>
      </c>
      <c r="BC213" s="42" t="str">
        <f t="shared" si="245"/>
        <v>-0.587604550271633+2.36592248085719i</v>
      </c>
      <c r="BD213">
        <f t="shared" si="246"/>
        <v>7.7399610544084938</v>
      </c>
      <c r="BE213" s="44">
        <f t="shared" si="247"/>
        <v>103.94786389721313</v>
      </c>
      <c r="BF213" s="42" t="str">
        <f t="shared" si="248"/>
        <v>13.6416522149902+27.6210987180387i</v>
      </c>
      <c r="BG213" s="20">
        <f t="shared" si="249"/>
        <v>29.772752595458137</v>
      </c>
      <c r="BH213" s="44">
        <f t="shared" si="250"/>
        <v>63.715915000186492</v>
      </c>
      <c r="BI213" s="42" t="str">
        <f t="shared" si="203"/>
        <v>13.9294220626211+103.242939334476i</v>
      </c>
      <c r="BJ213" s="20">
        <f t="shared" si="251"/>
        <v>40.355551379775122</v>
      </c>
      <c r="BK213" s="44">
        <f t="shared" si="204"/>
        <v>82.316116747944577</v>
      </c>
      <c r="BL213">
        <f t="shared" si="252"/>
        <v>29.772752595458137</v>
      </c>
      <c r="BM213" s="44">
        <f t="shared" si="253"/>
        <v>63.715915000186492</v>
      </c>
    </row>
    <row r="214" spans="14:65" x14ac:dyDescent="0.35">
      <c r="N214" s="9">
        <v>96</v>
      </c>
      <c r="O214" s="35">
        <f t="shared" si="205"/>
        <v>912.01083935590987</v>
      </c>
      <c r="P214" s="34" t="str">
        <f t="shared" si="206"/>
        <v>16.3709677419355</v>
      </c>
      <c r="Q214" s="4" t="str">
        <f t="shared" si="207"/>
        <v>1+0.842913514922027i</v>
      </c>
      <c r="R214" s="4">
        <f t="shared" si="218"/>
        <v>1.3078620698063717</v>
      </c>
      <c r="S214" s="4">
        <f t="shared" si="219"/>
        <v>0.70036558076621136</v>
      </c>
      <c r="T214" s="4" t="str">
        <f t="shared" si="208"/>
        <v>1+0.000916853296932731i</v>
      </c>
      <c r="U214" s="4">
        <f t="shared" si="220"/>
        <v>1.0000004203098958</v>
      </c>
      <c r="V214" s="4">
        <f t="shared" si="221"/>
        <v>9.1685304002446424E-4</v>
      </c>
      <c r="W214" t="str">
        <f t="shared" si="209"/>
        <v>1-0.0119986158501656i</v>
      </c>
      <c r="X214" s="4">
        <f t="shared" si="222"/>
        <v>1.000071980800542</v>
      </c>
      <c r="Y214" s="4">
        <f t="shared" si="223"/>
        <v>-1.1998040099192777E-2</v>
      </c>
      <c r="Z214" t="str">
        <f t="shared" si="210"/>
        <v>0.999999280247683+0.00236299614068124i</v>
      </c>
      <c r="AA214" s="4">
        <f t="shared" si="224"/>
        <v>1.0000020721211758</v>
      </c>
      <c r="AB214" s="4">
        <f t="shared" si="225"/>
        <v>2.3629934433324834E-3</v>
      </c>
      <c r="AC214" s="48" t="str">
        <f t="shared" si="226"/>
        <v>9.46219317587345-8.19591360245192i</v>
      </c>
      <c r="AD214" s="20">
        <f t="shared" si="227"/>
        <v>21.950859008552555</v>
      </c>
      <c r="AE214" s="44">
        <f t="shared" si="228"/>
        <v>-40.898286695938083</v>
      </c>
      <c r="AF214" t="str">
        <f t="shared" si="229"/>
        <v>45.9520231294187</v>
      </c>
      <c r="AG214" t="str">
        <f t="shared" si="211"/>
        <v>1+0.404494101587969i</v>
      </c>
      <c r="AH214">
        <f t="shared" si="230"/>
        <v>1.0787100992479204</v>
      </c>
      <c r="AI214">
        <f t="shared" si="231"/>
        <v>0.38437458876608882</v>
      </c>
      <c r="AJ214" t="str">
        <f t="shared" si="212"/>
        <v>1+0.000916853296932731i</v>
      </c>
      <c r="AK214">
        <f t="shared" si="232"/>
        <v>1.0000004203098958</v>
      </c>
      <c r="AL214">
        <f t="shared" si="233"/>
        <v>9.1685304002446424E-4</v>
      </c>
      <c r="AM214" t="str">
        <f t="shared" si="213"/>
        <v>1-0.00205130142930679i</v>
      </c>
      <c r="AN214">
        <f t="shared" si="234"/>
        <v>1.0000021039165636</v>
      </c>
      <c r="AO214">
        <f t="shared" si="235"/>
        <v>-2.0512985521329912E-3</v>
      </c>
      <c r="AP214" s="42" t="str">
        <f t="shared" si="236"/>
        <v>39.4726815344024-16.0185970413441i</v>
      </c>
      <c r="AQ214">
        <f t="shared" si="237"/>
        <v>32.588019766335549</v>
      </c>
      <c r="AR214" s="44">
        <f t="shared" si="238"/>
        <v>-22.088040628304906</v>
      </c>
      <c r="AS214" t="str">
        <f t="shared" si="214"/>
        <v>-0.000166666666666667</v>
      </c>
      <c r="AT214" t="str">
        <f t="shared" si="215"/>
        <v>0.0000723168037955692i</v>
      </c>
      <c r="AU214">
        <f t="shared" si="239"/>
        <v>7.2316803795569197E-5</v>
      </c>
      <c r="AV214">
        <f t="shared" si="240"/>
        <v>1.5707963267948966</v>
      </c>
      <c r="AW214" t="str">
        <f t="shared" si="216"/>
        <v>1+0.0131752254674129i</v>
      </c>
      <c r="AX214">
        <f t="shared" si="241"/>
        <v>1.0000867895168486</v>
      </c>
      <c r="AY214">
        <f t="shared" si="242"/>
        <v>1.3174463199420779E-2</v>
      </c>
      <c r="AZ214" t="str">
        <f t="shared" si="217"/>
        <v>1+0.268179589352823i</v>
      </c>
      <c r="BA214">
        <f t="shared" si="243"/>
        <v>1.0353358354396165</v>
      </c>
      <c r="BB214">
        <f t="shared" si="244"/>
        <v>0.26201433866925727</v>
      </c>
      <c r="BC214" s="42" t="str">
        <f t="shared" si="245"/>
        <v>-0.587599960300636+2.31241588912315i</v>
      </c>
      <c r="BD214">
        <f t="shared" si="246"/>
        <v>7.5530616403061215</v>
      </c>
      <c r="BE214" s="44">
        <f t="shared" si="247"/>
        <v>104.25747463898266</v>
      </c>
      <c r="BF214" s="42" t="str">
        <f t="shared" si="248"/>
        <v>13.3923765056902+26.6964443532706i</v>
      </c>
      <c r="BG214" s="20">
        <f t="shared" si="249"/>
        <v>29.503920648858681</v>
      </c>
      <c r="BH214" s="44">
        <f t="shared" si="250"/>
        <v>63.359187943044574</v>
      </c>
      <c r="BI214" s="42" t="str">
        <f t="shared" si="203"/>
        <v>13.8475122172907+100.689782952016i</v>
      </c>
      <c r="BJ214" s="20">
        <f t="shared" si="251"/>
        <v>40.141081406641696</v>
      </c>
      <c r="BK214" s="44">
        <f t="shared" si="204"/>
        <v>82.169434010677776</v>
      </c>
      <c r="BL214">
        <f t="shared" si="252"/>
        <v>29.503920648858681</v>
      </c>
      <c r="BM214" s="44">
        <f t="shared" si="253"/>
        <v>63.359187943044574</v>
      </c>
    </row>
    <row r="215" spans="14:65" x14ac:dyDescent="0.35">
      <c r="N215" s="9">
        <v>97</v>
      </c>
      <c r="O215" s="35">
        <f t="shared" si="205"/>
        <v>933.25430079699106</v>
      </c>
      <c r="P215" s="34" t="str">
        <f t="shared" si="206"/>
        <v>16.3709677419355</v>
      </c>
      <c r="Q215" s="4" t="str">
        <f t="shared" si="207"/>
        <v>1+0.862547492918449i</v>
      </c>
      <c r="R215" s="4">
        <f t="shared" si="218"/>
        <v>1.3206014453800594</v>
      </c>
      <c r="S215" s="4">
        <f t="shared" si="219"/>
        <v>0.71173357752539046</v>
      </c>
      <c r="T215" s="4" t="str">
        <f t="shared" si="208"/>
        <v>1+0.00093820955370077i</v>
      </c>
      <c r="U215" s="4">
        <f t="shared" si="220"/>
        <v>1.0000004401184865</v>
      </c>
      <c r="V215" s="4">
        <f t="shared" si="221"/>
        <v>9.3820927841860898E-4</v>
      </c>
      <c r="W215" t="str">
        <f t="shared" si="209"/>
        <v>1-0.0122780995165432i</v>
      </c>
      <c r="X215" s="4">
        <f t="shared" si="222"/>
        <v>1.0000753730233227</v>
      </c>
      <c r="Y215" s="4">
        <f t="shared" si="223"/>
        <v>-1.2277482590771993E-2</v>
      </c>
      <c r="Z215" t="str">
        <f t="shared" si="210"/>
        <v>0.999999246326802+0.00241803739154559i</v>
      </c>
      <c r="AA215" s="4">
        <f t="shared" si="224"/>
        <v>1.0000021697771455</v>
      </c>
      <c r="AB215" s="4">
        <f t="shared" si="225"/>
        <v>2.4180345012846491E-3</v>
      </c>
      <c r="AC215" s="48" t="str">
        <f t="shared" si="226"/>
        <v>9.27549438251589-8.22578434882234i</v>
      </c>
      <c r="AD215" s="20">
        <f t="shared" si="227"/>
        <v>21.866691323174386</v>
      </c>
      <c r="AE215" s="44">
        <f t="shared" si="228"/>
        <v>-41.567565805135899</v>
      </c>
      <c r="AF215" t="str">
        <f t="shared" si="229"/>
        <v>45.9520231294187</v>
      </c>
      <c r="AG215" t="str">
        <f t="shared" si="211"/>
        <v>1+0.413915979573868i</v>
      </c>
      <c r="AH215">
        <f t="shared" si="230"/>
        <v>1.0822783552056257</v>
      </c>
      <c r="AI215">
        <f t="shared" si="231"/>
        <v>0.39244505217012104</v>
      </c>
      <c r="AJ215" t="str">
        <f t="shared" si="212"/>
        <v>1+0.00093820955370077i</v>
      </c>
      <c r="AK215">
        <f t="shared" si="232"/>
        <v>1.0000004401184865</v>
      </c>
      <c r="AL215">
        <f t="shared" si="233"/>
        <v>9.3820927841860898E-4</v>
      </c>
      <c r="AM215" t="str">
        <f t="shared" si="213"/>
        <v>1-0.00209908237766514i</v>
      </c>
      <c r="AN215">
        <f t="shared" si="234"/>
        <v>1.0000022030709874</v>
      </c>
      <c r="AO215">
        <f t="shared" si="235"/>
        <v>-2.099079294718237E-3</v>
      </c>
      <c r="AP215" s="42" t="str">
        <f t="shared" si="236"/>
        <v>39.2119839596237-16.2838112065396i</v>
      </c>
      <c r="AQ215">
        <f t="shared" si="237"/>
        <v>32.559336235814122</v>
      </c>
      <c r="AR215" s="44">
        <f t="shared" si="238"/>
        <v>-22.551958132636639</v>
      </c>
      <c r="AS215" t="str">
        <f t="shared" si="214"/>
        <v>-0.000166666666666667</v>
      </c>
      <c r="AT215" t="str">
        <f t="shared" si="215"/>
        <v>0.0000740012785481482i</v>
      </c>
      <c r="AU215">
        <f t="shared" si="239"/>
        <v>7.4001278548148196E-5</v>
      </c>
      <c r="AV215">
        <f t="shared" si="240"/>
        <v>1.5707963267948966</v>
      </c>
      <c r="AW215" t="str">
        <f t="shared" si="216"/>
        <v>1+0.0134821158925226i</v>
      </c>
      <c r="AX215">
        <f t="shared" si="241"/>
        <v>1.0000908795949193</v>
      </c>
      <c r="AY215">
        <f t="shared" si="242"/>
        <v>1.348129911166189E-2</v>
      </c>
      <c r="AZ215" t="str">
        <f t="shared" si="217"/>
        <v>1+0.274426294457475i</v>
      </c>
      <c r="BA215">
        <f t="shared" si="243"/>
        <v>1.0369714514342527</v>
      </c>
      <c r="BB215">
        <f t="shared" si="244"/>
        <v>0.26783276323629696</v>
      </c>
      <c r="BC215" s="42" t="str">
        <f t="shared" si="245"/>
        <v>-0.58759515408783+2.26013536520142i</v>
      </c>
      <c r="BD215">
        <f t="shared" si="246"/>
        <v>7.3667371950555527</v>
      </c>
      <c r="BE215" s="44">
        <f t="shared" si="247"/>
        <v>104.57326540731472</v>
      </c>
      <c r="BF215" s="42" t="str">
        <f t="shared" si="248"/>
        <v>13.1411505623585+25.7973039055908i</v>
      </c>
      <c r="BG215" s="20">
        <f t="shared" si="249"/>
        <v>29.233428518229942</v>
      </c>
      <c r="BH215" s="44">
        <f t="shared" si="250"/>
        <v>63.005699602178808</v>
      </c>
      <c r="BI215" s="42" t="str">
        <f t="shared" si="203"/>
        <v>13.7628458313187+98.1926802419001i</v>
      </c>
      <c r="BJ215" s="20">
        <f t="shared" si="251"/>
        <v>39.926073430869671</v>
      </c>
      <c r="BK215" s="44">
        <f t="shared" si="204"/>
        <v>82.021307274678122</v>
      </c>
      <c r="BL215">
        <f t="shared" si="252"/>
        <v>29.233428518229942</v>
      </c>
      <c r="BM215" s="44">
        <f t="shared" si="253"/>
        <v>63.005699602178808</v>
      </c>
    </row>
    <row r="216" spans="14:65" x14ac:dyDescent="0.35">
      <c r="N216" s="9">
        <v>98</v>
      </c>
      <c r="O216" s="35">
        <f t="shared" si="205"/>
        <v>954.99258602143675</v>
      </c>
      <c r="P216" s="34" t="str">
        <f t="shared" si="206"/>
        <v>16.3709677419355</v>
      </c>
      <c r="Q216" s="4" t="str">
        <f t="shared" si="207"/>
        <v>1+0.882638805012784i</v>
      </c>
      <c r="R216" s="4">
        <f t="shared" si="218"/>
        <v>1.3338108037178269</v>
      </c>
      <c r="S216" s="4">
        <f t="shared" si="219"/>
        <v>0.72314005949734272</v>
      </c>
      <c r="T216" s="4" t="str">
        <f t="shared" si="208"/>
        <v>1+0.000960063261592853i</v>
      </c>
      <c r="U216" s="4">
        <f t="shared" si="220"/>
        <v>1.000000460860627</v>
      </c>
      <c r="V216" s="4">
        <f t="shared" si="221"/>
        <v>9.6006296662271039E-4</v>
      </c>
      <c r="W216" t="str">
        <f t="shared" si="209"/>
        <v>1-0.0125640931938044i</v>
      </c>
      <c r="X216" s="4">
        <f t="shared" si="222"/>
        <v>1.0000789251043052</v>
      </c>
      <c r="Y216" s="4">
        <f t="shared" si="223"/>
        <v>-1.256343214874822E-2</v>
      </c>
      <c r="Z216" t="str">
        <f t="shared" si="210"/>
        <v>0.999999210807278+0.00247436071784144i</v>
      </c>
      <c r="AA216" s="4">
        <f t="shared" si="224"/>
        <v>1.0000022720354893</v>
      </c>
      <c r="AB216" s="4">
        <f t="shared" si="225"/>
        <v>2.474357620871412E-3</v>
      </c>
      <c r="AC216" s="48" t="str">
        <f t="shared" si="226"/>
        <v>9.08752940565169-8.25148226570652i</v>
      </c>
      <c r="AD216" s="20">
        <f t="shared" si="227"/>
        <v>21.780272214401315</v>
      </c>
      <c r="AE216" s="44">
        <f t="shared" si="228"/>
        <v>-42.239467736986917</v>
      </c>
      <c r="AF216" t="str">
        <f t="shared" si="229"/>
        <v>45.9520231294187</v>
      </c>
      <c r="AG216" t="str">
        <f t="shared" si="211"/>
        <v>1+0.423557321290963i</v>
      </c>
      <c r="AH216">
        <f t="shared" si="230"/>
        <v>1.0860022119771102</v>
      </c>
      <c r="AI216">
        <f t="shared" si="231"/>
        <v>0.40064805126389519</v>
      </c>
      <c r="AJ216" t="str">
        <f t="shared" si="212"/>
        <v>1+0.000960063261592853i</v>
      </c>
      <c r="AK216">
        <f t="shared" si="232"/>
        <v>1.000000460860627</v>
      </c>
      <c r="AL216">
        <f t="shared" si="233"/>
        <v>9.6006296662271039E-4</v>
      </c>
      <c r="AM216" t="str">
        <f t="shared" si="213"/>
        <v>1-0.00214797628728476i</v>
      </c>
      <c r="AN216">
        <f t="shared" si="234"/>
        <v>1.0000023068984045</v>
      </c>
      <c r="AO216">
        <f t="shared" si="235"/>
        <v>-2.1479729838480479E-3</v>
      </c>
      <c r="AP216" s="42" t="str">
        <f t="shared" si="236"/>
        <v>38.9426537550925-16.5490331153008i</v>
      </c>
      <c r="AQ216">
        <f t="shared" si="237"/>
        <v>32.529502580335276</v>
      </c>
      <c r="AR216" s="44">
        <f t="shared" si="238"/>
        <v>-23.023504637990602</v>
      </c>
      <c r="AS216" t="str">
        <f t="shared" si="214"/>
        <v>-0.000166666666666667</v>
      </c>
      <c r="AT216" t="str">
        <f t="shared" si="215"/>
        <v>0.0000757249897581362i</v>
      </c>
      <c r="AU216">
        <f t="shared" si="239"/>
        <v>7.5724989758136203E-5</v>
      </c>
      <c r="AV216">
        <f t="shared" si="240"/>
        <v>1.5707963267948966</v>
      </c>
      <c r="AW216" t="str">
        <f t="shared" si="216"/>
        <v>1+0.0137961547139353i</v>
      </c>
      <c r="AX216">
        <f t="shared" si="241"/>
        <v>1.0000951624145029</v>
      </c>
      <c r="AY216">
        <f t="shared" si="242"/>
        <v>1.3795279521972584E-2</v>
      </c>
      <c r="AZ216" t="str">
        <f t="shared" si="217"/>
        <v>1+0.280818504015909i</v>
      </c>
      <c r="BA216">
        <f t="shared" si="243"/>
        <v>1.0386813910905177</v>
      </c>
      <c r="BB216">
        <f t="shared" si="244"/>
        <v>0.27376754020434568</v>
      </c>
      <c r="BC216" s="42" t="str">
        <f t="shared" si="245"/>
        <v>-0.587590121449458+2.2090531888586i</v>
      </c>
      <c r="BD216">
        <f t="shared" si="246"/>
        <v>7.1810110144000401</v>
      </c>
      <c r="BE216" s="44">
        <f t="shared" si="247"/>
        <v>104.89531332757484</v>
      </c>
      <c r="BF216" s="42" t="str">
        <f t="shared" si="248"/>
        <v>12.8882207047268+24.9233252790457i</v>
      </c>
      <c r="BG216" s="20">
        <f t="shared" si="249"/>
        <v>28.96128322880136</v>
      </c>
      <c r="BH216" s="44">
        <f t="shared" si="250"/>
        <v>62.65584559058788</v>
      </c>
      <c r="BI216" s="42" t="str">
        <f t="shared" si="203"/>
        <v>13.6753757263628+95.7504418383941i</v>
      </c>
      <c r="BJ216" s="20">
        <f t="shared" si="251"/>
        <v>39.710513594735311</v>
      </c>
      <c r="BK216" s="44">
        <f t="shared" si="204"/>
        <v>81.871808689584256</v>
      </c>
      <c r="BL216">
        <f t="shared" si="252"/>
        <v>28.96128322880136</v>
      </c>
      <c r="BM216" s="44">
        <f t="shared" si="253"/>
        <v>62.65584559058788</v>
      </c>
    </row>
    <row r="217" spans="14:65" x14ac:dyDescent="0.35">
      <c r="N217" s="9">
        <v>99</v>
      </c>
      <c r="O217" s="35">
        <f t="shared" si="205"/>
        <v>977.23722095581138</v>
      </c>
      <c r="P217" s="34" t="str">
        <f t="shared" si="206"/>
        <v>16.3709677419355</v>
      </c>
      <c r="Q217" s="4" t="str">
        <f t="shared" si="207"/>
        <v>1+0.903198103884641i</v>
      </c>
      <c r="R217" s="4">
        <f t="shared" si="218"/>
        <v>1.347503920165285</v>
      </c>
      <c r="S217" s="4">
        <f t="shared" si="219"/>
        <v>0.73457920287291589</v>
      </c>
      <c r="T217" s="4" t="str">
        <f t="shared" si="208"/>
        <v>1+0.000982426007734171i</v>
      </c>
      <c r="U217" s="4">
        <f t="shared" si="220"/>
        <v>1.0000004825803139</v>
      </c>
      <c r="V217" s="4">
        <f t="shared" si="221"/>
        <v>9.8242569166797689E-4</v>
      </c>
      <c r="W217" t="str">
        <f t="shared" si="209"/>
        <v>1-0.0128567485195824i</v>
      </c>
      <c r="X217" s="4">
        <f t="shared" si="222"/>
        <v>1.000082644576185</v>
      </c>
      <c r="Y217" s="4">
        <f t="shared" si="223"/>
        <v>-1.2856040200204401E-2</v>
      </c>
      <c r="Z217" t="str">
        <f t="shared" si="210"/>
        <v>0.999999173613771+0.00253199598294192i</v>
      </c>
      <c r="AA217" s="4">
        <f t="shared" si="224"/>
        <v>1.0000023791131112</v>
      </c>
      <c r="AB217" s="4">
        <f t="shared" si="225"/>
        <v>2.5319926644791577E-3</v>
      </c>
      <c r="AC217" s="48" t="str">
        <f t="shared" si="226"/>
        <v>8.89848649559285-8.27294074633508i</v>
      </c>
      <c r="AD217" s="20">
        <f t="shared" si="227"/>
        <v>21.69158764772849</v>
      </c>
      <c r="AE217" s="44">
        <f t="shared" si="228"/>
        <v>-42.913668535039527</v>
      </c>
      <c r="AF217" t="str">
        <f t="shared" si="229"/>
        <v>45.9520231294187</v>
      </c>
      <c r="AG217" t="str">
        <f t="shared" si="211"/>
        <v>1+0.433423238706251i</v>
      </c>
      <c r="AH217">
        <f t="shared" si="230"/>
        <v>1.0898879317850143</v>
      </c>
      <c r="AI217">
        <f t="shared" si="231"/>
        <v>0.40898351855013937</v>
      </c>
      <c r="AJ217" t="str">
        <f t="shared" si="212"/>
        <v>1+0.000982426007734171i</v>
      </c>
      <c r="AK217">
        <f t="shared" si="232"/>
        <v>1.0000004825803139</v>
      </c>
      <c r="AL217">
        <f t="shared" si="233"/>
        <v>9.8242569166797689E-4</v>
      </c>
      <c r="AM217" t="str">
        <f t="shared" si="213"/>
        <v>1-0.00219800908236373i</v>
      </c>
      <c r="AN217">
        <f t="shared" si="234"/>
        <v>1.0000024156190455</v>
      </c>
      <c r="AO217">
        <f t="shared" si="235"/>
        <v>-2.1980055426679811E-3</v>
      </c>
      <c r="AP217" s="42" t="str">
        <f t="shared" si="236"/>
        <v>38.6645548241418-16.8139750765761i</v>
      </c>
      <c r="AQ217">
        <f t="shared" si="237"/>
        <v>32.498481035647004</v>
      </c>
      <c r="AR217" s="44">
        <f t="shared" si="238"/>
        <v>-23.502677098456907</v>
      </c>
      <c r="AS217" t="str">
        <f t="shared" si="214"/>
        <v>-0.000166666666666667</v>
      </c>
      <c r="AT217" t="str">
        <f t="shared" si="215"/>
        <v>0.0000774888513600327i</v>
      </c>
      <c r="AU217">
        <f t="shared" si="239"/>
        <v>7.7488851360032698E-5</v>
      </c>
      <c r="AV217">
        <f t="shared" si="240"/>
        <v>1.5707963267948966</v>
      </c>
      <c r="AW217" t="str">
        <f t="shared" si="216"/>
        <v>1+0.0141175084391911i</v>
      </c>
      <c r="AX217">
        <f t="shared" si="241"/>
        <v>1.0000996470574974</v>
      </c>
      <c r="AY217">
        <f t="shared" si="242"/>
        <v>1.4116570659153683E-2</v>
      </c>
      <c r="AZ217" t="str">
        <f t="shared" si="217"/>
        <v>1+0.287359607262245i</v>
      </c>
      <c r="BA217">
        <f t="shared" si="243"/>
        <v>1.040468905775618</v>
      </c>
      <c r="BB217">
        <f t="shared" si="244"/>
        <v>0.27982014334704669</v>
      </c>
      <c r="BC217" s="42" t="str">
        <f t="shared" si="245"/>
        <v>-0.587584851722545+2.159142275212i</v>
      </c>
      <c r="BD217">
        <f t="shared" si="246"/>
        <v>6.9959071653752591</v>
      </c>
      <c r="BE217" s="44">
        <f t="shared" si="247"/>
        <v>105.22369331656381</v>
      </c>
      <c r="BF217" s="42" t="str">
        <f t="shared" si="248"/>
        <v>12.633840237668+24.0741530397823i</v>
      </c>
      <c r="BG217" s="20">
        <f t="shared" si="249"/>
        <v>28.687494813103747</v>
      </c>
      <c r="BH217" s="44">
        <f t="shared" si="250"/>
        <v>62.310024781524255</v>
      </c>
      <c r="BI217" s="42" t="str">
        <f t="shared" si="203"/>
        <v>13.5850576889348+93.3619119252932i</v>
      </c>
      <c r="BJ217" s="20">
        <f t="shared" si="251"/>
        <v>39.494388201022261</v>
      </c>
      <c r="BK217" s="44">
        <f t="shared" si="204"/>
        <v>81.721016218106911</v>
      </c>
      <c r="BL217">
        <f t="shared" si="252"/>
        <v>28.687494813103747</v>
      </c>
      <c r="BM217" s="44">
        <f t="shared" si="253"/>
        <v>62.310024781524255</v>
      </c>
    </row>
    <row r="218" spans="14:65" x14ac:dyDescent="0.35">
      <c r="N218" s="9">
        <v>100</v>
      </c>
      <c r="O218" s="35">
        <f t="shared" si="205"/>
        <v>1000</v>
      </c>
      <c r="P218" s="34" t="str">
        <f t="shared" si="206"/>
        <v>16.3709677419355</v>
      </c>
      <c r="Q218" s="4" t="str">
        <f t="shared" si="207"/>
        <v>1+0.924236290346417i</v>
      </c>
      <c r="R218" s="4">
        <f t="shared" si="218"/>
        <v>1.3616947970794726</v>
      </c>
      <c r="S218" s="4">
        <f t="shared" si="219"/>
        <v>0.74604509893249027</v>
      </c>
      <c r="T218" s="4" t="str">
        <f t="shared" si="208"/>
        <v>1+0.00100530964914873i</v>
      </c>
      <c r="U218" s="4">
        <f t="shared" si="220"/>
        <v>1.0000005053236176</v>
      </c>
      <c r="V218" s="4">
        <f t="shared" si="221"/>
        <v>1.0053093104777106E-3</v>
      </c>
      <c r="W218" t="str">
        <f t="shared" si="209"/>
        <v>1-0.0131562206636046i</v>
      </c>
      <c r="X218" s="4">
        <f t="shared" si="222"/>
        <v>1.0000865393265472</v>
      </c>
      <c r="Y218" s="4">
        <f t="shared" si="223"/>
        <v>-1.3155461689263829E-2</v>
      </c>
      <c r="Z218" t="str">
        <f t="shared" si="210"/>
        <v>0.999999134667388+0.00259097374582748i</v>
      </c>
      <c r="AA218" s="4">
        <f t="shared" si="224"/>
        <v>1.000002491237135</v>
      </c>
      <c r="AB218" s="4">
        <f t="shared" si="225"/>
        <v>2.5909701900310271E-3</v>
      </c>
      <c r="AC218" s="48" t="str">
        <f t="shared" si="226"/>
        <v>8.70855836400268-8.29010378288789i</v>
      </c>
      <c r="AD218" s="20">
        <f t="shared" si="227"/>
        <v>21.600625882872105</v>
      </c>
      <c r="AE218" s="44">
        <f t="shared" si="228"/>
        <v>-43.589839603729914</v>
      </c>
      <c r="AF218" t="str">
        <f t="shared" si="229"/>
        <v>45.9520231294187</v>
      </c>
      <c r="AG218" t="str">
        <f t="shared" si="211"/>
        <v>1+0.443518962859735i</v>
      </c>
      <c r="AH218">
        <f t="shared" si="230"/>
        <v>1.093941986769031</v>
      </c>
      <c r="AI218">
        <f t="shared" si="231"/>
        <v>0.41745123936547507</v>
      </c>
      <c r="AJ218" t="str">
        <f t="shared" si="212"/>
        <v>1+0.00100530964914873i</v>
      </c>
      <c r="AK218">
        <f t="shared" si="232"/>
        <v>1.0000005053236176</v>
      </c>
      <c r="AL218">
        <f t="shared" si="233"/>
        <v>1.0053093104777106E-3</v>
      </c>
      <c r="AM218" t="str">
        <f t="shared" si="213"/>
        <v>1-0.00224920729095225i</v>
      </c>
      <c r="AN218">
        <f t="shared" si="234"/>
        <v>1.0000025294635198</v>
      </c>
      <c r="AO218">
        <f t="shared" si="235"/>
        <v>-2.2492034981004385E-3</v>
      </c>
      <c r="AP218" s="42" t="str">
        <f t="shared" si="236"/>
        <v>38.3775612609735-17.0783357807597i</v>
      </c>
      <c r="AQ218">
        <f t="shared" si="237"/>
        <v>32.466233268640032</v>
      </c>
      <c r="AR218" s="44">
        <f t="shared" si="238"/>
        <v>-23.989464055258853</v>
      </c>
      <c r="AS218" t="str">
        <f t="shared" si="214"/>
        <v>-0.000166666666666667</v>
      </c>
      <c r="AT218" t="str">
        <f t="shared" si="215"/>
        <v>0.0000792937985766064i</v>
      </c>
      <c r="AU218">
        <f t="shared" si="239"/>
        <v>7.9293798576606401E-5</v>
      </c>
      <c r="AV218">
        <f t="shared" si="240"/>
        <v>1.5707963267948966</v>
      </c>
      <c r="AW218" t="str">
        <f t="shared" si="216"/>
        <v>1+0.0144463474542887i</v>
      </c>
      <c r="AX218">
        <f t="shared" si="241"/>
        <v>1.0001043430336507</v>
      </c>
      <c r="AY218">
        <f t="shared" si="242"/>
        <v>1.4445342610536645E-2</v>
      </c>
      <c r="AZ218" t="str">
        <f t="shared" si="217"/>
        <v>1+0.294053072376004i</v>
      </c>
      <c r="BA218">
        <f t="shared" si="243"/>
        <v>1.0423373779030316</v>
      </c>
      <c r="BB218">
        <f t="shared" si="244"/>
        <v>0.2859920072920335</v>
      </c>
      <c r="BC218" s="42" t="str">
        <f t="shared" si="245"/>
        <v>-0.587579333742358+2.11037616036665i</v>
      </c>
      <c r="BD218">
        <f t="shared" si="246"/>
        <v>6.8114504964962173</v>
      </c>
      <c r="BE218" s="44">
        <f t="shared" si="247"/>
        <v>105.558477827104</v>
      </c>
      <c r="BF218" s="42" t="str">
        <f t="shared" si="248"/>
        <v>12.3782684689949+23.2494276199571i</v>
      </c>
      <c r="BG218" s="20">
        <f t="shared" si="249"/>
        <v>28.412076379368326</v>
      </c>
      <c r="BH218" s="44">
        <f t="shared" si="250"/>
        <v>61.968638223373993</v>
      </c>
      <c r="BI218" s="42" t="str">
        <f t="shared" si="203"/>
        <v>13.4918508140727+91.0259675376562i</v>
      </c>
      <c r="BJ218" s="20">
        <f t="shared" si="251"/>
        <v>39.277683765136253</v>
      </c>
      <c r="BK218" s="44">
        <f t="shared" si="204"/>
        <v>81.569013771845164</v>
      </c>
      <c r="BL218">
        <f t="shared" si="252"/>
        <v>28.412076379368326</v>
      </c>
      <c r="BM218" s="44">
        <f t="shared" si="253"/>
        <v>61.968638223373993</v>
      </c>
    </row>
    <row r="219" spans="14:65" x14ac:dyDescent="0.35">
      <c r="N219" s="9">
        <v>1</v>
      </c>
      <c r="O219" s="35">
        <f>10^(3+(N219/100))</f>
        <v>1023.2929922807547</v>
      </c>
      <c r="P219" s="34" t="str">
        <f t="shared" si="206"/>
        <v>16.3709677419355</v>
      </c>
      <c r="Q219" s="4" t="str">
        <f t="shared" si="207"/>
        <v>1+0.945764519123048i</v>
      </c>
      <c r="R219" s="4">
        <f t="shared" si="218"/>
        <v>1.3763976626077401</v>
      </c>
      <c r="S219" s="4">
        <f t="shared" si="219"/>
        <v>0.75753176897138497</v>
      </c>
      <c r="T219" s="4" t="str">
        <f t="shared" si="208"/>
        <v>1+0.00102872631904612i</v>
      </c>
      <c r="U219" s="4">
        <f t="shared" si="220"/>
        <v>1.0000005291387799</v>
      </c>
      <c r="V219" s="4">
        <f t="shared" si="221"/>
        <v>1.028725956153595E-3</v>
      </c>
      <c r="W219" t="str">
        <f t="shared" si="209"/>
        <v>1-0.0134626684099658i</v>
      </c>
      <c r="X219" s="4">
        <f t="shared" si="222"/>
        <v>1.0000906176145823</v>
      </c>
      <c r="Y219" s="4">
        <f t="shared" si="223"/>
        <v>-1.346185515828727E-2</v>
      </c>
      <c r="Z219" t="str">
        <f t="shared" si="210"/>
        <v>0.999999093885518+0.00265132527728868i</v>
      </c>
      <c r="AA219" s="4">
        <f t="shared" si="224"/>
        <v>1.000002608645389</v>
      </c>
      <c r="AB219" s="4">
        <f t="shared" si="225"/>
        <v>2.6513214671846537E-3</v>
      </c>
      <c r="AC219" s="48" t="str">
        <f t="shared" si="226"/>
        <v>8.51794141511257-8.30292632006938i</v>
      </c>
      <c r="AD219" s="20">
        <f t="shared" si="227"/>
        <v>21.507377522970312</v>
      </c>
      <c r="AE219" s="44">
        <f t="shared" si="228"/>
        <v>-44.26764856876494</v>
      </c>
      <c r="AF219" t="str">
        <f t="shared" si="229"/>
        <v>45.9520231294187</v>
      </c>
      <c r="AG219" t="str">
        <f t="shared" si="211"/>
        <v>1+0.453849846637994i</v>
      </c>
      <c r="AH219">
        <f t="shared" si="230"/>
        <v>1.0981710628555692</v>
      </c>
      <c r="AI219">
        <f t="shared" si="231"/>
        <v>0.42605084511917973</v>
      </c>
      <c r="AJ219" t="str">
        <f t="shared" si="212"/>
        <v>1+0.00102872631904612i</v>
      </c>
      <c r="AK219">
        <f t="shared" si="232"/>
        <v>1.0000005291387799</v>
      </c>
      <c r="AL219">
        <f t="shared" si="233"/>
        <v>1.028725956153595E-3</v>
      </c>
      <c r="AM219" t="str">
        <f t="shared" si="213"/>
        <v>1-0.00230159805901822i</v>
      </c>
      <c r="AN219">
        <f t="shared" si="234"/>
        <v>1.0000026486733049</v>
      </c>
      <c r="AO219">
        <f t="shared" si="235"/>
        <v>-2.3015939949048636E-3</v>
      </c>
      <c r="AP219" s="42" t="str">
        <f t="shared" si="236"/>
        <v>38.0815584384782-17.3418004886751i</v>
      </c>
      <c r="AQ219">
        <f t="shared" si="237"/>
        <v>32.432720423934434</v>
      </c>
      <c r="AR219" s="44">
        <f t="shared" si="238"/>
        <v>-24.483845249808432</v>
      </c>
      <c r="AS219" t="str">
        <f t="shared" si="214"/>
        <v>-0.000166666666666667</v>
      </c>
      <c r="AT219" t="str">
        <f t="shared" si="215"/>
        <v>0.000081140788414763i</v>
      </c>
      <c r="AU219">
        <f t="shared" si="239"/>
        <v>8.1140788414762999E-5</v>
      </c>
      <c r="AV219">
        <f t="shared" si="240"/>
        <v>1.5707963267948966</v>
      </c>
      <c r="AW219" t="str">
        <f t="shared" si="216"/>
        <v>1+0.0147828461140265i</v>
      </c>
      <c r="AX219">
        <f t="shared" si="241"/>
        <v>1.0001092603007089</v>
      </c>
      <c r="AY219">
        <f t="shared" si="242"/>
        <v>1.4781769410900323E-2</v>
      </c>
      <c r="AZ219" t="str">
        <f t="shared" si="217"/>
        <v>1+0.300902448320991i</v>
      </c>
      <c r="BA219">
        <f t="shared" si="243"/>
        <v>1.044290325247518</v>
      </c>
      <c r="BB219">
        <f t="shared" si="244"/>
        <v>0.29228452293680668</v>
      </c>
      <c r="BC219" s="42" t="str">
        <f t="shared" si="245"/>
        <v>-0.58757355581886+2.06272898738165i</v>
      </c>
      <c r="BD219">
        <f t="shared" si="246"/>
        <v>6.6276666465832381</v>
      </c>
      <c r="BE219" s="44">
        <f t="shared" si="247"/>
        <v>105.89973658029355</v>
      </c>
      <c r="BF219" s="42" t="str">
        <f t="shared" si="248"/>
        <v>12.1217696749667+22.4487846113565i</v>
      </c>
      <c r="BG219" s="20">
        <f t="shared" si="249"/>
        <v>28.135044169553534</v>
      </c>
      <c r="BH219" s="44">
        <f t="shared" si="250"/>
        <v>61.632088011528666</v>
      </c>
      <c r="BI219" s="42" t="str">
        <f t="shared" si="203"/>
        <v>13.395717858559+88.7415178531493i</v>
      </c>
      <c r="BJ219" s="20">
        <f t="shared" si="251"/>
        <v>39.06038707051767</v>
      </c>
      <c r="BK219" s="44">
        <f t="shared" si="204"/>
        <v>81.415891330485167</v>
      </c>
      <c r="BL219">
        <f t="shared" si="252"/>
        <v>28.135044169553534</v>
      </c>
      <c r="BM219" s="44">
        <f t="shared" si="253"/>
        <v>61.632088011528666</v>
      </c>
    </row>
    <row r="220" spans="14:65" x14ac:dyDescent="0.35">
      <c r="N220" s="9">
        <v>2</v>
      </c>
      <c r="O220" s="35">
        <f t="shared" ref="O220:O283" si="254">10^(3+(N220/100))</f>
        <v>1047.1285480509</v>
      </c>
      <c r="P220" s="34" t="str">
        <f t="shared" si="206"/>
        <v>16.3709677419355</v>
      </c>
      <c r="Q220" s="4" t="str">
        <f t="shared" si="207"/>
        <v>1+0.967794204766393i</v>
      </c>
      <c r="R220" s="4">
        <f t="shared" si="218"/>
        <v>1.3916269696938957</v>
      </c>
      <c r="S220" s="4">
        <f t="shared" si="219"/>
        <v>0.76903317966895279</v>
      </c>
      <c r="T220" s="4" t="str">
        <f t="shared" si="208"/>
        <v>1+0.00105268843325467i</v>
      </c>
      <c r="U220" s="4">
        <f t="shared" si="220"/>
        <v>1.0000005540763153</v>
      </c>
      <c r="V220" s="4">
        <f t="shared" si="221"/>
        <v>1.0526880444083353E-3</v>
      </c>
      <c r="W220" t="str">
        <f t="shared" si="209"/>
        <v>1-0.0137762542413175i</v>
      </c>
      <c r="X220" s="4">
        <f t="shared" si="222"/>
        <v>1.000094888088586</v>
      </c>
      <c r="Y220" s="4">
        <f t="shared" si="223"/>
        <v>-1.3775382830909282E-2</v>
      </c>
      <c r="Z220" t="str">
        <f t="shared" si="210"/>
        <v>0.999999051181658+0.00271308257650633i</v>
      </c>
      <c r="AA220" s="4">
        <f t="shared" si="224"/>
        <v>1.0000027315869109</v>
      </c>
      <c r="AB220" s="4">
        <f t="shared" si="225"/>
        <v>2.7130784939068914E-3</v>
      </c>
      <c r="AC220" s="48" t="str">
        <f t="shared" si="226"/>
        <v>8.32683494442901-8.3113745418872i</v>
      </c>
      <c r="AD220" s="20">
        <f t="shared" si="227"/>
        <v>21.411835554345213</v>
      </c>
      <c r="AE220" s="44">
        <f t="shared" si="228"/>
        <v>-44.946760163045177</v>
      </c>
      <c r="AF220" t="str">
        <f t="shared" si="229"/>
        <v>45.9520231294187</v>
      </c>
      <c r="AG220" t="str">
        <f t="shared" si="211"/>
        <v>1+0.464421367612355i</v>
      </c>
      <c r="AH220">
        <f t="shared" si="230"/>
        <v>1.1025820634741572</v>
      </c>
      <c r="AI220">
        <f t="shared" si="231"/>
        <v>0.43478180664714716</v>
      </c>
      <c r="AJ220" t="str">
        <f t="shared" si="212"/>
        <v>1+0.00105268843325467i</v>
      </c>
      <c r="AK220">
        <f t="shared" si="232"/>
        <v>1.0000005540763153</v>
      </c>
      <c r="AL220">
        <f t="shared" si="233"/>
        <v>1.0526880444083353E-3</v>
      </c>
      <c r="AM220" t="str">
        <f t="shared" si="213"/>
        <v>1-0.00235520916484033i</v>
      </c>
      <c r="AN220">
        <f t="shared" si="234"/>
        <v>1.0000027735012589</v>
      </c>
      <c r="AO220">
        <f t="shared" si="235"/>
        <v>-2.355204810065062E-3</v>
      </c>
      <c r="AP220" s="42" t="str">
        <f t="shared" si="236"/>
        <v>37.776444120151-17.6040413045966i</v>
      </c>
      <c r="AQ220">
        <f t="shared" si="237"/>
        <v>32.397903175242774</v>
      </c>
      <c r="AR220" s="44">
        <f t="shared" si="238"/>
        <v>-24.98579124337169</v>
      </c>
      <c r="AS220" t="str">
        <f t="shared" si="214"/>
        <v>-0.000166666666666667</v>
      </c>
      <c r="AT220" t="str">
        <f t="shared" si="215"/>
        <v>0.0000830308001729624i</v>
      </c>
      <c r="AU220">
        <f t="shared" si="239"/>
        <v>8.3030800172962405E-5</v>
      </c>
      <c r="AV220">
        <f t="shared" si="240"/>
        <v>1.5707963267948966</v>
      </c>
      <c r="AW220" t="str">
        <f t="shared" si="216"/>
        <v>1+0.0151271828344481i</v>
      </c>
      <c r="AX220">
        <f t="shared" si="241"/>
        <v>1.000114409285511</v>
      </c>
      <c r="AY220">
        <f t="shared" si="242"/>
        <v>1.5126029133390357E-2</v>
      </c>
      <c r="AZ220" t="str">
        <f t="shared" si="217"/>
        <v>1+0.307911366726992i</v>
      </c>
      <c r="BA220">
        <f t="shared" si="243"/>
        <v>1.0463314053203623</v>
      </c>
      <c r="BB220">
        <f t="shared" si="244"/>
        <v>0.2986990326510568</v>
      </c>
      <c r="BC220" s="42" t="str">
        <f t="shared" si="245"/>
        <v>-0.587567505712006+2.016175492558i</v>
      </c>
      <c r="BD220">
        <f t="shared" si="246"/>
        <v>6.4445820520649812</v>
      </c>
      <c r="BE220" s="44">
        <f t="shared" si="247"/>
        <v>106.24753628541082</v>
      </c>
      <c r="BF220" s="42" t="str">
        <f t="shared" si="248"/>
        <v>11.8646120220497+21.6718541541483i</v>
      </c>
      <c r="BG220" s="20">
        <f t="shared" si="249"/>
        <v>27.856417606410201</v>
      </c>
      <c r="BH220" s="44">
        <f t="shared" si="250"/>
        <v>61.30077612236574</v>
      </c>
      <c r="BI220" s="42" t="str">
        <f t="shared" si="203"/>
        <v>13.2966256019603+86.5075034708282i</v>
      </c>
      <c r="BJ220" s="20">
        <f t="shared" si="251"/>
        <v>38.842485227307762</v>
      </c>
      <c r="BK220" s="44">
        <f t="shared" si="204"/>
        <v>81.261745042039152</v>
      </c>
      <c r="BL220">
        <f t="shared" si="252"/>
        <v>27.856417606410201</v>
      </c>
      <c r="BM220" s="44">
        <f t="shared" si="253"/>
        <v>61.30077612236574</v>
      </c>
    </row>
    <row r="221" spans="14:65" x14ac:dyDescent="0.35">
      <c r="N221" s="9">
        <v>3</v>
      </c>
      <c r="O221" s="35">
        <f t="shared" si="254"/>
        <v>1071.5193052376069</v>
      </c>
      <c r="P221" s="34" t="str">
        <f t="shared" si="206"/>
        <v>16.3709677419355</v>
      </c>
      <c r="Q221" s="4" t="str">
        <f t="shared" si="207"/>
        <v>1+0.990337027707375i</v>
      </c>
      <c r="R221" s="4">
        <f t="shared" si="218"/>
        <v>1.407397395353664</v>
      </c>
      <c r="S221" s="4">
        <f t="shared" si="219"/>
        <v>0.78054325880645736</v>
      </c>
      <c r="T221" s="4" t="str">
        <f t="shared" si="208"/>
        <v>1+0.00107720869680451i</v>
      </c>
      <c r="U221" s="4">
        <f t="shared" si="220"/>
        <v>1.0000005801891201</v>
      </c>
      <c r="V221" s="4">
        <f t="shared" si="221"/>
        <v>1.0772082801481686E-3</v>
      </c>
      <c r="W221" t="str">
        <f t="shared" si="209"/>
        <v>1-0.0140971444250182i</v>
      </c>
      <c r="X221" s="4">
        <f t="shared" si="222"/>
        <v>1.0000993598042844</v>
      </c>
      <c r="Y221" s="4">
        <f t="shared" si="223"/>
        <v>-1.4096210696953142E-2</v>
      </c>
      <c r="Z221" t="str">
        <f t="shared" si="210"/>
        <v>0.999999006465227+0.00277627838801794i</v>
      </c>
      <c r="AA221" s="4">
        <f t="shared" si="224"/>
        <v>1.0000028603224735</v>
      </c>
      <c r="AB221" s="4">
        <f t="shared" si="225"/>
        <v>2.7762740134344775E-3</v>
      </c>
      <c r="AC221" s="48" t="str">
        <f t="shared" si="226"/>
        <v>8.13544031176713-8.31542608825515i</v>
      </c>
      <c r="AD221" s="20">
        <f t="shared" si="227"/>
        <v>21.313995376474377</v>
      </c>
      <c r="AE221" s="44">
        <f t="shared" si="228"/>
        <v>-45.6268371326927</v>
      </c>
      <c r="AF221" t="str">
        <f t="shared" si="229"/>
        <v>45.9520231294187</v>
      </c>
      <c r="AG221" t="str">
        <f t="shared" si="211"/>
        <v>1+0.475239130943167i</v>
      </c>
      <c r="AH221">
        <f t="shared" si="230"/>
        <v>1.1071821131049835</v>
      </c>
      <c r="AI221">
        <f t="shared" si="231"/>
        <v>0.44364342772438564</v>
      </c>
      <c r="AJ221" t="str">
        <f t="shared" si="212"/>
        <v>1+0.00107720869680451i</v>
      </c>
      <c r="AK221">
        <f t="shared" si="232"/>
        <v>1.0000005801891201</v>
      </c>
      <c r="AL221">
        <f t="shared" si="233"/>
        <v>1.0772082801481686E-3</v>
      </c>
      <c r="AM221" t="str">
        <f t="shared" si="213"/>
        <v>1-0.00241006903373652i</v>
      </c>
      <c r="AN221">
        <f t="shared" si="234"/>
        <v>1.0000029042121565</v>
      </c>
      <c r="AO221">
        <f t="shared" si="235"/>
        <v>-2.4100643675114826E-3</v>
      </c>
      <c r="AP221" s="42" t="str">
        <f t="shared" si="236"/>
        <v>37.4621295900173-17.8647175386711i</v>
      </c>
      <c r="AQ221">
        <f t="shared" si="237"/>
        <v>32.361741781600443</v>
      </c>
      <c r="AR221" s="44">
        <f t="shared" si="238"/>
        <v>-25.495263045828704</v>
      </c>
      <c r="AS221" t="str">
        <f t="shared" si="214"/>
        <v>-0.000166666666666667</v>
      </c>
      <c r="AT221" t="str">
        <f t="shared" si="215"/>
        <v>0.000084964835960456i</v>
      </c>
      <c r="AU221">
        <f t="shared" si="239"/>
        <v>8.4964835960456004E-5</v>
      </c>
      <c r="AV221">
        <f t="shared" si="240"/>
        <v>1.5707963267948966</v>
      </c>
      <c r="AW221" t="str">
        <f t="shared" si="216"/>
        <v>1+0.0154795401874405i</v>
      </c>
      <c r="AX221">
        <f t="shared" si="241"/>
        <v>1.0001198009060788</v>
      </c>
      <c r="AY221">
        <f t="shared" si="242"/>
        <v>1.5478303982482244E-2</v>
      </c>
      <c r="AZ221" t="str">
        <f t="shared" si="217"/>
        <v>1+0.31508354381532i</v>
      </c>
      <c r="BA221">
        <f t="shared" si="243"/>
        <v>1.0484644197984119</v>
      </c>
      <c r="BB221">
        <f t="shared" si="244"/>
        <v>0.30523682526641216</v>
      </c>
      <c r="BC221" s="42" t="str">
        <f t="shared" si="245"/>
        <v>-0.587561170605938+1.97069099204104i</v>
      </c>
      <c r="BD221">
        <f t="shared" si="246"/>
        <v>6.2622239525918886</v>
      </c>
      <c r="BE221" s="44">
        <f t="shared" si="247"/>
        <v>106.60194034752078</v>
      </c>
      <c r="BF221" s="42" t="str">
        <f t="shared" si="248"/>
        <v>11.6070664541309+20.9182604251894i</v>
      </c>
      <c r="BG221" s="20">
        <f t="shared" si="249"/>
        <v>27.576219329066284</v>
      </c>
      <c r="BH221" s="44">
        <f t="shared" si="250"/>
        <v>60.97510321482801</v>
      </c>
      <c r="BI221" s="42" t="str">
        <f t="shared" si="203"/>
        <v>13.1945452135148+84.3228956752872i</v>
      </c>
      <c r="BJ221" s="20">
        <f t="shared" si="251"/>
        <v>38.623965734192332</v>
      </c>
      <c r="BK221" s="44">
        <f t="shared" si="204"/>
        <v>81.106677301692088</v>
      </c>
      <c r="BL221">
        <f t="shared" si="252"/>
        <v>27.576219329066284</v>
      </c>
      <c r="BM221" s="44">
        <f t="shared" si="253"/>
        <v>60.97510321482801</v>
      </c>
    </row>
    <row r="222" spans="14:65" x14ac:dyDescent="0.35">
      <c r="N222" s="9">
        <v>4</v>
      </c>
      <c r="O222" s="35">
        <f t="shared" si="254"/>
        <v>1096.4781961431863</v>
      </c>
      <c r="P222" s="34" t="str">
        <f t="shared" si="206"/>
        <v>16.3709677419355</v>
      </c>
      <c r="Q222" s="4" t="str">
        <f t="shared" si="207"/>
        <v>1+1.01340494044911i</v>
      </c>
      <c r="R222" s="4">
        <f t="shared" si="218"/>
        <v>1.423723840260696</v>
      </c>
      <c r="S222" s="4">
        <f t="shared" si="219"/>
        <v>0.79205591123471664</v>
      </c>
      <c r="T222" s="4" t="str">
        <f t="shared" si="208"/>
        <v>1+0.00110230011066394i</v>
      </c>
      <c r="U222" s="4">
        <f t="shared" si="220"/>
        <v>1.0000006075325825</v>
      </c>
      <c r="V222" s="4">
        <f t="shared" si="221"/>
        <v>1.1022996642086414E-3</v>
      </c>
      <c r="W222" t="str">
        <f t="shared" si="209"/>
        <v>1-0.0144255091012909i</v>
      </c>
      <c r="X222" s="4">
        <f t="shared" si="222"/>
        <v>1.0001040422440215</v>
      </c>
      <c r="Y222" s="4">
        <f t="shared" si="223"/>
        <v>-1.4424508599264738E-2</v>
      </c>
      <c r="Z222" t="str">
        <f t="shared" si="210"/>
        <v>0.999998959641376+0.00284094621907927i</v>
      </c>
      <c r="AA222" s="4">
        <f t="shared" si="224"/>
        <v>1.0000029951251417</v>
      </c>
      <c r="AB222" s="4">
        <f t="shared" si="225"/>
        <v>2.8409415316293677E-3</v>
      </c>
      <c r="AC222" s="48" t="str">
        <f t="shared" si="226"/>
        <v>7.94396009583925-8.31507019884949i</v>
      </c>
      <c r="AD222" s="20">
        <f t="shared" si="227"/>
        <v>21.213854821908132</v>
      </c>
      <c r="AE222" s="44">
        <f t="shared" si="228"/>
        <v>-46.307541157513811</v>
      </c>
      <c r="AF222" t="str">
        <f t="shared" si="229"/>
        <v>45.9520231294187</v>
      </c>
      <c r="AG222" t="str">
        <f t="shared" si="211"/>
        <v>1+0.486308872351738i</v>
      </c>
      <c r="AH222">
        <f t="shared" si="230"/>
        <v>1.1119785606422541</v>
      </c>
      <c r="AI222">
        <f t="shared" si="231"/>
        <v>0.45263483878201399</v>
      </c>
      <c r="AJ222" t="str">
        <f t="shared" si="212"/>
        <v>1+0.00110230011066394i</v>
      </c>
      <c r="AK222">
        <f t="shared" si="232"/>
        <v>1.0000006075325825</v>
      </c>
      <c r="AL222">
        <f t="shared" si="233"/>
        <v>1.1022996642086414E-3</v>
      </c>
      <c r="AM222" t="str">
        <f t="shared" si="213"/>
        <v>1-0.00246620675313543i</v>
      </c>
      <c r="AN222">
        <f t="shared" si="234"/>
        <v>1.0000030410832506</v>
      </c>
      <c r="AO222">
        <f t="shared" si="235"/>
        <v>-2.4662017531860412E-3</v>
      </c>
      <c r="AP222" s="42" t="str">
        <f t="shared" si="236"/>
        <v>37.1385407937028-18.1234761637558i</v>
      </c>
      <c r="AQ222">
        <f t="shared" si="237"/>
        <v>32.324196148527719</v>
      </c>
      <c r="AR222" s="44">
        <f t="shared" si="238"/>
        <v>-26.01221175616126</v>
      </c>
      <c r="AS222" t="str">
        <f t="shared" si="214"/>
        <v>-0.000166666666666667</v>
      </c>
      <c r="AT222" t="str">
        <f t="shared" si="215"/>
        <v>0.0000869439212286185i</v>
      </c>
      <c r="AU222">
        <f t="shared" si="239"/>
        <v>8.6943921228618506E-5</v>
      </c>
      <c r="AV222">
        <f t="shared" si="240"/>
        <v>1.5707963267948966</v>
      </c>
      <c r="AW222" t="str">
        <f t="shared" si="216"/>
        <v>1+0.0158401049975361i</v>
      </c>
      <c r="AX222">
        <f t="shared" si="241"/>
        <v>1.0001254465947425</v>
      </c>
      <c r="AY222">
        <f t="shared" si="242"/>
        <v>1.5838780389031398E-2</v>
      </c>
      <c r="AZ222" t="str">
        <f t="shared" si="217"/>
        <v>1+0.322422782369203i</v>
      </c>
      <c r="BA222">
        <f t="shared" si="243"/>
        <v>1.0506933189997443</v>
      </c>
      <c r="BB222">
        <f t="shared" si="244"/>
        <v>0.31189913085587473</v>
      </c>
      <c r="BC222" s="42" t="str">
        <f t="shared" si="245"/>
        <v>-0.587554537081936+1.9262513687298i</v>
      </c>
      <c r="BD222">
        <f t="shared" si="246"/>
        <v>6.0806203947817199</v>
      </c>
      <c r="BE222" s="44">
        <f t="shared" si="247"/>
        <v>106.9630085629142</v>
      </c>
      <c r="BF222" s="42" t="str">
        <f t="shared" si="248"/>
        <v>11.34940555491+20.1876212292341i</v>
      </c>
      <c r="BG222" s="20">
        <f t="shared" si="249"/>
        <v>27.294475216689857</v>
      </c>
      <c r="BH222" s="44">
        <f t="shared" si="250"/>
        <v>60.655467405400415</v>
      </c>
      <c r="BI222" s="42" t="str">
        <f t="shared" si="203"/>
        <v>13.0894526226339+82.1866956842086i</v>
      </c>
      <c r="BJ222" s="20">
        <f t="shared" si="251"/>
        <v>38.404816543309437</v>
      </c>
      <c r="BK222" s="44">
        <f t="shared" si="204"/>
        <v>80.950796806752919</v>
      </c>
      <c r="BL222">
        <f t="shared" si="252"/>
        <v>27.294475216689857</v>
      </c>
      <c r="BM222" s="44">
        <f t="shared" si="253"/>
        <v>60.655467405400415</v>
      </c>
    </row>
    <row r="223" spans="14:65" x14ac:dyDescent="0.35">
      <c r="N223" s="9">
        <v>5</v>
      </c>
      <c r="O223" s="35">
        <f t="shared" si="254"/>
        <v>1122.0184543019636</v>
      </c>
      <c r="P223" s="34" t="str">
        <f t="shared" si="206"/>
        <v>16.3709677419355</v>
      </c>
      <c r="Q223" s="4" t="str">
        <f t="shared" si="207"/>
        <v>1+1.03701017390427i</v>
      </c>
      <c r="R223" s="4">
        <f t="shared" si="218"/>
        <v>1.4406214286831098</v>
      </c>
      <c r="S223" s="4">
        <f t="shared" si="219"/>
        <v>0.80356503498949527</v>
      </c>
      <c r="T223" s="4" t="str">
        <f t="shared" si="208"/>
        <v>1+0.00112797597863271i</v>
      </c>
      <c r="U223" s="4">
        <f t="shared" si="220"/>
        <v>1.0000006361647018</v>
      </c>
      <c r="V223" s="4">
        <f t="shared" si="221"/>
        <v>1.1279755002472551E-3</v>
      </c>
      <c r="W223" t="str">
        <f t="shared" si="209"/>
        <v>1-0.0147615223734332i</v>
      </c>
      <c r="X223" s="4">
        <f t="shared" si="222"/>
        <v>1.0001089453368475</v>
      </c>
      <c r="Y223" s="4">
        <f t="shared" si="223"/>
        <v>-1.4760450322504452E-2</v>
      </c>
      <c r="Z223" t="str">
        <f t="shared" si="210"/>
        <v>0.999998910610785+0.00290712035743032i</v>
      </c>
      <c r="AA223" s="4">
        <f t="shared" si="224"/>
        <v>1.0000031362808468</v>
      </c>
      <c r="AB223" s="4">
        <f t="shared" si="225"/>
        <v>2.9071153347380754E-3</v>
      </c>
      <c r="AC223" s="48" t="str">
        <f t="shared" si="226"/>
        <v>7.75259723790648-8.31030778249824i</v>
      </c>
      <c r="AD223" s="20">
        <f t="shared" si="227"/>
        <v>21.111414165954567</v>
      </c>
      <c r="AE223" s="44">
        <f t="shared" si="228"/>
        <v>-46.9885337800523</v>
      </c>
      <c r="AF223" t="str">
        <f t="shared" si="229"/>
        <v>45.9520231294187</v>
      </c>
      <c r="AG223" t="str">
        <f t="shared" si="211"/>
        <v>1+0.497636461161489i</v>
      </c>
      <c r="AH223">
        <f t="shared" si="230"/>
        <v>1.1169789825584591</v>
      </c>
      <c r="AI223">
        <f t="shared" si="231"/>
        <v>0.4617549908770755</v>
      </c>
      <c r="AJ223" t="str">
        <f t="shared" si="212"/>
        <v>1+0.00112797597863271i</v>
      </c>
      <c r="AK223">
        <f t="shared" si="232"/>
        <v>1.0000006361647018</v>
      </c>
      <c r="AL223">
        <f t="shared" si="233"/>
        <v>1.1279755002472551E-3</v>
      </c>
      <c r="AM223" t="str">
        <f t="shared" si="213"/>
        <v>1-0.00252365208799895i</v>
      </c>
      <c r="AN223">
        <f t="shared" si="234"/>
        <v>1.0000031844048605</v>
      </c>
      <c r="AO223">
        <f t="shared" si="235"/>
        <v>-2.523646730457576E-3</v>
      </c>
      <c r="AP223" s="42" t="str">
        <f t="shared" si="236"/>
        <v>36.8056194829836-18.3799523712271i</v>
      </c>
      <c r="AQ223">
        <f t="shared" si="237"/>
        <v>32.285225894154586</v>
      </c>
      <c r="AR223" s="44">
        <f t="shared" si="238"/>
        <v>-26.536578217437153</v>
      </c>
      <c r="AS223" t="str">
        <f t="shared" si="214"/>
        <v>-0.000166666666666667</v>
      </c>
      <c r="AT223" t="str">
        <f t="shared" si="215"/>
        <v>0.0000889691053146551i</v>
      </c>
      <c r="AU223">
        <f t="shared" si="239"/>
        <v>8.8969105314655103E-5</v>
      </c>
      <c r="AV223">
        <f t="shared" si="240"/>
        <v>1.5707963267948966</v>
      </c>
      <c r="AW223" t="str">
        <f t="shared" si="216"/>
        <v>1+0.0162090684409701i</v>
      </c>
      <c r="AX223">
        <f t="shared" si="241"/>
        <v>1.0001313583223577</v>
      </c>
      <c r="AY223">
        <f t="shared" si="242"/>
        <v>1.6207649107453471E-2</v>
      </c>
      <c r="AZ223" t="str">
        <f t="shared" si="217"/>
        <v>1+0.329932973750068i</v>
      </c>
      <c r="BA223">
        <f t="shared" si="243"/>
        <v>1.0530222063981192</v>
      </c>
      <c r="BB223">
        <f t="shared" si="244"/>
        <v>0.31868711530673388</v>
      </c>
      <c r="BC223" s="42" t="str">
        <f t="shared" si="245"/>
        <v>-0.587547591090118+1.88283305948709i</v>
      </c>
      <c r="BD223">
        <f t="shared" si="246"/>
        <v>5.8998002339170572</v>
      </c>
      <c r="BE223" s="44">
        <f t="shared" si="247"/>
        <v>107.33079680258875</v>
      </c>
      <c r="BF223" s="42" t="str">
        <f t="shared" si="248"/>
        <v>11.0919023955767+19.4795476952429i</v>
      </c>
      <c r="BG223" s="20">
        <f t="shared" si="249"/>
        <v>27.011214399871619</v>
      </c>
      <c r="BH223" s="44">
        <f t="shared" si="250"/>
        <v>60.342263022536372</v>
      </c>
      <c r="BI223" s="42" t="str">
        <f t="shared" si="203"/>
        <v>12.981328890538+80.0979338775292i</v>
      </c>
      <c r="BJ223" s="20">
        <f t="shared" si="251"/>
        <v>38.185026128071641</v>
      </c>
      <c r="BK223" s="44">
        <f t="shared" si="204"/>
        <v>80.794218585151583</v>
      </c>
      <c r="BL223">
        <f t="shared" si="252"/>
        <v>27.011214399871619</v>
      </c>
      <c r="BM223" s="44">
        <f t="shared" si="253"/>
        <v>60.342263022536372</v>
      </c>
    </row>
    <row r="224" spans="14:65" x14ac:dyDescent="0.35">
      <c r="N224" s="9">
        <v>6</v>
      </c>
      <c r="O224" s="35">
        <f t="shared" si="254"/>
        <v>1148.1536214968839</v>
      </c>
      <c r="P224" s="34" t="str">
        <f t="shared" si="206"/>
        <v>16.3709677419355</v>
      </c>
      <c r="Q224" s="4" t="str">
        <f t="shared" si="207"/>
        <v>1+1.06116524388008i</v>
      </c>
      <c r="R224" s="4">
        <f t="shared" si="218"/>
        <v>1.4581055088089714</v>
      </c>
      <c r="S224" s="4">
        <f t="shared" si="219"/>
        <v>0.81506453745089347</v>
      </c>
      <c r="T224" s="4" t="str">
        <f t="shared" si="208"/>
        <v>1+0.00115424991439588i</v>
      </c>
      <c r="U224" s="4">
        <f t="shared" si="220"/>
        <v>1.0000006661462106</v>
      </c>
      <c r="V224" s="4">
        <f t="shared" si="221"/>
        <v>1.154249401796648E-3</v>
      </c>
      <c r="W224" t="str">
        <f t="shared" si="209"/>
        <v>1-0.0151053624001297i</v>
      </c>
      <c r="X224" s="4">
        <f t="shared" si="222"/>
        <v>1.0001140794795558</v>
      </c>
      <c r="Y224" s="4">
        <f t="shared" si="223"/>
        <v>-1.5104213683940061E-2</v>
      </c>
      <c r="Z224" t="str">
        <f t="shared" si="210"/>
        <v>0.999998859269453+0.00297483588947517i</v>
      </c>
      <c r="AA224" s="4">
        <f t="shared" si="224"/>
        <v>1.0000032840889956</v>
      </c>
      <c r="AB224" s="4">
        <f t="shared" si="225"/>
        <v>2.9748305075643858E-3</v>
      </c>
      <c r="AC224" s="48" t="str">
        <f t="shared" si="226"/>
        <v>7.56155418217154-8.30115141127362i</v>
      </c>
      <c r="AD224" s="20">
        <f t="shared" si="227"/>
        <v>21.006676126048887</v>
      </c>
      <c r="AE224" s="44">
        <f t="shared" si="228"/>
        <v>-47.669477337294182</v>
      </c>
      <c r="AF224" t="str">
        <f t="shared" si="229"/>
        <v>45.9520231294187</v>
      </c>
      <c r="AG224" t="str">
        <f t="shared" si="211"/>
        <v>1+0.509227903409946i</v>
      </c>
      <c r="AH224">
        <f t="shared" si="230"/>
        <v>1.1221911858552842</v>
      </c>
      <c r="AI224">
        <f t="shared" si="231"/>
        <v>0.47100264996565505</v>
      </c>
      <c r="AJ224" t="str">
        <f t="shared" si="212"/>
        <v>1+0.00115424991439588i</v>
      </c>
      <c r="AK224">
        <f t="shared" si="232"/>
        <v>1.0000006661462106</v>
      </c>
      <c r="AL224">
        <f t="shared" si="233"/>
        <v>1.154249401796648E-3</v>
      </c>
      <c r="AM224" t="str">
        <f t="shared" si="213"/>
        <v>1-0.00258243549660402i</v>
      </c>
      <c r="AN224">
        <f t="shared" si="234"/>
        <v>1.0000033344809878</v>
      </c>
      <c r="AO224">
        <f t="shared" si="235"/>
        <v>-2.582429755896043E-3</v>
      </c>
      <c r="AP224" s="42" t="str">
        <f t="shared" si="236"/>
        <v>36.4633243553831-18.6337702297553i</v>
      </c>
      <c r="AQ224">
        <f t="shared" si="237"/>
        <v>32.244790420306288</v>
      </c>
      <c r="AR224" s="44">
        <f t="shared" si="238"/>
        <v>-27.068292689183075</v>
      </c>
      <c r="AS224" t="str">
        <f t="shared" si="214"/>
        <v>-0.000166666666666667</v>
      </c>
      <c r="AT224" t="str">
        <f t="shared" si="215"/>
        <v>0.0000910414619979751i</v>
      </c>
      <c r="AU224">
        <f t="shared" si="239"/>
        <v>9.1041461997975098E-5</v>
      </c>
      <c r="AV224">
        <f t="shared" si="240"/>
        <v>1.5707963267948966</v>
      </c>
      <c r="AW224" t="str">
        <f t="shared" si="216"/>
        <v>1+0.0165866261470438i</v>
      </c>
      <c r="AX224">
        <f t="shared" si="241"/>
        <v>1.000137548623659</v>
      </c>
      <c r="AY224">
        <f t="shared" si="242"/>
        <v>1.6585105315076495E-2</v>
      </c>
      <c r="AZ224" t="str">
        <f t="shared" si="217"/>
        <v>1+0.337618099960794i</v>
      </c>
      <c r="BA224">
        <f t="shared" si="243"/>
        <v>1.0554553431676477</v>
      </c>
      <c r="BB224">
        <f t="shared" si="244"/>
        <v>0.32560187469237922</v>
      </c>
      <c r="BC224" s="42" t="str">
        <f t="shared" si="245"/>
        <v>-0.587540317919806+1.8404130426426i</v>
      </c>
      <c r="BD224">
        <f t="shared" si="246"/>
        <v>5.7197931334013159</v>
      </c>
      <c r="BE224" s="44">
        <f t="shared" si="247"/>
        <v>107.70535668408705</v>
      </c>
      <c r="BF224" s="42" t="str">
        <f t="shared" si="248"/>
        <v>10.8348293780981+18.7936440787973i</v>
      </c>
      <c r="BG224" s="20">
        <f t="shared" si="249"/>
        <v>26.726469259450187</v>
      </c>
      <c r="BH224" s="44">
        <f t="shared" si="250"/>
        <v>60.035879346792797</v>
      </c>
      <c r="BI224" s="42" t="str">
        <f t="shared" si="203"/>
        <v>12.8701605802723+78.0556690065897i</v>
      </c>
      <c r="BJ224" s="20">
        <f t="shared" si="251"/>
        <v>37.964583553707612</v>
      </c>
      <c r="BK224" s="44">
        <f t="shared" si="204"/>
        <v>80.637063994903954</v>
      </c>
      <c r="BL224">
        <f t="shared" si="252"/>
        <v>26.726469259450187</v>
      </c>
      <c r="BM224" s="44">
        <f t="shared" si="253"/>
        <v>60.035879346792797</v>
      </c>
    </row>
    <row r="225" spans="14:65" x14ac:dyDescent="0.35">
      <c r="N225" s="9">
        <v>7</v>
      </c>
      <c r="O225" s="35">
        <f t="shared" si="254"/>
        <v>1174.8975549395295</v>
      </c>
      <c r="P225" s="34" t="str">
        <f t="shared" si="206"/>
        <v>16.3709677419355</v>
      </c>
      <c r="Q225" s="4" t="str">
        <f t="shared" si="207"/>
        <v>1+1.08588295771439i</v>
      </c>
      <c r="R225" s="4">
        <f t="shared" si="218"/>
        <v>1.4761916534971169</v>
      </c>
      <c r="S225" s="4">
        <f t="shared" si="219"/>
        <v>0.8265483514424401</v>
      </c>
      <c r="T225" s="4" t="str">
        <f t="shared" si="208"/>
        <v>1+0.00118113584874196i</v>
      </c>
      <c r="U225" s="4">
        <f t="shared" si="220"/>
        <v>1.0000006975407032</v>
      </c>
      <c r="V225" s="4">
        <f t="shared" si="221"/>
        <v>1.1811352994820078E-3</v>
      </c>
      <c r="W225" t="str">
        <f t="shared" si="209"/>
        <v>1-0.0154572114899139i</v>
      </c>
      <c r="X225" s="4">
        <f t="shared" si="222"/>
        <v>1.0001194555587067</v>
      </c>
      <c r="Y225" s="4">
        <f t="shared" si="223"/>
        <v>-1.5455980626280542E-2</v>
      </c>
      <c r="Z225" t="str">
        <f t="shared" si="210"/>
        <v>0.999998805508478+0.00304412871888522i</v>
      </c>
      <c r="AA225" s="4">
        <f t="shared" si="224"/>
        <v>1.0000034388631069</v>
      </c>
      <c r="AB225" s="4">
        <f t="shared" si="225"/>
        <v>3.0441229520649497E-3</v>
      </c>
      <c r="AC225" s="48" t="str">
        <f t="shared" si="226"/>
        <v>7.37103202063876-8.28762523935624i</v>
      </c>
      <c r="AD225" s="20">
        <f t="shared" si="227"/>
        <v>20.899645850812732</v>
      </c>
      <c r="AE225" s="44">
        <f t="shared" si="228"/>
        <v>-48.350035889047575</v>
      </c>
      <c r="AF225" t="str">
        <f t="shared" si="229"/>
        <v>45.9520231294187</v>
      </c>
      <c r="AG225" t="str">
        <f t="shared" si="211"/>
        <v>1+0.521089345033218i</v>
      </c>
      <c r="AH225">
        <f t="shared" si="230"/>
        <v>1.127623210787694</v>
      </c>
      <c r="AI225">
        <f t="shared" si="231"/>
        <v>0.48037639153160844</v>
      </c>
      <c r="AJ225" t="str">
        <f t="shared" si="212"/>
        <v>1+0.00118113584874196i</v>
      </c>
      <c r="AK225">
        <f t="shared" si="232"/>
        <v>1.0000006975407032</v>
      </c>
      <c r="AL225">
        <f t="shared" si="233"/>
        <v>1.1811352994820078E-3</v>
      </c>
      <c r="AM225" t="str">
        <f t="shared" si="213"/>
        <v>1-0.00264258814669196i</v>
      </c>
      <c r="AN225">
        <f t="shared" si="234"/>
        <v>1.0000034916299607</v>
      </c>
      <c r="AO225">
        <f t="shared" si="235"/>
        <v>-2.642581995413697E-3</v>
      </c>
      <c r="AP225" s="42" t="str">
        <f t="shared" si="236"/>
        <v>36.1116321796281-18.8845434503608i</v>
      </c>
      <c r="AQ225">
        <f t="shared" si="237"/>
        <v>32.202848988507981</v>
      </c>
      <c r="AR225" s="44">
        <f t="shared" si="238"/>
        <v>-27.60727454014533</v>
      </c>
      <c r="AS225" t="str">
        <f t="shared" si="214"/>
        <v>-0.000166666666666667</v>
      </c>
      <c r="AT225" t="str">
        <f t="shared" si="215"/>
        <v>0.0000931620900695224i</v>
      </c>
      <c r="AU225">
        <f t="shared" si="239"/>
        <v>9.3162090069522397E-5</v>
      </c>
      <c r="AV225">
        <f t="shared" si="240"/>
        <v>1.5707963267948966</v>
      </c>
      <c r="AW225" t="str">
        <f t="shared" si="216"/>
        <v>1+0.0169729783018506i</v>
      </c>
      <c r="AX225">
        <f t="shared" si="241"/>
        <v>1.0001440306238072</v>
      </c>
      <c r="AY225">
        <f t="shared" si="242"/>
        <v>1.6971348713712076E-2</v>
      </c>
      <c r="AZ225" t="str">
        <f t="shared" si="217"/>
        <v>1+0.345482235757024i</v>
      </c>
      <c r="BA225">
        <f t="shared" si="243"/>
        <v>1.0579971527483767</v>
      </c>
      <c r="BB225">
        <f t="shared" si="244"/>
        <v>0.33264442945021372</v>
      </c>
      <c r="BC225" s="42" t="str">
        <f t="shared" si="245"/>
        <v>-0.587532702168536+1.79896882578344i</v>
      </c>
      <c r="BD225">
        <f t="shared" si="246"/>
        <v>5.5406295617820787</v>
      </c>
      <c r="BE225" s="44">
        <f t="shared" si="247"/>
        <v>108.08673523209403</v>
      </c>
      <c r="BF225" s="42" t="str">
        <f t="shared" si="248"/>
        <v>10.5784570845212+18.1295076704198i</v>
      </c>
      <c r="BG225" s="20">
        <f t="shared" si="249"/>
        <v>26.440275412594822</v>
      </c>
      <c r="BH225" s="44">
        <f t="shared" si="250"/>
        <v>59.736699343046496</v>
      </c>
      <c r="BI225" s="42" t="str">
        <f t="shared" si="203"/>
        <v>12.7559401221388+76.0589873819187i</v>
      </c>
      <c r="BJ225" s="20">
        <f t="shared" si="251"/>
        <v>37.743478550290064</v>
      </c>
      <c r="BK225" s="44">
        <f t="shared" si="204"/>
        <v>80.479460691948674</v>
      </c>
      <c r="BL225">
        <f t="shared" si="252"/>
        <v>26.440275412594822</v>
      </c>
      <c r="BM225" s="44">
        <f t="shared" si="253"/>
        <v>59.736699343046496</v>
      </c>
    </row>
    <row r="226" spans="14:65" x14ac:dyDescent="0.35">
      <c r="N226" s="9">
        <v>8</v>
      </c>
      <c r="O226" s="35">
        <f t="shared" si="254"/>
        <v>1202.2644346174138</v>
      </c>
      <c r="P226" s="34" t="str">
        <f t="shared" si="206"/>
        <v>16.3709677419355</v>
      </c>
      <c r="Q226" s="4" t="str">
        <f t="shared" si="207"/>
        <v>1+1.11117642106623i</v>
      </c>
      <c r="R226" s="4">
        <f t="shared" si="218"/>
        <v>1.494895661487301</v>
      </c>
      <c r="S226" s="4">
        <f t="shared" si="219"/>
        <v>0.83801045116626194</v>
      </c>
      <c r="T226" s="4" t="str">
        <f t="shared" si="208"/>
        <v>1+0.00120864803694923i</v>
      </c>
      <c r="U226" s="4">
        <f t="shared" si="220"/>
        <v>1.0000007304147718</v>
      </c>
      <c r="V226" s="4">
        <f t="shared" si="221"/>
        <v>1.2086474484066109E-3</v>
      </c>
      <c r="W226" t="str">
        <f t="shared" si="209"/>
        <v>1-0.0158172561978305i</v>
      </c>
      <c r="X226" s="4">
        <f t="shared" si="222"/>
        <v>1.0001250849736887</v>
      </c>
      <c r="Y226" s="4">
        <f t="shared" si="223"/>
        <v>-1.5815937312594019E-2</v>
      </c>
      <c r="Z226" t="str">
        <f t="shared" si="210"/>
        <v>0.999998749213827+0.00311503558563584i</v>
      </c>
      <c r="AA226" s="4">
        <f t="shared" si="224"/>
        <v>1.0000036009314759</v>
      </c>
      <c r="AB226" s="4">
        <f t="shared" si="225"/>
        <v>3.1150294063777479E-3</v>
      </c>
      <c r="AC226" s="48" t="str">
        <f t="shared" si="226"/>
        <v>7.18122965010162-8.2697648476455i</v>
      </c>
      <c r="AD226" s="20">
        <f t="shared" si="227"/>
        <v>20.790330898905985</v>
      </c>
      <c r="AE226" s="44">
        <f t="shared" si="228"/>
        <v>-49.029876137067447</v>
      </c>
      <c r="AF226" t="str">
        <f t="shared" si="229"/>
        <v>45.9520231294187</v>
      </c>
      <c r="AG226" t="str">
        <f t="shared" si="211"/>
        <v>1+0.533227075124661i</v>
      </c>
      <c r="AH226">
        <f t="shared" si="230"/>
        <v>1.1332833333487267</v>
      </c>
      <c r="AI226">
        <f t="shared" si="231"/>
        <v>0.48987459562468427</v>
      </c>
      <c r="AJ226" t="str">
        <f t="shared" si="212"/>
        <v>1+0.00120864803694923i</v>
      </c>
      <c r="AK226">
        <f t="shared" si="232"/>
        <v>1.0000007304147718</v>
      </c>
      <c r="AL226">
        <f t="shared" si="233"/>
        <v>1.2086474484066109E-3</v>
      </c>
      <c r="AM226" t="str">
        <f t="shared" si="213"/>
        <v>1-0.00270414193199407i</v>
      </c>
      <c r="AN226">
        <f t="shared" si="234"/>
        <v>1.0000036561851104</v>
      </c>
      <c r="AO226">
        <f t="shared" si="235"/>
        <v>-2.7041353407819607E-3</v>
      </c>
      <c r="AP226" s="42" t="str">
        <f t="shared" si="236"/>
        <v>35.7505388970707-19.1318762602705i</v>
      </c>
      <c r="AQ226">
        <f t="shared" si="237"/>
        <v>32.159360800825716</v>
      </c>
      <c r="AR226" s="44">
        <f t="shared" si="238"/>
        <v>-28.153431964518369</v>
      </c>
      <c r="AS226" t="str">
        <f t="shared" si="214"/>
        <v>-0.000166666666666667</v>
      </c>
      <c r="AT226" t="str">
        <f t="shared" si="215"/>
        <v>0.0000953321139143708i</v>
      </c>
      <c r="AU226">
        <f t="shared" si="239"/>
        <v>9.5332113914370803E-5</v>
      </c>
      <c r="AV226">
        <f t="shared" si="240"/>
        <v>1.5707963267948966</v>
      </c>
      <c r="AW226" t="str">
        <f t="shared" si="216"/>
        <v>1+0.0173683297544171i</v>
      </c>
      <c r="AX226">
        <f t="shared" si="241"/>
        <v>1.0001508180661844</v>
      </c>
      <c r="AY226">
        <f t="shared" si="242"/>
        <v>1.7366583633487798E-2</v>
      </c>
      <c r="AZ226" t="str">
        <f t="shared" si="217"/>
        <v>1+0.35352955080765i</v>
      </c>
      <c r="BA226">
        <f t="shared" si="243"/>
        <v>1.0606522254227626</v>
      </c>
      <c r="BB226">
        <f t="shared" si="244"/>
        <v>0.33981571837480451</v>
      </c>
      <c r="BC226" s="42" t="str">
        <f t="shared" si="245"/>
        <v>-0.58752472770957+1.75847843382445i</v>
      </c>
      <c r="BD226">
        <f t="shared" si="246"/>
        <v>5.3623407871363904</v>
      </c>
      <c r="BE226" s="44">
        <f t="shared" si="247"/>
        <v>108.47497452832265</v>
      </c>
      <c r="BF226" s="42" t="str">
        <f t="shared" si="248"/>
        <v>10.3230531425883+17.4867288083795i</v>
      </c>
      <c r="BG226" s="20">
        <f t="shared" si="249"/>
        <v>26.152671686042375</v>
      </c>
      <c r="BH226" s="44">
        <f t="shared" si="250"/>
        <v>59.445098391255222</v>
      </c>
      <c r="BI226" s="42" t="str">
        <f t="shared" si="203"/>
        <v>12.6386661713118+74.1070020384896i</v>
      </c>
      <c r="BJ226" s="20">
        <f t="shared" si="251"/>
        <v>37.521701587962106</v>
      </c>
      <c r="BK226" s="44">
        <f t="shared" si="204"/>
        <v>80.321542563804272</v>
      </c>
      <c r="BL226">
        <f t="shared" si="252"/>
        <v>26.152671686042375</v>
      </c>
      <c r="BM226" s="44">
        <f t="shared" si="253"/>
        <v>59.445098391255222</v>
      </c>
    </row>
    <row r="227" spans="14:65" x14ac:dyDescent="0.35">
      <c r="N227" s="9">
        <v>9</v>
      </c>
      <c r="O227" s="35">
        <f t="shared" si="254"/>
        <v>1230.2687708123824</v>
      </c>
      <c r="P227" s="34" t="str">
        <f t="shared" si="206"/>
        <v>16.3709677419355</v>
      </c>
      <c r="Q227" s="4" t="str">
        <f t="shared" si="207"/>
        <v>1+1.13705904486468i</v>
      </c>
      <c r="R227" s="4">
        <f t="shared" si="218"/>
        <v>1.5142335591012961</v>
      </c>
      <c r="S227" s="4">
        <f t="shared" si="219"/>
        <v>0.84944486787282547</v>
      </c>
      <c r="T227" s="4" t="str">
        <f t="shared" si="208"/>
        <v>1+0.00123680106634404i</v>
      </c>
      <c r="U227" s="4">
        <f t="shared" si="220"/>
        <v>1.0000007648381464</v>
      </c>
      <c r="V227" s="4">
        <f t="shared" si="221"/>
        <v>1.2368004357092876E-3</v>
      </c>
      <c r="W227" t="str">
        <f t="shared" si="209"/>
        <v>1-0.0161856874243493i</v>
      </c>
      <c r="X227" s="4">
        <f t="shared" si="222"/>
        <v>1.0001309796608635</v>
      </c>
      <c r="Y227" s="4">
        <f t="shared" si="223"/>
        <v>-1.6184274223352665E-2</v>
      </c>
      <c r="Z227" t="str">
        <f t="shared" si="210"/>
        <v>0.999998690266091+0.00318759408548633i</v>
      </c>
      <c r="AA227" s="4">
        <f t="shared" si="224"/>
        <v>1.0000037706378668</v>
      </c>
      <c r="AB227" s="4">
        <f t="shared" si="225"/>
        <v>3.1875874642932904E-3</v>
      </c>
      <c r="AC227" s="48" t="str">
        <f t="shared" si="226"/>
        <v>6.99234294872783-8.24761701596924i</v>
      </c>
      <c r="AD227" s="20">
        <f t="shared" si="227"/>
        <v>20.678741207860135</v>
      </c>
      <c r="AE227" s="44">
        <f t="shared" si="228"/>
        <v>-49.708668329107994</v>
      </c>
      <c r="AF227" t="str">
        <f t="shared" si="229"/>
        <v>45.9520231294187</v>
      </c>
      <c r="AG227" t="str">
        <f t="shared" si="211"/>
        <v>1+0.545647529269428i</v>
      </c>
      <c r="AH227">
        <f t="shared" si="230"/>
        <v>1.1391800675037425</v>
      </c>
      <c r="AI227">
        <f t="shared" si="231"/>
        <v>0.49949544236282717</v>
      </c>
      <c r="AJ227" t="str">
        <f t="shared" si="212"/>
        <v>1+0.00123680106634404i</v>
      </c>
      <c r="AK227">
        <f t="shared" si="232"/>
        <v>1.0000007648381464</v>
      </c>
      <c r="AL227">
        <f t="shared" si="233"/>
        <v>1.2368004357092876E-3</v>
      </c>
      <c r="AM227" t="str">
        <f t="shared" si="213"/>
        <v>1-0.00276712948914207i</v>
      </c>
      <c r="AN227">
        <f t="shared" si="234"/>
        <v>1.0000038284954762</v>
      </c>
      <c r="AO227">
        <f t="shared" si="235"/>
        <v>-2.7671224265325097E-3</v>
      </c>
      <c r="AP227" s="42" t="str">
        <f t="shared" si="236"/>
        <v>35.3800606885412-19.3753643871849i</v>
      </c>
      <c r="AQ227">
        <f t="shared" si="237"/>
        <v>32.114285085417677</v>
      </c>
      <c r="AR227" s="44">
        <f t="shared" si="238"/>
        <v>-28.706661724780233</v>
      </c>
      <c r="AS227" t="str">
        <f t="shared" si="214"/>
        <v>-0.000166666666666667</v>
      </c>
      <c r="AT227" t="str">
        <f t="shared" si="215"/>
        <v>0.0000975526841078862i</v>
      </c>
      <c r="AU227">
        <f t="shared" si="239"/>
        <v>9.7552684107886202E-5</v>
      </c>
      <c r="AV227">
        <f t="shared" si="240"/>
        <v>1.5707963267948966</v>
      </c>
      <c r="AW227" t="str">
        <f t="shared" si="216"/>
        <v>1+0.0177728901253163i</v>
      </c>
      <c r="AX227">
        <f t="shared" si="241"/>
        <v>1.0001579253414965</v>
      </c>
      <c r="AY227">
        <f t="shared" si="242"/>
        <v>1.7771019138986859E-2</v>
      </c>
      <c r="AZ227" t="str">
        <f t="shared" si="217"/>
        <v>1+0.361764311905631i</v>
      </c>
      <c r="BA227">
        <f t="shared" si="243"/>
        <v>1.0634253228922821</v>
      </c>
      <c r="BB227">
        <f t="shared" si="244"/>
        <v>0.34711659243751508</v>
      </c>
      <c r="BC227" s="42" t="str">
        <f t="shared" si="245"/>
        <v>-0.587516377657943+1.71892039735305i</v>
      </c>
      <c r="BD227">
        <f t="shared" si="246"/>
        <v>5.1849588686186578</v>
      </c>
      <c r="BE227" s="44">
        <f t="shared" si="247"/>
        <v>108.87011135132221</v>
      </c>
      <c r="BF227" s="42" t="str">
        <f t="shared" si="248"/>
        <v>10.068881117727+16.8648909933883i</v>
      </c>
      <c r="BG227" s="20">
        <f t="shared" si="249"/>
        <v>25.863700076478796</v>
      </c>
      <c r="BH227" s="44">
        <f t="shared" si="250"/>
        <v>59.161443022214179</v>
      </c>
      <c r="BI227" s="42" t="str">
        <f t="shared" si="203"/>
        <v>12.5183439542301+72.1988518776839i</v>
      </c>
      <c r="BJ227" s="20">
        <f t="shared" si="251"/>
        <v>37.299243954036342</v>
      </c>
      <c r="BK227" s="44">
        <f t="shared" si="204"/>
        <v>80.163449626541976</v>
      </c>
      <c r="BL227">
        <f t="shared" si="252"/>
        <v>25.863700076478796</v>
      </c>
      <c r="BM227" s="44">
        <f t="shared" si="253"/>
        <v>59.161443022214179</v>
      </c>
    </row>
    <row r="228" spans="14:65" x14ac:dyDescent="0.35">
      <c r="N228" s="9">
        <v>10</v>
      </c>
      <c r="O228" s="35">
        <f t="shared" si="254"/>
        <v>1258.925411794168</v>
      </c>
      <c r="P228" s="34" t="str">
        <f t="shared" si="206"/>
        <v>16.3709677419355</v>
      </c>
      <c r="Q228" s="4" t="str">
        <f t="shared" si="207"/>
        <v>1+1.16354455241948i</v>
      </c>
      <c r="R228" s="4">
        <f t="shared" si="218"/>
        <v>1.5342216024632975</v>
      </c>
      <c r="S228" s="4">
        <f t="shared" si="219"/>
        <v>0.86084570516667602</v>
      </c>
      <c r="T228" s="4" t="str">
        <f t="shared" si="208"/>
        <v>1+0.00126560986403522i</v>
      </c>
      <c r="U228" s="4">
        <f t="shared" si="220"/>
        <v>1.0000008008838432</v>
      </c>
      <c r="V228" s="4">
        <f t="shared" si="221"/>
        <v>1.2656091882979374E-3</v>
      </c>
      <c r="W228" t="str">
        <f t="shared" si="209"/>
        <v>1-0.0165627005165834i</v>
      </c>
      <c r="X228" s="4">
        <f t="shared" si="222"/>
        <v>1.0001371521188491</v>
      </c>
      <c r="Y228" s="4">
        <f t="shared" si="223"/>
        <v>-1.6561186255648435E-2</v>
      </c>
      <c r="Z228" t="str">
        <f t="shared" si="210"/>
        <v>0.999998628540234+0.00326184268991374i</v>
      </c>
      <c r="AA228" s="4">
        <f t="shared" si="224"/>
        <v>1.0000039483422467</v>
      </c>
      <c r="AB228" s="4">
        <f t="shared" si="225"/>
        <v>3.2618355951790304E-3</v>
      </c>
      <c r="AC228" s="48" t="str">
        <f t="shared" si="226"/>
        <v>6.80456397941781-8.22123942559634i</v>
      </c>
      <c r="AD228" s="20">
        <f t="shared" si="227"/>
        <v>20.564889053175218</v>
      </c>
      <c r="AE228" s="44">
        <f t="shared" si="228"/>
        <v>-50.386087142259221</v>
      </c>
      <c r="AF228" t="str">
        <f t="shared" si="229"/>
        <v>45.9520231294187</v>
      </c>
      <c r="AG228" t="str">
        <f t="shared" si="211"/>
        <v>1+0.558357292956714i</v>
      </c>
      <c r="AH228">
        <f t="shared" si="230"/>
        <v>1.1453221671643092</v>
      </c>
      <c r="AI228">
        <f t="shared" si="231"/>
        <v>0.50923690795405518</v>
      </c>
      <c r="AJ228" t="str">
        <f t="shared" si="212"/>
        <v>1+0.00126560986403522i</v>
      </c>
      <c r="AK228">
        <f t="shared" si="232"/>
        <v>1.0000008008838432</v>
      </c>
      <c r="AL228">
        <f t="shared" si="233"/>
        <v>1.2656091882979374E-3</v>
      </c>
      <c r="AM228" t="str">
        <f t="shared" si="213"/>
        <v>1-0.00283158421497251i</v>
      </c>
      <c r="AN228">
        <f t="shared" si="234"/>
        <v>1.0000040089265474</v>
      </c>
      <c r="AO228">
        <f t="shared" si="235"/>
        <v>-2.83157664725166E-3</v>
      </c>
      <c r="AP228" s="42" t="str">
        <f t="shared" si="236"/>
        <v>35.0002349955183-19.6145961545408i</v>
      </c>
      <c r="AQ228">
        <f t="shared" si="237"/>
        <v>32.067581186620487</v>
      </c>
      <c r="AR228" s="44">
        <f t="shared" si="238"/>
        <v>-29.266848924312228</v>
      </c>
      <c r="AS228" t="str">
        <f t="shared" si="214"/>
        <v>-0.000166666666666667</v>
      </c>
      <c r="AT228" t="str">
        <f t="shared" si="215"/>
        <v>0.000099824978025778i</v>
      </c>
      <c r="AU228">
        <f t="shared" si="239"/>
        <v>9.9824978025777998E-5</v>
      </c>
      <c r="AV228">
        <f t="shared" si="240"/>
        <v>1.5707963267948966</v>
      </c>
      <c r="AW228" t="str">
        <f t="shared" si="216"/>
        <v>1+0.018186873917812i</v>
      </c>
      <c r="AX228">
        <f t="shared" si="241"/>
        <v>1.0001653675182431</v>
      </c>
      <c r="AY228">
        <f t="shared" si="242"/>
        <v>1.8184869137742261E-2</v>
      </c>
      <c r="AZ228" t="str">
        <f t="shared" si="217"/>
        <v>1+0.370190885230302i</v>
      </c>
      <c r="BA228">
        <f t="shared" si="243"/>
        <v>1.0663213828427125</v>
      </c>
      <c r="BB228">
        <f t="shared" si="244"/>
        <v>0.35454780844606909</v>
      </c>
      <c r="BC228" s="42" t="str">
        <f t="shared" si="245"/>
        <v>-0.587507634334891+1.68027374124167i</v>
      </c>
      <c r="BD228">
        <f t="shared" si="246"/>
        <v>5.0085166449613086</v>
      </c>
      <c r="BE228" s="44">
        <f t="shared" si="247"/>
        <v>109.27217680698216</v>
      </c>
      <c r="BF228" s="42" t="str">
        <f t="shared" si="248"/>
        <v>9.81619944106211+16.2635711014475i</v>
      </c>
      <c r="BG228" s="20">
        <f t="shared" si="249"/>
        <v>25.573405698136519</v>
      </c>
      <c r="BH228" s="44">
        <f t="shared" si="250"/>
        <v>58.886089664722931</v>
      </c>
      <c r="BI228" s="42" t="str">
        <f t="shared" si="203"/>
        <v>12.3949856001525+70.3337007854457i</v>
      </c>
      <c r="BJ228" s="20">
        <f t="shared" si="251"/>
        <v>37.076097831581791</v>
      </c>
      <c r="BK228" s="44">
        <f t="shared" si="204"/>
        <v>80.005327882669974</v>
      </c>
      <c r="BL228">
        <f t="shared" si="252"/>
        <v>25.573405698136519</v>
      </c>
      <c r="BM228" s="44">
        <f t="shared" si="253"/>
        <v>58.886089664722931</v>
      </c>
    </row>
    <row r="229" spans="14:65" x14ac:dyDescent="0.35">
      <c r="N229" s="9">
        <v>11</v>
      </c>
      <c r="O229" s="35">
        <f t="shared" si="254"/>
        <v>1288.2495516931347</v>
      </c>
      <c r="P229" s="34" t="str">
        <f t="shared" si="206"/>
        <v>16.3709677419355</v>
      </c>
      <c r="Q229" s="4" t="str">
        <f t="shared" si="207"/>
        <v>1+1.1906469866973i</v>
      </c>
      <c r="R229" s="4">
        <f t="shared" si="218"/>
        <v>1.554876280265205</v>
      </c>
      <c r="S229" s="4">
        <f t="shared" si="219"/>
        <v>0.87220715385408909</v>
      </c>
      <c r="T229" s="4" t="str">
        <f t="shared" si="208"/>
        <v>1+0.00129508970482864i</v>
      </c>
      <c r="U229" s="4">
        <f t="shared" si="220"/>
        <v>1.0000008386283201</v>
      </c>
      <c r="V229" s="4">
        <f t="shared" si="221"/>
        <v>1.2950889807631294E-3</v>
      </c>
      <c r="W229" t="str">
        <f t="shared" si="209"/>
        <v>1-0.0169484953718646i</v>
      </c>
      <c r="X229" s="4">
        <f t="shared" si="222"/>
        <v>1.0001436154349885</v>
      </c>
      <c r="Y229" s="4">
        <f t="shared" si="223"/>
        <v>-1.6946872824622945E-2</v>
      </c>
      <c r="Z229" t="str">
        <f t="shared" si="210"/>
        <v>0.999998563905326+0.00333782076651093i</v>
      </c>
      <c r="AA229" s="4">
        <f t="shared" si="224"/>
        <v>1.0000041344215451</v>
      </c>
      <c r="AB229" s="4">
        <f t="shared" si="225"/>
        <v>3.3378131643673602E-3</v>
      </c>
      <c r="AC229" s="48" t="str">
        <f t="shared" si="226"/>
        <v>6.61808022670138-8.19070029554908i</v>
      </c>
      <c r="AD229" s="20">
        <f t="shared" si="227"/>
        <v>20.448788998041366</v>
      </c>
      <c r="AE229" s="44">
        <f t="shared" si="228"/>
        <v>-51.061812540182544</v>
      </c>
      <c r="AF229" t="str">
        <f t="shared" si="229"/>
        <v>45.9520231294187</v>
      </c>
      <c r="AG229" t="str">
        <f t="shared" si="211"/>
        <v>1+0.571363105071457i</v>
      </c>
      <c r="AH229">
        <f t="shared" si="230"/>
        <v>1.1517186278935045</v>
      </c>
      <c r="AI229">
        <f t="shared" si="231"/>
        <v>0.51909676129324867</v>
      </c>
      <c r="AJ229" t="str">
        <f t="shared" si="212"/>
        <v>1+0.00129508970482864i</v>
      </c>
      <c r="AK229">
        <f t="shared" si="232"/>
        <v>1.0000008386283201</v>
      </c>
      <c r="AL229">
        <f t="shared" si="233"/>
        <v>1.2950889807631294E-3</v>
      </c>
      <c r="AM229" t="str">
        <f t="shared" si="213"/>
        <v>1-0.00289754028423417i</v>
      </c>
      <c r="AN229">
        <f t="shared" si="234"/>
        <v>1.0000041978610383</v>
      </c>
      <c r="AO229">
        <f t="shared" si="235"/>
        <v>-2.8975321752770207E-3</v>
      </c>
      <c r="AP229" s="42" t="str">
        <f t="shared" si="236"/>
        <v>34.611121484044-19.8491536872174i</v>
      </c>
      <c r="AQ229">
        <f t="shared" si="237"/>
        <v>32.019208659348507</v>
      </c>
      <c r="AR229" s="44">
        <f t="shared" si="238"/>
        <v>-29.833866812968225</v>
      </c>
      <c r="AS229" t="str">
        <f t="shared" si="214"/>
        <v>-0.000166666666666667</v>
      </c>
      <c r="AT229" t="str">
        <f t="shared" si="215"/>
        <v>0.000102150200468359i</v>
      </c>
      <c r="AU229">
        <f t="shared" si="239"/>
        <v>1.02150200468359E-4</v>
      </c>
      <c r="AV229">
        <f t="shared" si="240"/>
        <v>1.5707963267948966</v>
      </c>
      <c r="AW229" t="str">
        <f t="shared" si="216"/>
        <v>1+0.0186105006315906i</v>
      </c>
      <c r="AX229">
        <f t="shared" si="241"/>
        <v>1.0001731603746216</v>
      </c>
      <c r="AY229">
        <f t="shared" si="242"/>
        <v>1.8608352491129163E-2</v>
      </c>
      <c r="AZ229" t="str">
        <f t="shared" si="217"/>
        <v>1+0.378813738662376i</v>
      </c>
      <c r="BA229">
        <f t="shared" si="243"/>
        <v>1.0693455234859155</v>
      </c>
      <c r="BB229">
        <f t="shared" si="244"/>
        <v>0.36211002255988817</v>
      </c>
      <c r="BC229" s="42" t="str">
        <f t="shared" si="245"/>
        <v>-0.587498479230633+1.64251797352199i</v>
      </c>
      <c r="BD229">
        <f t="shared" si="246"/>
        <v>4.8330477197219768</v>
      </c>
      <c r="BE229" s="44">
        <f t="shared" si="247"/>
        <v>109.68119595063523</v>
      </c>
      <c r="BF229" s="42" t="str">
        <f t="shared" si="248"/>
        <v>9.56526038255786+15.6823396900365i</v>
      </c>
      <c r="BG229" s="20">
        <f t="shared" si="249"/>
        <v>25.281836717763355</v>
      </c>
      <c r="BH229" s="44">
        <f t="shared" si="250"/>
        <v>58.619383410452699</v>
      </c>
      <c r="BI229" s="42" t="str">
        <f t="shared" si="203"/>
        <v>12.2686104541123+68.5107367265507i</v>
      </c>
      <c r="BJ229" s="20">
        <f t="shared" si="251"/>
        <v>36.852256379070482</v>
      </c>
      <c r="BK229" s="44">
        <f t="shared" si="204"/>
        <v>79.847329137667018</v>
      </c>
      <c r="BL229">
        <f t="shared" si="252"/>
        <v>25.281836717763355</v>
      </c>
      <c r="BM229" s="44">
        <f t="shared" si="253"/>
        <v>58.619383410452699</v>
      </c>
    </row>
    <row r="230" spans="14:65" x14ac:dyDescent="0.35">
      <c r="N230" s="9">
        <v>12</v>
      </c>
      <c r="O230" s="35">
        <f t="shared" si="254"/>
        <v>1318.2567385564089</v>
      </c>
      <c r="P230" s="34" t="str">
        <f t="shared" si="206"/>
        <v>16.3709677419355</v>
      </c>
      <c r="Q230" s="4" t="str">
        <f t="shared" si="207"/>
        <v>1+1.21838071776754i</v>
      </c>
      <c r="R230" s="4">
        <f t="shared" si="218"/>
        <v>1.5762143170989618</v>
      </c>
      <c r="S230" s="4">
        <f t="shared" si="219"/>
        <v>0.88352350624384002</v>
      </c>
      <c r="T230" s="4" t="str">
        <f t="shared" si="208"/>
        <v>1+0.0013252562193261i</v>
      </c>
      <c r="U230" s="4">
        <f t="shared" si="220"/>
        <v>1.0000008781516379</v>
      </c>
      <c r="V230" s="4">
        <f t="shared" si="221"/>
        <v>1.3252554434759639E-3</v>
      </c>
      <c r="W230" t="str">
        <f t="shared" si="209"/>
        <v>1-0.0173432765437318i</v>
      </c>
      <c r="X230" s="4">
        <f t="shared" si="222"/>
        <v>1.0001503833130658</v>
      </c>
      <c r="Y230" s="4">
        <f t="shared" si="223"/>
        <v>-1.7341537967157171E-2</v>
      </c>
      <c r="Z230" t="str">
        <f t="shared" si="210"/>
        <v>0.999998496224269+0.00341556859985982i</v>
      </c>
      <c r="AA230" s="4">
        <f t="shared" si="224"/>
        <v>1.0000043292704586</v>
      </c>
      <c r="AB230" s="4">
        <f t="shared" si="225"/>
        <v>3.4155604540180603E-3</v>
      </c>
      <c r="AC230" s="48" t="str">
        <f t="shared" si="226"/>
        <v>6.43307387344059-8.15607795694488i</v>
      </c>
      <c r="AD230" s="20">
        <f t="shared" si="227"/>
        <v>20.330457834129049</v>
      </c>
      <c r="AE230" s="44">
        <f t="shared" si="228"/>
        <v>-51.735530599155652</v>
      </c>
      <c r="AF230" t="str">
        <f t="shared" si="229"/>
        <v>45.9520231294187</v>
      </c>
      <c r="AG230" t="str">
        <f t="shared" si="211"/>
        <v>1+0.584671861467395i</v>
      </c>
      <c r="AH230">
        <f t="shared" si="230"/>
        <v>1.1583786883363094</v>
      </c>
      <c r="AI230">
        <f t="shared" si="231"/>
        <v>0.52907256118868451</v>
      </c>
      <c r="AJ230" t="str">
        <f t="shared" si="212"/>
        <v>1+0.0013252562193261i</v>
      </c>
      <c r="AK230">
        <f t="shared" si="232"/>
        <v>1.0000008781516379</v>
      </c>
      <c r="AL230">
        <f t="shared" si="233"/>
        <v>1.3252554434759639E-3</v>
      </c>
      <c r="AM230" t="str">
        <f t="shared" si="213"/>
        <v>1-0.00296503266770801i</v>
      </c>
      <c r="AN230">
        <f t="shared" si="234"/>
        <v>1.0000043956996991</v>
      </c>
      <c r="AO230">
        <f t="shared" si="235"/>
        <v>-2.9650239788059419E-3</v>
      </c>
      <c r="AP230" s="42" t="str">
        <f t="shared" si="236"/>
        <v>34.2128029394401-20.0786142259027i</v>
      </c>
      <c r="AQ230">
        <f t="shared" si="237"/>
        <v>31.969127367531073</v>
      </c>
      <c r="AR230" s="44">
        <f t="shared" si="238"/>
        <v>-30.407576628741342</v>
      </c>
      <c r="AS230" t="str">
        <f t="shared" si="214"/>
        <v>-0.000166666666666667</v>
      </c>
      <c r="AT230" t="str">
        <f t="shared" si="215"/>
        <v>0.000104529584299346i</v>
      </c>
      <c r="AU230">
        <f t="shared" si="239"/>
        <v>1.04529584299346E-4</v>
      </c>
      <c r="AV230">
        <f t="shared" si="240"/>
        <v>1.5707963267948966</v>
      </c>
      <c r="AW230" t="str">
        <f t="shared" si="216"/>
        <v>1+0.0190439948791433i</v>
      </c>
      <c r="AX230">
        <f t="shared" si="241"/>
        <v>1.000181320431929</v>
      </c>
      <c r="AY230">
        <f t="shared" si="242"/>
        <v>1.9041693127704901E-2</v>
      </c>
      <c r="AZ230" t="str">
        <f t="shared" si="217"/>
        <v>1+0.387637444152883i</v>
      </c>
      <c r="BA230">
        <f t="shared" si="243"/>
        <v>1.0725030480653095</v>
      </c>
      <c r="BB230">
        <f t="shared" si="244"/>
        <v>0.36980378367956418</v>
      </c>
      <c r="BC230" s="42" t="str">
        <f t="shared" si="245"/>
        <v>-0.587488892965415+1.60563307451512i</v>
      </c>
      <c r="BD230">
        <f t="shared" si="246"/>
        <v>4.6585864430708392</v>
      </c>
      <c r="BE230" s="44">
        <f t="shared" si="247"/>
        <v>110.09718740180712</v>
      </c>
      <c r="BF230" s="42" t="str">
        <f t="shared" si="248"/>
        <v>9.31630907772206+15.1207613918605i</v>
      </c>
      <c r="BG230" s="20">
        <f t="shared" si="249"/>
        <v>24.989044277199891</v>
      </c>
      <c r="BH230" s="44">
        <f t="shared" si="250"/>
        <v>58.361656802651517</v>
      </c>
      <c r="BI230" s="42" t="str">
        <f t="shared" si="203"/>
        <v>12.1392453674036+66.7291708152884i</v>
      </c>
      <c r="BJ230" s="20">
        <f t="shared" si="251"/>
        <v>36.627713810601918</v>
      </c>
      <c r="BK230" s="44">
        <f t="shared" si="204"/>
        <v>79.689610773065809</v>
      </c>
      <c r="BL230">
        <f t="shared" si="252"/>
        <v>24.989044277199891</v>
      </c>
      <c r="BM230" s="44">
        <f t="shared" si="253"/>
        <v>58.361656802651517</v>
      </c>
    </row>
    <row r="231" spans="14:65" x14ac:dyDescent="0.35">
      <c r="N231" s="9">
        <v>13</v>
      </c>
      <c r="O231" s="35">
        <f t="shared" si="254"/>
        <v>1348.9628825916541</v>
      </c>
      <c r="P231" s="34" t="str">
        <f t="shared" si="206"/>
        <v>16.3709677419355</v>
      </c>
      <c r="Q231" s="4" t="str">
        <f t="shared" si="207"/>
        <v>1+1.24676045042152i</v>
      </c>
      <c r="R231" s="4">
        <f t="shared" si="218"/>
        <v>1.5982526773746606</v>
      </c>
      <c r="S231" s="4">
        <f t="shared" si="219"/>
        <v>0.89478916981856638</v>
      </c>
      <c r="T231" s="4" t="str">
        <f t="shared" si="208"/>
        <v>1+0.00135612540221288i</v>
      </c>
      <c r="U231" s="4">
        <f t="shared" si="220"/>
        <v>1.0000009195376305</v>
      </c>
      <c r="V231" s="4">
        <f t="shared" si="221"/>
        <v>1.3561245708745226E-3</v>
      </c>
      <c r="W231" t="str">
        <f t="shared" si="209"/>
        <v>1-0.0177472533503879i</v>
      </c>
      <c r="X231" s="4">
        <f t="shared" si="222"/>
        <v>1.0001574701023248</v>
      </c>
      <c r="Y231" s="4">
        <f t="shared" si="223"/>
        <v>-1.7745390447865415E-2</v>
      </c>
      <c r="Z231" t="str">
        <f t="shared" si="210"/>
        <v>0.999998425353503+0.00349512741289073i</v>
      </c>
      <c r="AA231" s="4">
        <f t="shared" si="224"/>
        <v>1.0000045333022836</v>
      </c>
      <c r="AB231" s="4">
        <f t="shared" si="225"/>
        <v>3.495118684466083E-3</v>
      </c>
      <c r="AC231" s="48" t="str">
        <f t="shared" si="226"/>
        <v>6.24972112301592-8.11746037024737i</v>
      </c>
      <c r="AD231" s="20">
        <f t="shared" si="227"/>
        <v>20.209914513960797</v>
      </c>
      <c r="AE231" s="44">
        <f t="shared" si="228"/>
        <v>-52.406934298205023</v>
      </c>
      <c r="AF231" t="str">
        <f t="shared" si="229"/>
        <v>45.9520231294187</v>
      </c>
      <c r="AG231" t="str">
        <f t="shared" si="211"/>
        <v>1+0.598290618623328i</v>
      </c>
      <c r="AH231">
        <f t="shared" si="230"/>
        <v>1.1653118313707642</v>
      </c>
      <c r="AI231">
        <f t="shared" si="231"/>
        <v>0.53916165427185436</v>
      </c>
      <c r="AJ231" t="str">
        <f t="shared" si="212"/>
        <v>1+0.00135612540221288i</v>
      </c>
      <c r="AK231">
        <f t="shared" si="232"/>
        <v>1.0000009195376305</v>
      </c>
      <c r="AL231">
        <f t="shared" si="233"/>
        <v>1.3561245708745226E-3</v>
      </c>
      <c r="AM231" t="str">
        <f t="shared" si="213"/>
        <v>1-0.00303409715074911i</v>
      </c>
      <c r="AN231">
        <f t="shared" si="234"/>
        <v>1.000004602862167</v>
      </c>
      <c r="AO231">
        <f t="shared" si="235"/>
        <v>-3.0340878404251175E-3</v>
      </c>
      <c r="AP231" s="42" t="str">
        <f t="shared" si="236"/>
        <v>33.8053860796689-20.3025515470048i</v>
      </c>
      <c r="AQ231">
        <f t="shared" si="237"/>
        <v>31.917297586261377</v>
      </c>
      <c r="AR231" s="44">
        <f t="shared" si="238"/>
        <v>-30.987827478592116</v>
      </c>
      <c r="AS231" t="str">
        <f t="shared" si="214"/>
        <v>-0.000166666666666667</v>
      </c>
      <c r="AT231" t="str">
        <f t="shared" si="215"/>
        <v>0.000106964391099541i</v>
      </c>
      <c r="AU231">
        <f t="shared" si="239"/>
        <v>1.0696439109954101E-4</v>
      </c>
      <c r="AV231">
        <f t="shared" si="240"/>
        <v>1.5707963267948966</v>
      </c>
      <c r="AW231" t="str">
        <f t="shared" si="216"/>
        <v>1+0.0194875865048578i</v>
      </c>
      <c r="AX231">
        <f t="shared" si="241"/>
        <v>1.0001898649895349</v>
      </c>
      <c r="AY231">
        <f t="shared" si="242"/>
        <v>1.9485120159041341E-2</v>
      </c>
      <c r="AZ231" t="str">
        <f t="shared" si="217"/>
        <v>1+0.396666680147267i</v>
      </c>
      <c r="BA231">
        <f t="shared" si="243"/>
        <v>1.0757994493115592</v>
      </c>
      <c r="BB231">
        <f t="shared" si="244"/>
        <v>0.37762952673141065</v>
      </c>
      <c r="BC231" s="42" t="str">
        <f t="shared" si="245"/>
        <v>-0.587478855248731+1.56959948621174i</v>
      </c>
      <c r="BD231">
        <f t="shared" si="246"/>
        <v>4.4851678899131961</v>
      </c>
      <c r="BE231" s="44">
        <f t="shared" si="247"/>
        <v>110.52016295281412</v>
      </c>
      <c r="BF231" s="42" t="str">
        <f t="shared" si="248"/>
        <v>9.06958261551123+14.5783953894923i</v>
      </c>
      <c r="BG231" s="20">
        <f t="shared" si="249"/>
        <v>24.69508240387399</v>
      </c>
      <c r="BH231" s="44">
        <f t="shared" si="250"/>
        <v>58.113228654609067</v>
      </c>
      <c r="BI231" s="42" t="str">
        <f t="shared" si="203"/>
        <v>12.0069249616408+64.9882363633005i</v>
      </c>
      <c r="BJ231" s="20">
        <f t="shared" si="251"/>
        <v>36.402465476174562</v>
      </c>
      <c r="BK231" s="44">
        <f t="shared" si="204"/>
        <v>79.532335474222023</v>
      </c>
      <c r="BL231">
        <f t="shared" si="252"/>
        <v>24.69508240387399</v>
      </c>
      <c r="BM231" s="44">
        <f t="shared" si="253"/>
        <v>58.113228654609067</v>
      </c>
    </row>
    <row r="232" spans="14:65" x14ac:dyDescent="0.35">
      <c r="N232" s="9">
        <v>14</v>
      </c>
      <c r="O232" s="35">
        <f t="shared" si="254"/>
        <v>1380.3842646028863</v>
      </c>
      <c r="P232" s="34" t="str">
        <f t="shared" si="206"/>
        <v>16.3709677419355</v>
      </c>
      <c r="Q232" s="4" t="str">
        <f t="shared" si="207"/>
        <v>1+1.27580123196914i</v>
      </c>
      <c r="R232" s="4">
        <f t="shared" si="218"/>
        <v>1.6210085698397698</v>
      </c>
      <c r="S232" s="4">
        <f t="shared" si="219"/>
        <v>0.90599868020142071</v>
      </c>
      <c r="T232" s="4" t="str">
        <f t="shared" si="208"/>
        <v>1+0.00138771362073836i</v>
      </c>
      <c r="U232" s="4">
        <f t="shared" si="220"/>
        <v>1.0000009628740829</v>
      </c>
      <c r="V232" s="4">
        <f t="shared" si="221"/>
        <v>1.3877127299433071E-3</v>
      </c>
      <c r="W232" t="str">
        <f t="shared" si="209"/>
        <v>1-0.0181606399856831i</v>
      </c>
      <c r="X232" s="4">
        <f t="shared" si="222"/>
        <v>1.0001648908278522</v>
      </c>
      <c r="Y232" s="4">
        <f t="shared" si="223"/>
        <v>-1.8158643867439851E-2</v>
      </c>
      <c r="Z232" t="str">
        <f t="shared" si="210"/>
        <v>0.999998351142699+0.00357653938873945i</v>
      </c>
      <c r="AA232" s="4">
        <f t="shared" si="224"/>
        <v>1.000004746949791</v>
      </c>
      <c r="AB232" s="4">
        <f t="shared" si="225"/>
        <v>3.5765300360662499E-3</v>
      </c>
      <c r="AC232" s="48" t="str">
        <f t="shared" si="226"/>
        <v>6.0681915720137-8.07494459087075i</v>
      </c>
      <c r="AD232" s="20">
        <f t="shared" si="227"/>
        <v>20.087180075442696</v>
      </c>
      <c r="AE232" s="44">
        <f t="shared" si="228"/>
        <v>-53.075724269015538</v>
      </c>
      <c r="AF232" t="str">
        <f t="shared" si="229"/>
        <v>45.9520231294187</v>
      </c>
      <c r="AG232" t="str">
        <f t="shared" si="211"/>
        <v>1+0.612226597384569i</v>
      </c>
      <c r="AH232">
        <f t="shared" si="230"/>
        <v>1.1725277849778601</v>
      </c>
      <c r="AI232">
        <f t="shared" si="231"/>
        <v>0.54936117364227455</v>
      </c>
      <c r="AJ232" t="str">
        <f t="shared" si="212"/>
        <v>1+0.00138771362073836i</v>
      </c>
      <c r="AK232">
        <f t="shared" si="232"/>
        <v>1.0000009628740829</v>
      </c>
      <c r="AL232">
        <f t="shared" si="233"/>
        <v>1.3877127299433071E-3</v>
      </c>
      <c r="AM232" t="str">
        <f t="shared" si="213"/>
        <v>1-0.00310477035226057i</v>
      </c>
      <c r="AN232">
        <f t="shared" si="234"/>
        <v>1.0000048197878548</v>
      </c>
      <c r="AO232">
        <f t="shared" si="235"/>
        <v>-3.1047603760712707E-3</v>
      </c>
      <c r="AP232" s="42" t="str">
        <f t="shared" si="236"/>
        <v>33.3890022751029-20.5205374835933i</v>
      </c>
      <c r="AQ232">
        <f t="shared" si="237"/>
        <v>31.863680107277279</v>
      </c>
      <c r="AR232" s="44">
        <f t="shared" si="238"/>
        <v>-31.574456261401888</v>
      </c>
      <c r="AS232" t="str">
        <f t="shared" si="214"/>
        <v>-0.000166666666666667</v>
      </c>
      <c r="AT232" t="str">
        <f t="shared" si="215"/>
        <v>0.000109455911835738i</v>
      </c>
      <c r="AU232">
        <f t="shared" si="239"/>
        <v>1.0945591183573799E-4</v>
      </c>
      <c r="AV232">
        <f t="shared" si="240"/>
        <v>1.5707963267948966</v>
      </c>
      <c r="AW232" t="str">
        <f t="shared" si="216"/>
        <v>1+0.019941510706886i</v>
      </c>
      <c r="AX232">
        <f t="shared" si="241"/>
        <v>1.0001988121614986</v>
      </c>
      <c r="AY232">
        <f t="shared" si="242"/>
        <v>1.9938867998100525E-2</v>
      </c>
      <c r="AZ232" t="str">
        <f t="shared" si="217"/>
        <v>1+0.40590623406597i</v>
      </c>
      <c r="BA232">
        <f t="shared" si="243"/>
        <v>1.0792404138344793</v>
      </c>
      <c r="BB232">
        <f t="shared" si="244"/>
        <v>0.38558756587084103</v>
      </c>
      <c r="BC232" s="42" t="str">
        <f t="shared" si="245"/>
        <v>-0.587468344836665+1.53439810189678i</v>
      </c>
      <c r="BD232">
        <f t="shared" si="246"/>
        <v>4.3128278341494273</v>
      </c>
      <c r="BE232" s="44">
        <f t="shared" si="247"/>
        <v>110.95012717256225</v>
      </c>
      <c r="BF232" s="42" t="str">
        <f t="shared" si="248"/>
        <v>8.82530919419106+14.0547959634905i</v>
      </c>
      <c r="BG232" s="20">
        <f t="shared" si="249"/>
        <v>24.400007909592134</v>
      </c>
      <c r="BH232" s="44">
        <f t="shared" si="250"/>
        <v>57.874402903546745</v>
      </c>
      <c r="BI232" s="42" t="str">
        <f t="shared" si="203"/>
        <v>11.8716918624249+63.2871879057905i</v>
      </c>
      <c r="BJ232" s="20">
        <f t="shared" si="251"/>
        <v>36.176507941426713</v>
      </c>
      <c r="BK232" s="44">
        <f t="shared" si="204"/>
        <v>79.375670911160427</v>
      </c>
      <c r="BL232">
        <f t="shared" si="252"/>
        <v>24.400007909592134</v>
      </c>
      <c r="BM232" s="44">
        <f t="shared" si="253"/>
        <v>57.874402903546745</v>
      </c>
    </row>
    <row r="233" spans="14:65" x14ac:dyDescent="0.35">
      <c r="N233" s="9">
        <v>15</v>
      </c>
      <c r="O233" s="35">
        <f t="shared" si="254"/>
        <v>1412.5375446227545</v>
      </c>
      <c r="P233" s="34" t="str">
        <f t="shared" si="206"/>
        <v>16.3709677419355</v>
      </c>
      <c r="Q233" s="4" t="str">
        <f t="shared" si="207"/>
        <v>1+1.30551846021717i</v>
      </c>
      <c r="R233" s="4">
        <f t="shared" si="218"/>
        <v>1.6444994527113139</v>
      </c>
      <c r="S233" s="4">
        <f t="shared" si="219"/>
        <v>0.91714671335056264</v>
      </c>
      <c r="T233" s="4" t="str">
        <f t="shared" si="208"/>
        <v>1+0.00142003762339412i</v>
      </c>
      <c r="U233" s="4">
        <f t="shared" si="220"/>
        <v>1.0000010082529176</v>
      </c>
      <c r="V233" s="4">
        <f t="shared" si="221"/>
        <v>1.4200366688900757E-3</v>
      </c>
      <c r="W233" t="str">
        <f t="shared" si="209"/>
        <v>1-0.0185836556326832i</v>
      </c>
      <c r="X233" s="4">
        <f t="shared" si="222"/>
        <v>1.0001726612223882</v>
      </c>
      <c r="Y233" s="4">
        <f t="shared" si="223"/>
        <v>-1.8581516773391638E-2</v>
      </c>
      <c r="Z233" t="str">
        <f t="shared" si="210"/>
        <v>0.999998273434449+0.00365984769311317i</v>
      </c>
      <c r="AA233" s="4">
        <f t="shared" si="224"/>
        <v>1.0000049706661542</v>
      </c>
      <c r="AB233" s="4">
        <f t="shared" si="225"/>
        <v>3.6598376715458705E-3</v>
      </c>
      <c r="AC233" s="48" t="str">
        <f t="shared" si="226"/>
        <v>5.88864763771689-8.02863618904806i</v>
      </c>
      <c r="AD233" s="20">
        <f t="shared" si="227"/>
        <v>19.962277559190536</v>
      </c>
      <c r="AE233" s="44">
        <f t="shared" si="228"/>
        <v>-53.741609501750091</v>
      </c>
      <c r="AF233" t="str">
        <f t="shared" si="229"/>
        <v>45.9520231294187</v>
      </c>
      <c r="AG233" t="str">
        <f t="shared" si="211"/>
        <v>1+0.62648718679152i</v>
      </c>
      <c r="AH233">
        <f t="shared" si="230"/>
        <v>1.1800365228305236</v>
      </c>
      <c r="AI233">
        <f t="shared" si="231"/>
        <v>0.55966803829630096</v>
      </c>
      <c r="AJ233" t="str">
        <f t="shared" si="212"/>
        <v>1+0.00142003762339412i</v>
      </c>
      <c r="AK233">
        <f t="shared" si="232"/>
        <v>1.0000010082529176</v>
      </c>
      <c r="AL233">
        <f t="shared" si="233"/>
        <v>1.4200366688900757E-3</v>
      </c>
      <c r="AM233" t="str">
        <f t="shared" si="213"/>
        <v>1-0.00317708974410929i</v>
      </c>
      <c r="AN233">
        <f t="shared" si="234"/>
        <v>1.0000050469368853</v>
      </c>
      <c r="AO233">
        <f t="shared" si="235"/>
        <v>-3.1770790544327766E-3</v>
      </c>
      <c r="AP233" s="42" t="str">
        <f t="shared" si="236"/>
        <v>32.9638081625637-20.7321435413906i</v>
      </c>
      <c r="AQ233">
        <f t="shared" si="237"/>
        <v>31.808236347341442</v>
      </c>
      <c r="AR233" s="44">
        <f t="shared" si="238"/>
        <v>-32.167287635861399</v>
      </c>
      <c r="AS233" t="str">
        <f t="shared" si="214"/>
        <v>-0.000166666666666667</v>
      </c>
      <c r="AT233" t="str">
        <f t="shared" si="215"/>
        <v>0.000112005467545211i</v>
      </c>
      <c r="AU233">
        <f t="shared" si="239"/>
        <v>1.12005467545211E-4</v>
      </c>
      <c r="AV233">
        <f t="shared" si="240"/>
        <v>1.5707963267948966</v>
      </c>
      <c r="AW233" t="str">
        <f t="shared" si="216"/>
        <v>1+0.0204060081618481i</v>
      </c>
      <c r="AX233">
        <f t="shared" si="241"/>
        <v>1.0002081809149039</v>
      </c>
      <c r="AY233">
        <f t="shared" si="242"/>
        <v>2.040317648019746E-2</v>
      </c>
      <c r="AZ233" t="str">
        <f t="shared" si="217"/>
        <v>1+0.415361004842778i</v>
      </c>
      <c r="BA233">
        <f t="shared" si="243"/>
        <v>1.0828318264365904</v>
      </c>
      <c r="BB233">
        <f t="shared" si="244"/>
        <v>0.3936780876310722</v>
      </c>
      <c r="BC233" s="42" t="str">
        <f t="shared" si="245"/>
        <v>-0.587457339487206+1.50001025601292i</v>
      </c>
      <c r="BD233">
        <f t="shared" si="246"/>
        <v>4.141602718879442</v>
      </c>
      <c r="BE233" s="44">
        <f t="shared" si="247"/>
        <v>111.38707700706593</v>
      </c>
      <c r="BF233" s="42" t="str">
        <f t="shared" si="248"/>
        <v>8.58370735093779+13.5495131059505i</v>
      </c>
      <c r="BG233" s="20">
        <f t="shared" si="249"/>
        <v>24.103880278069994</v>
      </c>
      <c r="BH233" s="44">
        <f t="shared" si="250"/>
        <v>57.645467505315906</v>
      </c>
      <c r="BI233" s="42" t="str">
        <f t="shared" si="203"/>
        <v>11.7335968986716+61.6253002077801i</v>
      </c>
      <c r="BJ233" s="20">
        <f t="shared" si="251"/>
        <v>35.949839066220875</v>
      </c>
      <c r="BK233" s="44">
        <f t="shared" si="204"/>
        <v>79.219789371204541</v>
      </c>
      <c r="BL233">
        <f t="shared" si="252"/>
        <v>24.103880278069994</v>
      </c>
      <c r="BM233" s="44">
        <f t="shared" si="253"/>
        <v>57.645467505315906</v>
      </c>
    </row>
    <row r="234" spans="14:65" x14ac:dyDescent="0.35">
      <c r="N234" s="9">
        <v>16</v>
      </c>
      <c r="O234" s="35">
        <f t="shared" si="254"/>
        <v>1445.4397707459289</v>
      </c>
      <c r="P234" s="34" t="str">
        <f t="shared" si="206"/>
        <v>16.3709677419355</v>
      </c>
      <c r="Q234" s="4" t="str">
        <f t="shared" si="207"/>
        <v>1+1.33592789163339i</v>
      </c>
      <c r="R234" s="4">
        <f t="shared" si="218"/>
        <v>1.6687430394293887</v>
      </c>
      <c r="S234" s="4">
        <f t="shared" si="219"/>
        <v>0.92822809692248021</v>
      </c>
      <c r="T234" s="4" t="str">
        <f t="shared" si="208"/>
        <v>1+0.00145311454879422i</v>
      </c>
      <c r="U234" s="4">
        <f t="shared" si="220"/>
        <v>1.0000010557703887</v>
      </c>
      <c r="V234" s="4">
        <f t="shared" si="221"/>
        <v>1.453113526024768E-3</v>
      </c>
      <c r="W234" t="str">
        <f t="shared" si="209"/>
        <v>1-0.0190165245798835i</v>
      </c>
      <c r="X234" s="4">
        <f t="shared" si="222"/>
        <v>1.0001807977596338</v>
      </c>
      <c r="Y234" s="4">
        <f t="shared" si="223"/>
        <v>-1.9014232773235759E-2</v>
      </c>
      <c r="Z234" t="str">
        <f t="shared" si="210"/>
        <v>0.999998192063921+0.00374509649717759i</v>
      </c>
      <c r="AA234" s="4">
        <f t="shared" si="224"/>
        <v>1.0000052049258963</v>
      </c>
      <c r="AB234" s="4">
        <f t="shared" si="225"/>
        <v>3.7450857588776703E-3</v>
      </c>
      <c r="AC234" s="48" t="str">
        <f t="shared" si="226"/>
        <v>5.71124404393845-7.97864863023834i</v>
      </c>
      <c r="AD234" s="20">
        <f t="shared" si="227"/>
        <v>19.835231919332202</v>
      </c>
      <c r="AE234" s="44">
        <f t="shared" si="228"/>
        <v>-54.404308003407763</v>
      </c>
      <c r="AF234" t="str">
        <f t="shared" si="229"/>
        <v>45.9520231294187</v>
      </c>
      <c r="AG234" t="str">
        <f t="shared" si="211"/>
        <v>1+0.641079947997447i</v>
      </c>
      <c r="AH234">
        <f t="shared" si="230"/>
        <v>1.1878482646047051</v>
      </c>
      <c r="AI234">
        <f t="shared" si="231"/>
        <v>0.57007895338567216</v>
      </c>
      <c r="AJ234" t="str">
        <f t="shared" si="212"/>
        <v>1+0.00145311454879422i</v>
      </c>
      <c r="AK234">
        <f t="shared" si="232"/>
        <v>1.0000010557703887</v>
      </c>
      <c r="AL234">
        <f t="shared" si="233"/>
        <v>1.453113526024768E-3</v>
      </c>
      <c r="AM234" t="str">
        <f t="shared" si="213"/>
        <v>1-0.00325109367099409i</v>
      </c>
      <c r="AN234">
        <f t="shared" si="234"/>
        <v>1.0000052847910643</v>
      </c>
      <c r="AO234">
        <f t="shared" si="235"/>
        <v>-3.251082216802609E-3</v>
      </c>
      <c r="AP234" s="42" t="str">
        <f t="shared" si="236"/>
        <v>32.5299861417673-20.9369426023314i</v>
      </c>
      <c r="AQ234">
        <f t="shared" si="237"/>
        <v>31.750928459035915</v>
      </c>
      <c r="AR234" s="44">
        <f t="shared" si="238"/>
        <v>-32.766134035912451</v>
      </c>
      <c r="AS234" t="str">
        <f t="shared" si="214"/>
        <v>-0.000166666666666667</v>
      </c>
      <c r="AT234" t="str">
        <f t="shared" si="215"/>
        <v>0.000114614410036144i</v>
      </c>
      <c r="AU234">
        <f t="shared" si="239"/>
        <v>1.1461441003614401E-4</v>
      </c>
      <c r="AV234">
        <f t="shared" si="240"/>
        <v>1.5707963267948966</v>
      </c>
      <c r="AW234" t="str">
        <f t="shared" si="216"/>
        <v>1+0.020881325152443i</v>
      </c>
      <c r="AX234">
        <f t="shared" si="241"/>
        <v>1.0002179911099991</v>
      </c>
      <c r="AY234">
        <f t="shared" si="242"/>
        <v>2.0878290986602169E-2</v>
      </c>
      <c r="AZ234" t="str">
        <f t="shared" si="217"/>
        <v>1+0.425036005522308i</v>
      </c>
      <c r="BA234">
        <f t="shared" si="243"/>
        <v>1.0865797743333709</v>
      </c>
      <c r="BB234">
        <f t="shared" si="244"/>
        <v>0.40190114404659921</v>
      </c>
      <c r="BC234" s="42" t="str">
        <f t="shared" si="245"/>
        <v>-0.587445815913548+1.46641771425759i</v>
      </c>
      <c r="BD234">
        <f t="shared" si="246"/>
        <v>3.9715296223700802</v>
      </c>
      <c r="BE234" s="44">
        <f t="shared" si="247"/>
        <v>111.83100137837117</v>
      </c>
      <c r="BF234" s="42" t="str">
        <f t="shared" si="248"/>
        <v>8.34498526994575+13.0620931909574i</v>
      </c>
      <c r="BG234" s="20">
        <f t="shared" si="249"/>
        <v>23.806761541702301</v>
      </c>
      <c r="BH234" s="44">
        <f t="shared" si="250"/>
        <v>57.426693374963456</v>
      </c>
      <c r="BI234" s="42" t="str">
        <f t="shared" si="203"/>
        <v>11.5926992637463+60.0018672526032i</v>
      </c>
      <c r="BJ234" s="20">
        <f t="shared" si="251"/>
        <v>35.722458081405996</v>
      </c>
      <c r="BK234" s="44">
        <f t="shared" si="204"/>
        <v>79.064867342458712</v>
      </c>
      <c r="BL234">
        <f t="shared" si="252"/>
        <v>23.806761541702301</v>
      </c>
      <c r="BM234" s="44">
        <f t="shared" si="253"/>
        <v>57.426693374963456</v>
      </c>
    </row>
    <row r="235" spans="14:65" x14ac:dyDescent="0.35">
      <c r="N235" s="9">
        <v>17</v>
      </c>
      <c r="O235" s="35">
        <f t="shared" si="254"/>
        <v>1479.1083881682086</v>
      </c>
      <c r="P235" s="34" t="str">
        <f t="shared" si="206"/>
        <v>16.3709677419355</v>
      </c>
      <c r="Q235" s="4" t="str">
        <f t="shared" si="207"/>
        <v>1+1.36704564970085i</v>
      </c>
      <c r="R235" s="4">
        <f t="shared" si="218"/>
        <v>1.6937573050369465</v>
      </c>
      <c r="S235" s="4">
        <f t="shared" si="219"/>
        <v>0.93923782075398576</v>
      </c>
      <c r="T235" s="4" t="str">
        <f t="shared" si="208"/>
        <v>1+0.00148696193476233i</v>
      </c>
      <c r="U235" s="4">
        <f t="shared" si="220"/>
        <v>1.0000011055272866</v>
      </c>
      <c r="V235" s="4">
        <f t="shared" si="221"/>
        <v>1.4869608388451828E-3</v>
      </c>
      <c r="W235" t="str">
        <f t="shared" si="209"/>
        <v>1-0.0194594763401295i</v>
      </c>
      <c r="X235" s="4">
        <f t="shared" si="222"/>
        <v>1.0001893176891223</v>
      </c>
      <c r="Y235" s="4">
        <f t="shared" si="223"/>
        <v>-1.9457020650166419E-2</v>
      </c>
      <c r="Z235" t="str">
        <f t="shared" si="210"/>
        <v>0.999998106858519+0.00383233100097703i</v>
      </c>
      <c r="AA235" s="4">
        <f t="shared" si="224"/>
        <v>1.000005450225909</v>
      </c>
      <c r="AB235" s="4">
        <f t="shared" si="225"/>
        <v>3.832319494684623E-3</v>
      </c>
      <c r="AC235" s="48" t="str">
        <f t="shared" si="226"/>
        <v>5.53612736795086-7.92510262260422i</v>
      </c>
      <c r="AD235" s="20">
        <f t="shared" si="227"/>
        <v>19.706069928504967</v>
      </c>
      <c r="AE235" s="44">
        <f t="shared" si="228"/>
        <v>-55.063547405845732</v>
      </c>
      <c r="AF235" t="str">
        <f t="shared" si="229"/>
        <v>45.9520231294187</v>
      </c>
      <c r="AG235" t="str">
        <f t="shared" si="211"/>
        <v>1+0.656012618277497i</v>
      </c>
      <c r="AH235">
        <f t="shared" si="230"/>
        <v>1.1959734760183007</v>
      </c>
      <c r="AI235">
        <f t="shared" si="231"/>
        <v>0.58059041134732858</v>
      </c>
      <c r="AJ235" t="str">
        <f t="shared" si="212"/>
        <v>1+0.00148696193476233i</v>
      </c>
      <c r="AK235">
        <f t="shared" si="232"/>
        <v>1.0000011055272866</v>
      </c>
      <c r="AL235">
        <f t="shared" si="233"/>
        <v>1.4869608388451828E-3</v>
      </c>
      <c r="AM235" t="str">
        <f t="shared" si="213"/>
        <v>1-0.00332682137077657i</v>
      </c>
      <c r="AN235">
        <f t="shared" si="234"/>
        <v>1.0000055338549048</v>
      </c>
      <c r="AO235">
        <f t="shared" si="235"/>
        <v>-3.3268090973929401E-3</v>
      </c>
      <c r="AP235" s="42" t="str">
        <f t="shared" si="236"/>
        <v>32.0877447427834-21.1345107066919i</v>
      </c>
      <c r="AQ235">
        <f t="shared" si="237"/>
        <v>31.691719443436103</v>
      </c>
      <c r="AR235" s="44">
        <f t="shared" si="238"/>
        <v>-33.370795736125544</v>
      </c>
      <c r="AS235" t="str">
        <f t="shared" si="214"/>
        <v>-0.000166666666666667</v>
      </c>
      <c r="AT235" t="str">
        <f t="shared" si="215"/>
        <v>0.000117284122604379i</v>
      </c>
      <c r="AU235">
        <f t="shared" si="239"/>
        <v>1.17284122604379E-4</v>
      </c>
      <c r="AV235">
        <f t="shared" si="240"/>
        <v>1.5707963267948966</v>
      </c>
      <c r="AW235" t="str">
        <f t="shared" si="216"/>
        <v>1+0.0213677136980308i</v>
      </c>
      <c r="AX235">
        <f t="shared" si="241"/>
        <v>1.0002282635422182</v>
      </c>
      <c r="AY235">
        <f t="shared" si="242"/>
        <v>2.1364462570827809E-2</v>
      </c>
      <c r="AZ235" t="str">
        <f t="shared" si="217"/>
        <v>1+0.434936365917981i</v>
      </c>
      <c r="BA235">
        <f t="shared" si="243"/>
        <v>1.0904905512648608</v>
      </c>
      <c r="BB235">
        <f t="shared" si="244"/>
        <v>0.41025664578376003</v>
      </c>
      <c r="BC235" s="42" t="str">
        <f t="shared" si="245"/>
        <v>-0.587433749735138+1.43360266390819i</v>
      </c>
      <c r="BD235">
        <f t="shared" si="246"/>
        <v>3.8026462196157294</v>
      </c>
      <c r="BE235" s="44">
        <f t="shared" si="247"/>
        <v>112.28188078372933</v>
      </c>
      <c r="BF235" s="42" t="str">
        <f t="shared" si="248"/>
        <v>8.1093401727445+12.5920796930616i</v>
      </c>
      <c r="BG235" s="20">
        <f t="shared" si="249"/>
        <v>23.508716148120715</v>
      </c>
      <c r="BH235" s="44">
        <f t="shared" si="250"/>
        <v>57.218333377883695</v>
      </c>
      <c r="BI235" s="42" t="str">
        <f t="shared" si="203"/>
        <v>11.4490666347125+58.4162012153097i</v>
      </c>
      <c r="BJ235" s="20">
        <f t="shared" si="251"/>
        <v>35.49436566305183</v>
      </c>
      <c r="BK235" s="44">
        <f t="shared" si="204"/>
        <v>78.911085047603748</v>
      </c>
      <c r="BL235">
        <f t="shared" si="252"/>
        <v>23.508716148120715</v>
      </c>
      <c r="BM235" s="44">
        <f t="shared" si="253"/>
        <v>57.218333377883695</v>
      </c>
    </row>
    <row r="236" spans="14:65" x14ac:dyDescent="0.35">
      <c r="N236" s="9">
        <v>18</v>
      </c>
      <c r="O236" s="35">
        <f t="shared" si="254"/>
        <v>1513.5612484362093</v>
      </c>
      <c r="P236" s="34" t="str">
        <f t="shared" si="206"/>
        <v>16.3709677419355</v>
      </c>
      <c r="Q236" s="4" t="str">
        <f t="shared" si="207"/>
        <v>1+1.39888823346677i</v>
      </c>
      <c r="R236" s="4">
        <f t="shared" si="218"/>
        <v>1.7195604931876576</v>
      </c>
      <c r="S236" s="4">
        <f t="shared" si="219"/>
        <v>0.95017104642194961</v>
      </c>
      <c r="T236" s="4" t="str">
        <f t="shared" si="208"/>
        <v>1+0.00152159772763052i</v>
      </c>
      <c r="U236" s="4">
        <f t="shared" si="220"/>
        <v>1.0000011576291523</v>
      </c>
      <c r="V236" s="4">
        <f t="shared" si="221"/>
        <v>1.5215965533342131E-3</v>
      </c>
      <c r="W236" t="str">
        <f t="shared" si="209"/>
        <v>1-0.0199127457723076i</v>
      </c>
      <c r="X236" s="4">
        <f t="shared" si="222"/>
        <v>1.0001982390727313</v>
      </c>
      <c r="Y236" s="4">
        <f t="shared" si="223"/>
        <v>-1.9910114481270752E-2</v>
      </c>
      <c r="Z236" t="str">
        <f t="shared" si="210"/>
        <v>0.99999801763751+0.00392159745740008i</v>
      </c>
      <c r="AA236" s="4">
        <f t="shared" si="224"/>
        <v>1.0000057070864983</v>
      </c>
      <c r="AB236" s="4">
        <f t="shared" si="225"/>
        <v>3.9215851281892943E-3</v>
      </c>
      <c r="AC236" s="48" t="str">
        <f t="shared" si="226"/>
        <v>5.36343565046658-7.86812543824642i</v>
      </c>
      <c r="AD236" s="20">
        <f t="shared" si="227"/>
        <v>19.574820077796915</v>
      </c>
      <c r="AE236" s="44">
        <f t="shared" si="228"/>
        <v>-55.719065521124726</v>
      </c>
      <c r="AF236" t="str">
        <f t="shared" si="229"/>
        <v>45.9520231294187</v>
      </c>
      <c r="AG236" t="str">
        <f t="shared" si="211"/>
        <v>1+0.671293115131112i</v>
      </c>
      <c r="AH236">
        <f t="shared" si="230"/>
        <v>1.2044228686065506</v>
      </c>
      <c r="AI236">
        <f t="shared" si="231"/>
        <v>0.59119869394122293</v>
      </c>
      <c r="AJ236" t="str">
        <f t="shared" si="212"/>
        <v>1+0.00152159772763052i</v>
      </c>
      <c r="AK236">
        <f t="shared" si="232"/>
        <v>1.0000011576291523</v>
      </c>
      <c r="AL236">
        <f t="shared" si="233"/>
        <v>1.5215965533342131E-3</v>
      </c>
      <c r="AM236" t="str">
        <f t="shared" si="213"/>
        <v>1-0.00340431299528551i</v>
      </c>
      <c r="AN236">
        <f t="shared" si="234"/>
        <v>1.0000057946566958</v>
      </c>
      <c r="AO236">
        <f t="shared" si="235"/>
        <v>-3.4042998441221255E-3</v>
      </c>
      <c r="AP236" s="42" t="str">
        <f t="shared" si="236"/>
        <v>31.6373188537891-21.3244289032817i</v>
      </c>
      <c r="AQ236">
        <f t="shared" si="237"/>
        <v>31.630573264080684</v>
      </c>
      <c r="AR236" s="44">
        <f t="shared" si="238"/>
        <v>-33.981060969116037</v>
      </c>
      <c r="AS236" t="str">
        <f t="shared" si="214"/>
        <v>-0.000166666666666667</v>
      </c>
      <c r="AT236" t="str">
        <f t="shared" si="215"/>
        <v>0.000120016020766858i</v>
      </c>
      <c r="AU236">
        <f t="shared" si="239"/>
        <v>1.20016020766858E-4</v>
      </c>
      <c r="AV236">
        <f t="shared" si="240"/>
        <v>1.5707963267948966</v>
      </c>
      <c r="AW236" t="str">
        <f t="shared" si="216"/>
        <v>1+0.0218654316882564i</v>
      </c>
      <c r="AX236">
        <f t="shared" si="241"/>
        <v>1.0002390199861801</v>
      </c>
      <c r="AY236">
        <f t="shared" si="242"/>
        <v>2.1861948087653387E-2</v>
      </c>
      <c r="AZ236" t="str">
        <f t="shared" si="217"/>
        <v>1+0.445067335331928i</v>
      </c>
      <c r="BA236">
        <f t="shared" si="243"/>
        <v>1.0945706614830597</v>
      </c>
      <c r="BB236">
        <f t="shared" si="244"/>
        <v>0.41874435531369952</v>
      </c>
      <c r="BC236" s="42" t="str">
        <f t="shared" si="245"/>
        <v>-0.58742111542652+1.40154770437034i</v>
      </c>
      <c r="BD236">
        <f t="shared" si="246"/>
        <v>3.6349907393381322</v>
      </c>
      <c r="BE236" s="44">
        <f t="shared" si="247"/>
        <v>112.73968689704493</v>
      </c>
      <c r="BF236" s="42" t="str">
        <f t="shared" si="248"/>
        <v>7.8769577933567+12.1390139447i</v>
      </c>
      <c r="BG236" s="20">
        <f t="shared" si="249"/>
        <v>23.209810817135068</v>
      </c>
      <c r="BH236" s="44">
        <f t="shared" si="250"/>
        <v>57.0206213759203</v>
      </c>
      <c r="BI236" s="42" t="str">
        <f t="shared" si="203"/>
        <v>11.3027752462057+56.8676314241598i</v>
      </c>
      <c r="BJ236" s="20">
        <f t="shared" si="251"/>
        <v>35.26556400341881</v>
      </c>
      <c r="BK236" s="44">
        <f t="shared" si="204"/>
        <v>78.758625927928918</v>
      </c>
      <c r="BL236">
        <f t="shared" si="252"/>
        <v>23.209810817135068</v>
      </c>
      <c r="BM236" s="44">
        <f t="shared" si="253"/>
        <v>57.0206213759203</v>
      </c>
    </row>
    <row r="237" spans="14:65" x14ac:dyDescent="0.35">
      <c r="N237" s="9">
        <v>19</v>
      </c>
      <c r="O237" s="35">
        <f t="shared" si="254"/>
        <v>1548.8166189124822</v>
      </c>
      <c r="P237" s="34" t="str">
        <f t="shared" si="206"/>
        <v>16.3709677419355</v>
      </c>
      <c r="Q237" s="4" t="str">
        <f t="shared" si="207"/>
        <v>1+1.43147252629055i</v>
      </c>
      <c r="R237" s="4">
        <f t="shared" si="218"/>
        <v>1.7461711237804416</v>
      </c>
      <c r="S237" s="4">
        <f t="shared" si="219"/>
        <v>0.96102311584907862</v>
      </c>
      <c r="T237" s="4" t="str">
        <f t="shared" si="208"/>
        <v>1+0.00155704029175464i</v>
      </c>
      <c r="U237" s="4">
        <f t="shared" si="220"/>
        <v>1.0000012121865003</v>
      </c>
      <c r="V237" s="4">
        <f t="shared" si="221"/>
        <v>1.5570390334735595E-3</v>
      </c>
      <c r="W237" t="str">
        <f t="shared" si="209"/>
        <v>1-0.0203765732058706i</v>
      </c>
      <c r="X237" s="4">
        <f t="shared" si="222"/>
        <v>1.0002075808229081</v>
      </c>
      <c r="Y237" s="4">
        <f t="shared" si="223"/>
        <v>-2.0373753758329172E-2</v>
      </c>
      <c r="Z237" t="str">
        <f t="shared" si="210"/>
        <v>0.999997924211644+0.00401294319670353i</v>
      </c>
      <c r="AA237" s="4">
        <f t="shared" si="224"/>
        <v>1.000005976052492</v>
      </c>
      <c r="AB237" s="4">
        <f t="shared" si="225"/>
        <v>4.0129299857202634E-3</v>
      </c>
      <c r="AC237" s="48" t="str">
        <f t="shared" si="226"/>
        <v>5.19329806982856-7.80785021492593i</v>
      </c>
      <c r="AD237" s="20">
        <f t="shared" si="227"/>
        <v>19.441512472397626</v>
      </c>
      <c r="AE237" s="44">
        <f t="shared" si="228"/>
        <v>-56.37061084236332</v>
      </c>
      <c r="AF237" t="str">
        <f t="shared" si="229"/>
        <v>45.9520231294187</v>
      </c>
      <c r="AG237" t="str">
        <f t="shared" si="211"/>
        <v>1+0.686929540479984i</v>
      </c>
      <c r="AH237">
        <f t="shared" si="230"/>
        <v>1.213207399245505</v>
      </c>
      <c r="AI237">
        <f t="shared" si="231"/>
        <v>0.60189987522718147</v>
      </c>
      <c r="AJ237" t="str">
        <f t="shared" si="212"/>
        <v>1+0.00155704029175464i</v>
      </c>
      <c r="AK237">
        <f t="shared" si="232"/>
        <v>1.0000012121865003</v>
      </c>
      <c r="AL237">
        <f t="shared" si="233"/>
        <v>1.5570390334735595E-3</v>
      </c>
      <c r="AM237" t="str">
        <f t="shared" si="213"/>
        <v>1-0.00348360963160597i</v>
      </c>
      <c r="AN237">
        <f t="shared" si="234"/>
        <v>1.0000060677496239</v>
      </c>
      <c r="AO237">
        <f t="shared" si="235"/>
        <v>-3.4835955398851357E-3</v>
      </c>
      <c r="AP237" s="42" t="str">
        <f t="shared" si="236"/>
        <v>31.1789697992793-21.5062851557235i</v>
      </c>
      <c r="AQ237">
        <f t="shared" si="237"/>
        <v>31.567454961609236</v>
      </c>
      <c r="AR237" s="44">
        <f t="shared" si="238"/>
        <v>-34.596706096779201</v>
      </c>
      <c r="AS237" t="str">
        <f t="shared" si="214"/>
        <v>-0.000166666666666667</v>
      </c>
      <c r="AT237" t="str">
        <f t="shared" si="215"/>
        <v>0.000122811553012147i</v>
      </c>
      <c r="AU237">
        <f t="shared" si="239"/>
        <v>1.2281155301214699E-4</v>
      </c>
      <c r="AV237">
        <f t="shared" si="240"/>
        <v>1.5707963267948966</v>
      </c>
      <c r="AW237" t="str">
        <f t="shared" si="216"/>
        <v>1+0.0223747430197863i</v>
      </c>
      <c r="AX237">
        <f t="shared" si="241"/>
        <v>1.0002502832417501</v>
      </c>
      <c r="AY237">
        <f t="shared" si="242"/>
        <v>2.2371010324931422E-2</v>
      </c>
      <c r="AZ237" t="str">
        <f t="shared" si="217"/>
        <v>1+0.45543428533823i</v>
      </c>
      <c r="BA237">
        <f t="shared" si="243"/>
        <v>1.0988268235993988</v>
      </c>
      <c r="BB237">
        <f t="shared" si="244"/>
        <v>0.42736388016588089</v>
      </c>
      <c r="BC237" s="42" t="str">
        <f t="shared" si="245"/>
        <v>-0.58740788626376+1.37023583794421i</v>
      </c>
      <c r="BD237">
        <f t="shared" si="246"/>
        <v>3.4686019162902899</v>
      </c>
      <c r="BE237" s="44">
        <f t="shared" si="247"/>
        <v>113.20438217477748</v>
      </c>
      <c r="BF237" s="42" t="str">
        <f t="shared" si="248"/>
        <v>7.64801193985625+11.7024359234193i</v>
      </c>
      <c r="BG237" s="20">
        <f t="shared" si="249"/>
        <v>22.91011438868793</v>
      </c>
      <c r="BH237" s="44">
        <f t="shared" si="250"/>
        <v>56.833771332414237</v>
      </c>
      <c r="BI237" s="42" t="str">
        <f t="shared" si="203"/>
        <v>11.1539099157437+55.3555033138619i</v>
      </c>
      <c r="BJ237" s="20">
        <f t="shared" si="251"/>
        <v>35.036056877899526</v>
      </c>
      <c r="BK237" s="44">
        <f t="shared" si="204"/>
        <v>78.607676077998235</v>
      </c>
      <c r="BL237">
        <f t="shared" si="252"/>
        <v>22.91011438868793</v>
      </c>
      <c r="BM237" s="44">
        <f t="shared" si="253"/>
        <v>56.833771332414237</v>
      </c>
    </row>
    <row r="238" spans="14:65" x14ac:dyDescent="0.35">
      <c r="N238" s="9">
        <v>20</v>
      </c>
      <c r="O238" s="35">
        <f t="shared" si="254"/>
        <v>1584.8931924611156</v>
      </c>
      <c r="P238" s="34" t="str">
        <f t="shared" si="206"/>
        <v>16.3709677419355</v>
      </c>
      <c r="Q238" s="4" t="str">
        <f t="shared" si="207"/>
        <v>1+1.46481580479555i</v>
      </c>
      <c r="R238" s="4">
        <f t="shared" si="218"/>
        <v>1.7736080012164004</v>
      </c>
      <c r="S238" s="4">
        <f t="shared" si="219"/>
        <v>0.97178955893336927</v>
      </c>
      <c r="T238" s="4" t="str">
        <f t="shared" si="208"/>
        <v>1+0.0015933084192513i</v>
      </c>
      <c r="U238" s="4">
        <f t="shared" si="220"/>
        <v>1.0000012693150537</v>
      </c>
      <c r="V238" s="4">
        <f t="shared" si="221"/>
        <v>1.5933070709789232E-3</v>
      </c>
      <c r="W238" t="str">
        <f t="shared" si="209"/>
        <v>1-0.0208512045682632i</v>
      </c>
      <c r="X238" s="4">
        <f t="shared" si="222"/>
        <v>1.0002173627426929</v>
      </c>
      <c r="Y238" s="4">
        <f t="shared" si="223"/>
        <v>-2.0848183511249795E-2</v>
      </c>
      <c r="Z238" t="str">
        <f t="shared" si="210"/>
        <v>0.999997826382753+0.00410641665160745i</v>
      </c>
      <c r="AA238" s="4">
        <f t="shared" si="224"/>
        <v>1.0000062576943942</v>
      </c>
      <c r="AB238" s="4">
        <f t="shared" si="225"/>
        <v>4.1064024957884479E-3</v>
      </c>
      <c r="AC238" s="48" t="str">
        <f t="shared" si="226"/>
        <v>5.02583468079377-7.74441524495436i</v>
      </c>
      <c r="AD238" s="20">
        <f t="shared" si="227"/>
        <v>19.306178723734828</v>
      </c>
      <c r="AE238" s="44">
        <f t="shared" si="228"/>
        <v>-57.017942988825894</v>
      </c>
      <c r="AF238" t="str">
        <f t="shared" si="229"/>
        <v>45.9520231294187</v>
      </c>
      <c r="AG238" t="str">
        <f t="shared" si="211"/>
        <v>1+0.702930184963808i</v>
      </c>
      <c r="AH238">
        <f t="shared" si="230"/>
        <v>1.2223382694382325</v>
      </c>
      <c r="AI238">
        <f t="shared" si="231"/>
        <v>0.61268982550557749</v>
      </c>
      <c r="AJ238" t="str">
        <f t="shared" si="212"/>
        <v>1+0.0015933084192513i</v>
      </c>
      <c r="AK238">
        <f t="shared" si="232"/>
        <v>1.0000012693150537</v>
      </c>
      <c r="AL238">
        <f t="shared" si="233"/>
        <v>1.5933070709789232E-3</v>
      </c>
      <c r="AM238" t="str">
        <f t="shared" si="213"/>
        <v>1-0.00356475332386413i</v>
      </c>
      <c r="AN238">
        <f t="shared" si="234"/>
        <v>1.0000063537129451</v>
      </c>
      <c r="AO238">
        <f t="shared" si="235"/>
        <v>-3.5647382243183933E-3</v>
      </c>
      <c r="AP238" s="42" t="str">
        <f t="shared" si="236"/>
        <v>30.7129852599869-21.6796762914484i</v>
      </c>
      <c r="AQ238">
        <f t="shared" si="237"/>
        <v>31.502330768399535</v>
      </c>
      <c r="AR238" s="44">
        <f t="shared" si="238"/>
        <v>-35.217495836763355</v>
      </c>
      <c r="AS238" t="str">
        <f t="shared" si="214"/>
        <v>-0.000166666666666667</v>
      </c>
      <c r="AT238" t="str">
        <f t="shared" si="215"/>
        <v>0.000125672201568446i</v>
      </c>
      <c r="AU238">
        <f t="shared" si="239"/>
        <v>1.25672201568446E-4</v>
      </c>
      <c r="AV238">
        <f t="shared" si="240"/>
        <v>1.5707963267948966</v>
      </c>
      <c r="AW238" t="str">
        <f t="shared" si="216"/>
        <v>1+0.0228959177362301i</v>
      </c>
      <c r="AX238">
        <f t="shared" si="241"/>
        <v>1.0002620771822672</v>
      </c>
      <c r="AY238">
        <f t="shared" si="242"/>
        <v>2.2891918138228634E-2</v>
      </c>
      <c r="AZ238" t="str">
        <f t="shared" si="217"/>
        <v>1+0.466042712631005i</v>
      </c>
      <c r="BA238">
        <f t="shared" si="243"/>
        <v>1.1032659742765865</v>
      </c>
      <c r="BB238">
        <f t="shared" si="244"/>
        <v>0.43611466630319773</v>
      </c>
      <c r="BC238" s="42" t="str">
        <f t="shared" si="245"/>
        <v>-0.5873940342684+1.33965046080378i</v>
      </c>
      <c r="BD238">
        <f t="shared" si="246"/>
        <v>3.3035189387496651</v>
      </c>
      <c r="BE238" s="44">
        <f t="shared" si="247"/>
        <v>113.67591946864997</v>
      </c>
      <c r="BF238" s="42" t="str">
        <f t="shared" si="248"/>
        <v>7.42266414284144+11.2818850598324i</v>
      </c>
      <c r="BG238" s="20">
        <f t="shared" si="249"/>
        <v>22.609697662484471</v>
      </c>
      <c r="BH238" s="44">
        <f t="shared" si="250"/>
        <v>56.657976479823994</v>
      </c>
      <c r="BI238" s="42" t="str">
        <f t="shared" si="203"/>
        <v>11.002564017626+53.879177374668i</v>
      </c>
      <c r="BJ238" s="20">
        <f t="shared" si="251"/>
        <v>34.805849707149193</v>
      </c>
      <c r="BK238" s="44">
        <f t="shared" si="204"/>
        <v>78.458423631886646</v>
      </c>
      <c r="BL238">
        <f t="shared" si="252"/>
        <v>22.609697662484471</v>
      </c>
      <c r="BM238" s="44">
        <f t="shared" si="253"/>
        <v>56.657976479823994</v>
      </c>
    </row>
    <row r="239" spans="14:65" x14ac:dyDescent="0.35">
      <c r="N239" s="9">
        <v>21</v>
      </c>
      <c r="O239" s="35">
        <f t="shared" si="254"/>
        <v>1621.8100973589308</v>
      </c>
      <c r="P239" s="34" t="str">
        <f t="shared" si="206"/>
        <v>16.3709677419355</v>
      </c>
      <c r="Q239" s="4" t="str">
        <f t="shared" si="207"/>
        <v>1+1.49893574802937i</v>
      </c>
      <c r="R239" s="4">
        <f t="shared" si="218"/>
        <v>1.8018902232712088</v>
      </c>
      <c r="S239" s="4">
        <f t="shared" si="219"/>
        <v>0.9824661001880115</v>
      </c>
      <c r="T239" s="4" t="str">
        <f t="shared" si="208"/>
        <v>1+0.00163042133996178i</v>
      </c>
      <c r="U239" s="4">
        <f t="shared" si="220"/>
        <v>1.0000013291359895</v>
      </c>
      <c r="V239" s="4">
        <f t="shared" si="221"/>
        <v>1.6304198952620033E-3</v>
      </c>
      <c r="W239" t="str">
        <f t="shared" si="209"/>
        <v>1-0.0213368915153161i</v>
      </c>
      <c r="X239" s="4">
        <f t="shared" si="222"/>
        <v>1.0002276055676209</v>
      </c>
      <c r="Y239" s="4">
        <f t="shared" si="223"/>
        <v>-2.133365443418667E-2</v>
      </c>
      <c r="Z239" t="str">
        <f t="shared" si="210"/>
        <v>0.999997723943328+0.00420206738297489i</v>
      </c>
      <c r="AA239" s="4">
        <f t="shared" si="224"/>
        <v>1.0000065526095954</v>
      </c>
      <c r="AB239" s="4">
        <f t="shared" si="225"/>
        <v>4.2020522147467199E-3</v>
      </c>
      <c r="AC239" s="48" t="str">
        <f t="shared" si="226"/>
        <v>4.86115621754791-7.67796325778435i</v>
      </c>
      <c r="AD239" s="20">
        <f t="shared" si="227"/>
        <v>19.168851838873174</v>
      </c>
      <c r="AE239" s="44">
        <f t="shared" si="228"/>
        <v>-57.66083309448544</v>
      </c>
      <c r="AF239" t="str">
        <f t="shared" si="229"/>
        <v>45.9520231294187</v>
      </c>
      <c r="AG239" t="str">
        <f t="shared" si="211"/>
        <v>1+0.719303532336076i</v>
      </c>
      <c r="AH239">
        <f t="shared" si="230"/>
        <v>1.2318269243814881</v>
      </c>
      <c r="AI239">
        <f t="shared" si="231"/>
        <v>0.6235642162395254</v>
      </c>
      <c r="AJ239" t="str">
        <f t="shared" si="212"/>
        <v>1+0.00163042133996178i</v>
      </c>
      <c r="AK239">
        <f t="shared" si="232"/>
        <v>1.0000013291359895</v>
      </c>
      <c r="AL239">
        <f t="shared" si="233"/>
        <v>1.6304198952620033E-3</v>
      </c>
      <c r="AM239" t="str">
        <f t="shared" si="213"/>
        <v>1-0.00364778709551968i</v>
      </c>
      <c r="AN239">
        <f t="shared" si="234"/>
        <v>1.0000066531532148</v>
      </c>
      <c r="AO239">
        <f t="shared" si="235"/>
        <v>-3.6477709160707365E-3</v>
      </c>
      <c r="AP239" s="42" t="str">
        <f t="shared" si="236"/>
        <v>30.2396790270615-21.8442099787344i</v>
      </c>
      <c r="AQ239">
        <f t="shared" si="237"/>
        <v>31.43516822250038</v>
      </c>
      <c r="AR239" s="44">
        <f t="shared" si="238"/>
        <v>-35.843183545196602</v>
      </c>
      <c r="AS239" t="str">
        <f t="shared" si="214"/>
        <v>-0.000166666666666667</v>
      </c>
      <c r="AT239" t="str">
        <f t="shared" si="215"/>
        <v>0.000128599483189485i</v>
      </c>
      <c r="AU239">
        <f t="shared" si="239"/>
        <v>1.28599483189485E-4</v>
      </c>
      <c r="AV239">
        <f t="shared" si="240"/>
        <v>1.5707963267948966</v>
      </c>
      <c r="AW239" t="str">
        <f t="shared" si="216"/>
        <v>1+0.0234292321713208i</v>
      </c>
      <c r="AX239">
        <f t="shared" si="241"/>
        <v>1.0002744268050332</v>
      </c>
      <c r="AY239">
        <f t="shared" si="242"/>
        <v>2.3424946588348716E-2</v>
      </c>
      <c r="AZ239" t="str">
        <f t="shared" si="217"/>
        <v>1+0.476898241938819i</v>
      </c>
      <c r="BA239">
        <f t="shared" si="243"/>
        <v>1.1078952717492463</v>
      </c>
      <c r="BB239">
        <f t="shared" si="244"/>
        <v>0.44499599166240794</v>
      </c>
      <c r="BC239" s="42" t="str">
        <f t="shared" si="245"/>
        <v>-0.587379530148801+1.30977535418448i</v>
      </c>
      <c r="BD239">
        <f t="shared" si="246"/>
        <v>3.1397813911136359</v>
      </c>
      <c r="BE239" s="44">
        <f t="shared" si="247"/>
        <v>114.15424164766297</v>
      </c>
      <c r="BF239" s="42" t="str">
        <f t="shared" si="248"/>
        <v>7.20106339033671+10.876901057442i</v>
      </c>
      <c r="BG239" s="20">
        <f t="shared" si="249"/>
        <v>22.308633229986793</v>
      </c>
      <c r="BH239" s="44">
        <f t="shared" si="250"/>
        <v>56.493408553177467</v>
      </c>
      <c r="BI239" s="42" t="str">
        <f t="shared" si="203"/>
        <v>10.8488394030111+52.4380281018752i</v>
      </c>
      <c r="BJ239" s="20">
        <f t="shared" si="251"/>
        <v>34.57494961361401</v>
      </c>
      <c r="BK239" s="44">
        <f t="shared" si="204"/>
        <v>78.311058102466333</v>
      </c>
      <c r="BL239">
        <f t="shared" si="252"/>
        <v>22.308633229986793</v>
      </c>
      <c r="BM239" s="44">
        <f t="shared" si="253"/>
        <v>56.493408553177467</v>
      </c>
    </row>
    <row r="240" spans="14:65" x14ac:dyDescent="0.35">
      <c r="N240" s="9">
        <v>22</v>
      </c>
      <c r="O240" s="35">
        <f t="shared" si="254"/>
        <v>1659.5869074375626</v>
      </c>
      <c r="P240" s="34" t="str">
        <f t="shared" si="206"/>
        <v>16.3709677419355</v>
      </c>
      <c r="Q240" s="4" t="str">
        <f t="shared" si="207"/>
        <v>1+1.53385044683757i</v>
      </c>
      <c r="R240" s="4">
        <f t="shared" si="218"/>
        <v>1.8310371905736411</v>
      </c>
      <c r="S240" s="4">
        <f t="shared" si="219"/>
        <v>0.99304866438743611</v>
      </c>
      <c r="T240" s="4" t="str">
        <f t="shared" si="208"/>
        <v>1+0.00166839873164789i</v>
      </c>
      <c r="U240" s="4">
        <f t="shared" si="220"/>
        <v>1.0000013917761954</v>
      </c>
      <c r="V240" s="4">
        <f t="shared" si="221"/>
        <v>1.6683971836243055E-3</v>
      </c>
      <c r="W240" t="str">
        <f t="shared" si="209"/>
        <v>1-0.0218338915646777i</v>
      </c>
      <c r="X240" s="4">
        <f t="shared" si="222"/>
        <v>1.0002383310095939</v>
      </c>
      <c r="Y240" s="4">
        <f t="shared" si="223"/>
        <v>-2.1830423014390431E-2</v>
      </c>
      <c r="Z240" t="str">
        <f t="shared" si="210"/>
        <v>0.999997616676081+0.00429994610608975i</v>
      </c>
      <c r="AA240" s="4">
        <f t="shared" si="224"/>
        <v>1.000006861423639</v>
      </c>
      <c r="AB240" s="4">
        <f t="shared" si="225"/>
        <v>4.2999298530462448E-3</v>
      </c>
      <c r="AC240" s="48" t="str">
        <f t="shared" si="226"/>
        <v>4.69936395988481-7.60864070259749i</v>
      </c>
      <c r="AD240" s="20">
        <f t="shared" si="227"/>
        <v>19.0295661079412</v>
      </c>
      <c r="AE240" s="44">
        <f t="shared" si="228"/>
        <v>-58.299064139821851</v>
      </c>
      <c r="AF240" t="str">
        <f t="shared" si="229"/>
        <v>45.9520231294187</v>
      </c>
      <c r="AG240" t="str">
        <f t="shared" si="211"/>
        <v>1+0.736058263962302i</v>
      </c>
      <c r="AH240">
        <f t="shared" si="230"/>
        <v>1.2416850518336757</v>
      </c>
      <c r="AI240">
        <f t="shared" si="231"/>
        <v>0.63451852596873426</v>
      </c>
      <c r="AJ240" t="str">
        <f t="shared" si="212"/>
        <v>1+0.00166839873164789i</v>
      </c>
      <c r="AK240">
        <f t="shared" si="232"/>
        <v>1.0000013917761954</v>
      </c>
      <c r="AL240">
        <f t="shared" si="233"/>
        <v>1.6683971836243055E-3</v>
      </c>
      <c r="AM240" t="str">
        <f t="shared" si="213"/>
        <v>1-0.00373275497217746i</v>
      </c>
      <c r="AN240">
        <f t="shared" si="234"/>
        <v>1.0000069667055735</v>
      </c>
      <c r="AO240">
        <f t="shared" si="235"/>
        <v>-3.7327376355920923E-3</v>
      </c>
      <c r="AP240" s="42" t="str">
        <f t="shared" si="236"/>
        <v>29.7593905845498-21.999506715952i</v>
      </c>
      <c r="AQ240">
        <f t="shared" si="237"/>
        <v>31.365936280127478</v>
      </c>
      <c r="AR240" s="44">
        <f t="shared" si="238"/>
        <v>-36.473511556246507</v>
      </c>
      <c r="AS240" t="str">
        <f t="shared" si="214"/>
        <v>-0.000166666666666667</v>
      </c>
      <c r="AT240" t="str">
        <f t="shared" si="215"/>
        <v>0.000131594949958727i</v>
      </c>
      <c r="AU240">
        <f t="shared" si="239"/>
        <v>1.3159494995872701E-4</v>
      </c>
      <c r="AV240">
        <f t="shared" si="240"/>
        <v>1.5707963267948966</v>
      </c>
      <c r="AW240" t="str">
        <f t="shared" si="216"/>
        <v>1+0.0239749690954314i</v>
      </c>
      <c r="AX240">
        <f t="shared" si="241"/>
        <v>1.0002873582841716</v>
      </c>
      <c r="AY240">
        <f t="shared" si="242"/>
        <v>2.3970377081787852E-2</v>
      </c>
      <c r="AZ240" t="str">
        <f t="shared" si="217"/>
        <v>1+0.488006629007006i</v>
      </c>
      <c r="BA240">
        <f t="shared" si="243"/>
        <v>1.112722099158088</v>
      </c>
      <c r="BB240">
        <f t="shared" si="244"/>
        <v>0.45400695990624179</v>
      </c>
      <c r="BC240" s="42" t="str">
        <f t="shared" si="245"/>
        <v>-0.5873643432388+1.28059467577433i</v>
      </c>
      <c r="BD240">
        <f t="shared" si="246"/>
        <v>2.9774291915365172</v>
      </c>
      <c r="BE240" s="44">
        <f t="shared" si="247"/>
        <v>114.63928123206925</v>
      </c>
      <c r="BF240" s="42" t="str">
        <f t="shared" si="248"/>
        <v>6.98334594768838+10.4870247157754i</v>
      </c>
      <c r="BG240" s="20">
        <f t="shared" si="249"/>
        <v>22.006995299477694</v>
      </c>
      <c r="BH240" s="44">
        <f t="shared" si="250"/>
        <v>56.340217092247286</v>
      </c>
      <c r="BI240" s="42" t="str">
        <f t="shared" si="203"/>
        <v>10.6928462642287+51.0314429506559i</v>
      </c>
      <c r="BJ240" s="20">
        <f t="shared" si="251"/>
        <v>34.343365471663994</v>
      </c>
      <c r="BK240" s="44">
        <f t="shared" si="204"/>
        <v>78.165769675822773</v>
      </c>
      <c r="BL240">
        <f t="shared" si="252"/>
        <v>22.006995299477694</v>
      </c>
      <c r="BM240" s="44">
        <f t="shared" si="253"/>
        <v>56.340217092247286</v>
      </c>
    </row>
    <row r="241" spans="14:65" x14ac:dyDescent="0.35">
      <c r="N241" s="9">
        <v>23</v>
      </c>
      <c r="O241" s="35">
        <f t="shared" si="254"/>
        <v>1698.2436524617447</v>
      </c>
      <c r="P241" s="34" t="str">
        <f t="shared" si="206"/>
        <v>16.3709677419355</v>
      </c>
      <c r="Q241" s="4" t="str">
        <f t="shared" si="207"/>
        <v>1+1.56957841345559i</v>
      </c>
      <c r="R241" s="4">
        <f t="shared" si="218"/>
        <v>1.861068616678538</v>
      </c>
      <c r="S241" s="4">
        <f t="shared" si="219"/>
        <v>1.0035333812236238</v>
      </c>
      <c r="T241" s="4" t="str">
        <f t="shared" si="208"/>
        <v>1+0.00170726073042538i</v>
      </c>
      <c r="U241" s="4">
        <f t="shared" si="220"/>
        <v>1.0000014573685387</v>
      </c>
      <c r="V241" s="4">
        <f t="shared" si="221"/>
        <v>1.7072590716883547E-3</v>
      </c>
      <c r="W241" t="str">
        <f t="shared" si="209"/>
        <v>1-0.0223424682323525i</v>
      </c>
      <c r="X241" s="4">
        <f t="shared" si="222"/>
        <v>1.00024956180281</v>
      </c>
      <c r="Y241" s="4">
        <f t="shared" si="223"/>
        <v>-2.2338751663838828E-2</v>
      </c>
      <c r="Z241" t="str">
        <f t="shared" si="210"/>
        <v>0.999997504353486+0.00440010471754654i</v>
      </c>
      <c r="AA241" s="4">
        <f t="shared" si="224"/>
        <v>1.0000071847915522</v>
      </c>
      <c r="AB241" s="4">
        <f t="shared" si="225"/>
        <v>4.4000873021031632E-3</v>
      </c>
      <c r="AC241" s="48" t="str">
        <f t="shared" si="226"/>
        <v>4.54054966083834-7.53659703687771i</v>
      </c>
      <c r="AD241" s="20">
        <f t="shared" si="227"/>
        <v>18.888356990339112</v>
      </c>
      <c r="AE241" s="44">
        <f t="shared" si="228"/>
        <v>-58.932431227091968</v>
      </c>
      <c r="AF241" t="str">
        <f t="shared" si="229"/>
        <v>45.9520231294187</v>
      </c>
      <c r="AG241" t="str">
        <f t="shared" si="211"/>
        <v>1+0.753203263422958i</v>
      </c>
      <c r="AH241">
        <f t="shared" si="230"/>
        <v>1.2519245808078832</v>
      </c>
      <c r="AI241">
        <f t="shared" si="231"/>
        <v>0.64554804721688464</v>
      </c>
      <c r="AJ241" t="str">
        <f t="shared" si="212"/>
        <v>1+0.00170726073042538i</v>
      </c>
      <c r="AK241">
        <f t="shared" si="232"/>
        <v>1.0000014573685387</v>
      </c>
      <c r="AL241">
        <f t="shared" si="233"/>
        <v>1.7072590716883547E-3</v>
      </c>
      <c r="AM241" t="str">
        <f t="shared" si="213"/>
        <v>1-0.00381970200493033i</v>
      </c>
      <c r="AN241">
        <f t="shared" si="234"/>
        <v>1.0000072950350944</v>
      </c>
      <c r="AO241">
        <f t="shared" si="235"/>
        <v>-3.8196834284517402E-3</v>
      </c>
      <c r="AP241" s="42" t="str">
        <f t="shared" si="236"/>
        <v>29.2724845158981-22.145201816178i</v>
      </c>
      <c r="AQ241">
        <f t="shared" si="237"/>
        <v>31.294605425967262</v>
      </c>
      <c r="AR241" s="44">
        <f t="shared" si="238"/>
        <v>-37.108211578622608</v>
      </c>
      <c r="AS241" t="str">
        <f t="shared" si="214"/>
        <v>-0.000166666666666667</v>
      </c>
      <c r="AT241" t="str">
        <f t="shared" si="215"/>
        <v>0.000134660190112302i</v>
      </c>
      <c r="AU241">
        <f t="shared" si="239"/>
        <v>1.34660190112302E-4</v>
      </c>
      <c r="AV241">
        <f t="shared" si="240"/>
        <v>1.5707963267948966</v>
      </c>
      <c r="AW241" t="str">
        <f t="shared" si="216"/>
        <v>1+0.0245334178655025i</v>
      </c>
      <c r="AX241">
        <f t="shared" si="241"/>
        <v>1.0003008990259696</v>
      </c>
      <c r="AY241">
        <f t="shared" si="242"/>
        <v>2.4528497514168971E-2</v>
      </c>
      <c r="AZ241" t="str">
        <f t="shared" si="217"/>
        <v>1+0.499373763649422i</v>
      </c>
      <c r="BA241">
        <f t="shared" si="243"/>
        <v>1.1177540676827746</v>
      </c>
      <c r="BB241">
        <f t="shared" si="244"/>
        <v>0.46314649443581657</v>
      </c>
      <c r="BC241" s="42" t="str">
        <f t="shared" si="245"/>
        <v>-0.587348441433471+1.25209295130395i</v>
      </c>
      <c r="BD241">
        <f t="shared" si="246"/>
        <v>2.8165025245798785</v>
      </c>
      <c r="BE241" s="44">
        <f t="shared" si="247"/>
        <v>115.13096004209257</v>
      </c>
      <c r="BF241" s="42" t="str">
        <f t="shared" si="248"/>
        <v>6.76963526014814+10.1117987487035i</v>
      </c>
      <c r="BG241" s="20">
        <f t="shared" si="249"/>
        <v>21.704859514919011</v>
      </c>
      <c r="BH241" s="44">
        <f t="shared" si="250"/>
        <v>56.198528815000707</v>
      </c>
      <c r="BI241" s="42" t="str">
        <f t="shared" si="203"/>
        <v>10.5347029419417+49.6588213014719i</v>
      </c>
      <c r="BJ241" s="20">
        <f t="shared" si="251"/>
        <v>34.111107950547144</v>
      </c>
      <c r="BK241" s="44">
        <f t="shared" si="204"/>
        <v>78.022748463470023</v>
      </c>
      <c r="BL241">
        <f t="shared" si="252"/>
        <v>21.704859514919011</v>
      </c>
      <c r="BM241" s="44">
        <f t="shared" si="253"/>
        <v>56.198528815000707</v>
      </c>
    </row>
    <row r="242" spans="14:65" x14ac:dyDescent="0.35">
      <c r="N242" s="9">
        <v>24</v>
      </c>
      <c r="O242" s="35">
        <f t="shared" si="254"/>
        <v>1737.8008287493772</v>
      </c>
      <c r="P242" s="34" t="str">
        <f t="shared" si="206"/>
        <v>16.3709677419355</v>
      </c>
      <c r="Q242" s="4" t="str">
        <f t="shared" si="207"/>
        <v>1+1.60613859132425i</v>
      </c>
      <c r="R242" s="4">
        <f t="shared" si="218"/>
        <v>1.8920045387210482</v>
      </c>
      <c r="S242" s="4">
        <f t="shared" si="219"/>
        <v>1.0139165889849819</v>
      </c>
      <c r="T242" s="4" t="str">
        <f t="shared" si="208"/>
        <v>1+0.00174702794144042i</v>
      </c>
      <c r="U242" s="4">
        <f t="shared" si="220"/>
        <v>1.0000015260521495</v>
      </c>
      <c r="V242" s="4">
        <f t="shared" si="221"/>
        <v>1.7470261640718215E-3</v>
      </c>
      <c r="W242" t="str">
        <f t="shared" si="209"/>
        <v>1-0.0228628911724218i</v>
      </c>
      <c r="X242" s="4">
        <f t="shared" si="222"/>
        <v>1.0002613217518519</v>
      </c>
      <c r="Y242" s="4">
        <f t="shared" si="223"/>
        <v>-2.2858908853699362E-2</v>
      </c>
      <c r="Z242" t="str">
        <f t="shared" si="210"/>
        <v>0.999997386737289+0.00450259632276688i</v>
      </c>
      <c r="AA242" s="4">
        <f t="shared" si="224"/>
        <v>1.0000075233992258</v>
      </c>
      <c r="AB242" s="4">
        <f t="shared" si="225"/>
        <v>4.5025776617904009E-3</v>
      </c>
      <c r="AC242" s="48" t="str">
        <f t="shared" si="226"/>
        <v>4.38479553346226-7.46198402657701i</v>
      </c>
      <c r="AD242" s="20">
        <f t="shared" si="227"/>
        <v>18.745261000451606</v>
      </c>
      <c r="AE242" s="44">
        <f t="shared" si="228"/>
        <v>-59.560741799781482</v>
      </c>
      <c r="AF242" t="str">
        <f t="shared" si="229"/>
        <v>45.9520231294187</v>
      </c>
      <c r="AG242" t="str">
        <f t="shared" si="211"/>
        <v>1+0.770747621223711i</v>
      </c>
      <c r="AH242">
        <f t="shared" si="230"/>
        <v>1.262557680116837</v>
      </c>
      <c r="AI242">
        <f t="shared" si="231"/>
        <v>0.65664789438593107</v>
      </c>
      <c r="AJ242" t="str">
        <f t="shared" si="212"/>
        <v>1+0.00174702794144042i</v>
      </c>
      <c r="AK242">
        <f t="shared" si="232"/>
        <v>1.0000015260521495</v>
      </c>
      <c r="AL242">
        <f t="shared" si="233"/>
        <v>1.7470261640718215E-3</v>
      </c>
      <c r="AM242" t="str">
        <f t="shared" si="213"/>
        <v>1-0.00390867429424597i</v>
      </c>
      <c r="AN242">
        <f t="shared" si="234"/>
        <v>1.0000076388381933</v>
      </c>
      <c r="AO242">
        <f t="shared" si="235"/>
        <v>-3.9086543891987497E-3</v>
      </c>
      <c r="AP242" s="42" t="str">
        <f t="shared" si="236"/>
        <v>28.7793497320349-22.2809473695329i</v>
      </c>
      <c r="AQ242">
        <f t="shared" si="237"/>
        <v>31.221147780518507</v>
      </c>
      <c r="AR242" s="44">
        <f t="shared" si="238"/>
        <v>-37.747005148642209</v>
      </c>
      <c r="AS242" t="str">
        <f t="shared" si="214"/>
        <v>-0.000166666666666667</v>
      </c>
      <c r="AT242" t="str">
        <f t="shared" si="215"/>
        <v>0.000137796828881113i</v>
      </c>
      <c r="AU242">
        <f t="shared" si="239"/>
        <v>1.37796828881113E-4</v>
      </c>
      <c r="AV242">
        <f t="shared" si="240"/>
        <v>1.5707963267948966</v>
      </c>
      <c r="AW242" t="str">
        <f t="shared" si="216"/>
        <v>1+0.0251048745784643i</v>
      </c>
      <c r="AX242">
        <f t="shared" si="241"/>
        <v>1.0003150777268133</v>
      </c>
      <c r="AY242">
        <f t="shared" si="242"/>
        <v>2.5099602416707369E-2</v>
      </c>
      <c r="AZ242" t="str">
        <f t="shared" si="217"/>
        <v>1+0.511005672871321i</v>
      </c>
      <c r="BA242">
        <f t="shared" si="243"/>
        <v>1.1229990194593544</v>
      </c>
      <c r="BB242">
        <f t="shared" si="244"/>
        <v>0.47241333271419289</v>
      </c>
      <c r="BC242" s="42" t="str">
        <f t="shared" si="245"/>
        <v>-0.587331791121971+1.22425506633108i</v>
      </c>
      <c r="BD242">
        <f t="shared" si="246"/>
        <v>2.6570417688848051</v>
      </c>
      <c r="BE242" s="44">
        <f t="shared" si="247"/>
        <v>115.62918886429902</v>
      </c>
      <c r="BF242" s="42" t="str">
        <f t="shared" si="248"/>
        <v>6.56004193504649+9.75076859032007i</v>
      </c>
      <c r="BG242" s="20">
        <f t="shared" si="249"/>
        <v>21.402302769336409</v>
      </c>
      <c r="BH242" s="44">
        <f t="shared" si="250"/>
        <v>56.068447064517507</v>
      </c>
      <c r="BI242" s="42" t="str">
        <f t="shared" ref="BI242:BI305" si="255">IMPRODUCT(AP242,BC242)</f>
        <v>10.3745356743651+48.3195734415999i</v>
      </c>
      <c r="BJ242" s="20">
        <f t="shared" si="251"/>
        <v>33.878189549403317</v>
      </c>
      <c r="BK242" s="44">
        <f t="shared" ref="BK242:BK305" si="256">(180/PI())*IMARGUMENT(BI242)</f>
        <v>77.882183715656851</v>
      </c>
      <c r="BL242">
        <f t="shared" si="252"/>
        <v>21.402302769336409</v>
      </c>
      <c r="BM242" s="44">
        <f t="shared" si="253"/>
        <v>56.068447064517507</v>
      </c>
    </row>
    <row r="243" spans="14:65" x14ac:dyDescent="0.35">
      <c r="N243" s="9">
        <v>25</v>
      </c>
      <c r="O243" s="35">
        <f t="shared" si="254"/>
        <v>1778.2794100389244</v>
      </c>
      <c r="P243" s="34" t="str">
        <f t="shared" si="206"/>
        <v>16.3709677419355</v>
      </c>
      <c r="Q243" s="4" t="str">
        <f t="shared" si="207"/>
        <v>1+1.6435503651338i</v>
      </c>
      <c r="R243" s="4">
        <f t="shared" si="218"/>
        <v>1.9238653286369727</v>
      </c>
      <c r="S243" s="4">
        <f t="shared" si="219"/>
        <v>1.0241948372773961</v>
      </c>
      <c r="T243" s="4" t="str">
        <f t="shared" si="208"/>
        <v>1+0.00178772144979466i</v>
      </c>
      <c r="U243" s="4">
        <f t="shared" si="220"/>
        <v>1.0000015979727142</v>
      </c>
      <c r="V243" s="4">
        <f t="shared" si="221"/>
        <v>1.7877195453100587E-3</v>
      </c>
      <c r="W243" t="str">
        <f t="shared" si="209"/>
        <v>1-0.0233954363200168i</v>
      </c>
      <c r="X243" s="4">
        <f t="shared" si="222"/>
        <v>1.0002736357820314</v>
      </c>
      <c r="Y243" s="4">
        <f t="shared" si="223"/>
        <v>-2.3391169251669255E-2</v>
      </c>
      <c r="Z243" t="str">
        <f t="shared" si="210"/>
        <v>0.999997263578012+0.00460747526415645i</v>
      </c>
      <c r="AA243" s="4">
        <f t="shared" si="224"/>
        <v>1.0000078779648798</v>
      </c>
      <c r="AB243" s="4">
        <f t="shared" si="225"/>
        <v>4.607455268568093E-3</v>
      </c>
      <c r="AC243" s="48" t="str">
        <f t="shared" si="226"/>
        <v>4.23217429393734-7.38495506304838i</v>
      </c>
      <c r="AD243" s="20">
        <f t="shared" si="227"/>
        <v>18.600315593563423</v>
      </c>
      <c r="AE243" s="44">
        <f t="shared" si="228"/>
        <v>-60.183815807364702</v>
      </c>
      <c r="AF243" t="str">
        <f t="shared" si="229"/>
        <v>45.9520231294187</v>
      </c>
      <c r="AG243" t="str">
        <f t="shared" si="211"/>
        <v>1+0.788700639615288i</v>
      </c>
      <c r="AH243">
        <f t="shared" si="230"/>
        <v>1.2735967567992486</v>
      </c>
      <c r="AI243">
        <f t="shared" si="231"/>
        <v>0.66781301262155146</v>
      </c>
      <c r="AJ243" t="str">
        <f t="shared" si="212"/>
        <v>1+0.00178772144979466i</v>
      </c>
      <c r="AK243">
        <f t="shared" si="232"/>
        <v>1.0000015979727142</v>
      </c>
      <c r="AL243">
        <f t="shared" si="233"/>
        <v>1.7877195453100587E-3</v>
      </c>
      <c r="AM243" t="str">
        <f t="shared" si="213"/>
        <v>1-0.00399971901440983i</v>
      </c>
      <c r="AN243">
        <f t="shared" si="234"/>
        <v>1.0000079988441064</v>
      </c>
      <c r="AO243">
        <f t="shared" si="235"/>
        <v>-3.9996976857766759E-3</v>
      </c>
      <c r="AP243" s="42" t="str">
        <f t="shared" si="236"/>
        <v>28.2803985205791-22.4064141650074i</v>
      </c>
      <c r="AQ243">
        <f t="shared" si="237"/>
        <v>31.145537203696236</v>
      </c>
      <c r="AR243" s="44">
        <f t="shared" si="238"/>
        <v>-38.389604138955612</v>
      </c>
      <c r="AS243" t="str">
        <f t="shared" si="214"/>
        <v>-0.000166666666666667</v>
      </c>
      <c r="AT243" t="str">
        <f t="shared" si="215"/>
        <v>0.000141006529352553i</v>
      </c>
      <c r="AU243">
        <f t="shared" si="239"/>
        <v>1.41006529352553E-4</v>
      </c>
      <c r="AV243">
        <f t="shared" si="240"/>
        <v>1.5707963267948966</v>
      </c>
      <c r="AW243" t="str">
        <f t="shared" si="216"/>
        <v>1+0.0256896422282299i</v>
      </c>
      <c r="AX243">
        <f t="shared" si="241"/>
        <v>1.0003299244338411</v>
      </c>
      <c r="AY243">
        <f t="shared" si="242"/>
        <v>2.5683993105751621E-2</v>
      </c>
      <c r="AZ243" t="str">
        <f t="shared" si="217"/>
        <v>1+0.522908524064936i</v>
      </c>
      <c r="BA243">
        <f t="shared" si="243"/>
        <v>1.1284650302688912</v>
      </c>
      <c r="BB243">
        <f t="shared" si="244"/>
        <v>0.48180602095356961</v>
      </c>
      <c r="BC243" s="42" t="str">
        <f t="shared" si="245"/>
        <v>-0.587314357117236+1.19706625821501i</v>
      </c>
      <c r="BD243">
        <f t="shared" si="246"/>
        <v>2.4990874199109325</v>
      </c>
      <c r="BE243" s="44">
        <f t="shared" si="247"/>
        <v>116.13386713862857</v>
      </c>
      <c r="BF243" s="42" t="str">
        <f t="shared" si="248"/>
        <v>6.35466379975742+9.40348318135126i</v>
      </c>
      <c r="BG243" s="20">
        <f t="shared" si="249"/>
        <v>21.099403013474358</v>
      </c>
      <c r="BH243" s="44">
        <f t="shared" si="250"/>
        <v>55.950051331263836</v>
      </c>
      <c r="BI243" s="42" t="str">
        <f t="shared" si="255"/>
        <v>10.2124782883881+47.0131195684828i</v>
      </c>
      <c r="BJ243" s="20">
        <f t="shared" si="251"/>
        <v>33.644624623607172</v>
      </c>
      <c r="BK243" s="44">
        <f t="shared" si="256"/>
        <v>77.744262999672912</v>
      </c>
      <c r="BL243">
        <f t="shared" si="252"/>
        <v>21.099403013474358</v>
      </c>
      <c r="BM243" s="44">
        <f t="shared" si="253"/>
        <v>55.950051331263836</v>
      </c>
    </row>
    <row r="244" spans="14:65" x14ac:dyDescent="0.35">
      <c r="N244" s="9">
        <v>26</v>
      </c>
      <c r="O244" s="35">
        <f t="shared" si="254"/>
        <v>1819.7008586099832</v>
      </c>
      <c r="P244" s="34" t="str">
        <f t="shared" si="206"/>
        <v>16.3709677419355</v>
      </c>
      <c r="Q244" s="4" t="str">
        <f t="shared" si="207"/>
        <v>1+1.68183357110188i</v>
      </c>
      <c r="R244" s="4">
        <f t="shared" si="218"/>
        <v>1.9566717049329716</v>
      </c>
      <c r="S244" s="4">
        <f t="shared" si="219"/>
        <v>1.0343648888139951</v>
      </c>
      <c r="T244" s="4" t="str">
        <f t="shared" si="208"/>
        <v>1+0.00182936283172485i</v>
      </c>
      <c r="U244" s="4">
        <f t="shared" si="220"/>
        <v>1.0000016732827852</v>
      </c>
      <c r="V244" s="4">
        <f t="shared" si="221"/>
        <v>1.8293607910330174E-3</v>
      </c>
      <c r="W244" t="str">
        <f t="shared" si="209"/>
        <v>1-0.0239403860376236i</v>
      </c>
      <c r="X244" s="4">
        <f t="shared" si="222"/>
        <v>1.0002865299920969</v>
      </c>
      <c r="Y244" s="4">
        <f t="shared" si="223"/>
        <v>-2.3935813862245473E-2</v>
      </c>
      <c r="Z244" t="str">
        <f t="shared" si="210"/>
        <v>0.999997134614417+0.00471479714991818i</v>
      </c>
      <c r="AA244" s="4">
        <f t="shared" si="224"/>
        <v>1.0000082492405795</v>
      </c>
      <c r="AB244" s="4">
        <f t="shared" si="225"/>
        <v>4.7147757242684335E-3</v>
      </c>
      <c r="AC244" s="48" t="str">
        <f t="shared" si="226"/>
        <v>4.08274925773384-7.30566450143871i</v>
      </c>
      <c r="AD244" s="20">
        <f t="shared" si="227"/>
        <v>18.453559052634819</v>
      </c>
      <c r="AE244" s="44">
        <f t="shared" si="228"/>
        <v>-60.801485816896417</v>
      </c>
      <c r="AF244" t="str">
        <f t="shared" si="229"/>
        <v>45.9520231294187</v>
      </c>
      <c r="AG244" t="str">
        <f t="shared" si="211"/>
        <v>1+0.807071837525666i</v>
      </c>
      <c r="AH244">
        <f t="shared" si="230"/>
        <v>1.2850544544598315</v>
      </c>
      <c r="AI244">
        <f t="shared" si="231"/>
        <v>0.67903818762496493</v>
      </c>
      <c r="AJ244" t="str">
        <f t="shared" si="212"/>
        <v>1+0.00182936283172485i</v>
      </c>
      <c r="AK244">
        <f t="shared" si="232"/>
        <v>1.0000016732827852</v>
      </c>
      <c r="AL244">
        <f t="shared" si="233"/>
        <v>1.8293607910330174E-3</v>
      </c>
      <c r="AM244" t="str">
        <f t="shared" si="213"/>
        <v>1-0.00409288443853764i</v>
      </c>
      <c r="AN244">
        <f t="shared" si="234"/>
        <v>1.0000083758164364</v>
      </c>
      <c r="AO244">
        <f t="shared" si="235"/>
        <v>-4.0928615845057994E-3</v>
      </c>
      <c r="AP244" s="42" t="str">
        <f t="shared" si="236"/>
        <v>27.7760654178042-22.5212935532105i</v>
      </c>
      <c r="AQ244">
        <f t="shared" si="237"/>
        <v>31.067749393923954</v>
      </c>
      <c r="AR244" s="44">
        <f t="shared" si="238"/>
        <v>-39.035711321513467</v>
      </c>
      <c r="AS244" t="str">
        <f t="shared" si="214"/>
        <v>-0.000166666666666667</v>
      </c>
      <c r="AT244" t="str">
        <f t="shared" si="215"/>
        <v>0.000144290993352298i</v>
      </c>
      <c r="AU244">
        <f t="shared" si="239"/>
        <v>1.44290993352298E-4</v>
      </c>
      <c r="AV244">
        <f t="shared" si="240"/>
        <v>1.5707963267948966</v>
      </c>
      <c r="AW244" t="str">
        <f t="shared" si="216"/>
        <v>1+0.0262880308663472i</v>
      </c>
      <c r="AX244">
        <f t="shared" si="241"/>
        <v>1.0003454706084443</v>
      </c>
      <c r="AY244">
        <f t="shared" si="242"/>
        <v>2.6281977835451845E-2</v>
      </c>
      <c r="AZ244" t="str">
        <f t="shared" si="217"/>
        <v>1+0.535088628279517i</v>
      </c>
      <c r="BA244">
        <f t="shared" si="243"/>
        <v>1.1341604119850308</v>
      </c>
      <c r="BB244">
        <f t="shared" si="244"/>
        <v>0.49132290922012273</v>
      </c>
      <c r="BC244" s="42" t="str">
        <f t="shared" si="245"/>
        <v>-0.587296102582446+1.17051210827682i</v>
      </c>
      <c r="BD244">
        <f t="shared" si="246"/>
        <v>2.3426800078316905</v>
      </c>
      <c r="BE244" s="44">
        <f t="shared" si="247"/>
        <v>116.64488266917449</v>
      </c>
      <c r="BF244" s="42" t="str">
        <f t="shared" si="248"/>
        <v>6.15358603105369+9.06949572970554i</v>
      </c>
      <c r="BG244" s="20">
        <f t="shared" si="249"/>
        <v>20.796239060466508</v>
      </c>
      <c r="BH244" s="44">
        <f t="shared" si="250"/>
        <v>55.84339685227809</v>
      </c>
      <c r="BI244" s="42" t="str">
        <f t="shared" si="255"/>
        <v>10.0486718331381+45.7388888207446i</v>
      </c>
      <c r="BJ244" s="20">
        <f t="shared" si="251"/>
        <v>33.41042940175565</v>
      </c>
      <c r="BK244" s="44">
        <f t="shared" si="256"/>
        <v>77.609171347661075</v>
      </c>
      <c r="BL244">
        <f t="shared" si="252"/>
        <v>20.796239060466508</v>
      </c>
      <c r="BM244" s="44">
        <f t="shared" si="253"/>
        <v>55.84339685227809</v>
      </c>
    </row>
    <row r="245" spans="14:65" x14ac:dyDescent="0.35">
      <c r="N245" s="9">
        <v>27</v>
      </c>
      <c r="O245" s="35">
        <f t="shared" si="254"/>
        <v>1862.0871366628687</v>
      </c>
      <c r="P245" s="34" t="str">
        <f t="shared" si="206"/>
        <v>16.3709677419355</v>
      </c>
      <c r="Q245" s="4" t="str">
        <f t="shared" si="207"/>
        <v>1+1.72100850749106i</v>
      </c>
      <c r="R245" s="4">
        <f t="shared" si="218"/>
        <v>1.990444744989573</v>
      </c>
      <c r="S245" s="4">
        <f t="shared" si="219"/>
        <v>1.0444237203063433</v>
      </c>
      <c r="T245" s="4" t="str">
        <f t="shared" si="208"/>
        <v>1+0.00187197416604291i</v>
      </c>
      <c r="U245" s="4">
        <f t="shared" si="220"/>
        <v>1.0000017521421041</v>
      </c>
      <c r="V245" s="4">
        <f t="shared" si="221"/>
        <v>1.8719719794024225E-3</v>
      </c>
      <c r="W245" t="str">
        <f t="shared" si="209"/>
        <v>1-0.0244980292647963i</v>
      </c>
      <c r="X245" s="4">
        <f t="shared" si="222"/>
        <v>1.0003000317094162</v>
      </c>
      <c r="Y245" s="4">
        <f t="shared" si="223"/>
        <v>-2.4493130169972486E-2</v>
      </c>
      <c r="Z245" t="str">
        <f t="shared" si="210"/>
        <v>0.999996999572954+0.00482461888353654i</v>
      </c>
      <c r="AA245" s="4">
        <f t="shared" si="224"/>
        <v>1.0000086380138333</v>
      </c>
      <c r="AB245" s="4">
        <f t="shared" si="225"/>
        <v>4.8245959255495329E-3</v>
      </c>
      <c r="AC245" s="48" t="str">
        <f t="shared" si="226"/>
        <v>3.93657448518558-7.22426702472409i</v>
      </c>
      <c r="AD245" s="20">
        <f t="shared" si="227"/>
        <v>18.305030376555489</v>
      </c>
      <c r="AE245" s="44">
        <f t="shared" si="228"/>
        <v>-61.413597073312772</v>
      </c>
      <c r="AF245" t="str">
        <f t="shared" si="229"/>
        <v>45.9520231294187</v>
      </c>
      <c r="AG245" t="str">
        <f t="shared" si="211"/>
        <v>1+0.825870955607165i</v>
      </c>
      <c r="AH245">
        <f t="shared" si="230"/>
        <v>1.2969436515575732</v>
      </c>
      <c r="AI245">
        <f t="shared" si="231"/>
        <v>0.69031805637690558</v>
      </c>
      <c r="AJ245" t="str">
        <f t="shared" si="212"/>
        <v>1+0.00187197416604291i</v>
      </c>
      <c r="AK245">
        <f t="shared" si="232"/>
        <v>1.0000017521421041</v>
      </c>
      <c r="AL245">
        <f t="shared" si="233"/>
        <v>1.8719719794024225E-3</v>
      </c>
      <c r="AM245" t="str">
        <f t="shared" si="213"/>
        <v>1-0.00418821996417051i</v>
      </c>
      <c r="AN245">
        <f t="shared" si="234"/>
        <v>1.0000087705547729</v>
      </c>
      <c r="AO245">
        <f t="shared" si="235"/>
        <v>-4.1881954756457906E-3</v>
      </c>
      <c r="AP245" s="42" t="str">
        <f t="shared" si="236"/>
        <v>27.2668059071616-22.6252992313916i</v>
      </c>
      <c r="AQ245">
        <f t="shared" si="237"/>
        <v>30.98776198195231</v>
      </c>
      <c r="AR245" s="44">
        <f t="shared" si="238"/>
        <v>-39.685020982814471</v>
      </c>
      <c r="AS245" t="str">
        <f t="shared" si="214"/>
        <v>-0.000166666666666667</v>
      </c>
      <c r="AT245" t="str">
        <f t="shared" si="215"/>
        <v>0.000147651962346635i</v>
      </c>
      <c r="AU245">
        <f t="shared" si="239"/>
        <v>1.47651962346635E-4</v>
      </c>
      <c r="AV245">
        <f t="shared" si="240"/>
        <v>1.5707963267948966</v>
      </c>
      <c r="AW245" t="str">
        <f t="shared" si="216"/>
        <v>1+0.0269003577663932i</v>
      </c>
      <c r="AX245">
        <f t="shared" si="241"/>
        <v>1.0003617491927408</v>
      </c>
      <c r="AY245">
        <f t="shared" si="242"/>
        <v>2.689387195360125E-2</v>
      </c>
      <c r="AZ245" t="str">
        <f t="shared" si="217"/>
        <v>1+0.547552443567551i</v>
      </c>
      <c r="BA245">
        <f t="shared" si="243"/>
        <v>1.1400937147694465</v>
      </c>
      <c r="BB245">
        <f t="shared" si="244"/>
        <v>0.50096214701140429</v>
      </c>
      <c r="BC245" s="42" t="str">
        <f t="shared" si="245"/>
        <v>-0.587276988954134+1.14457853414103i</v>
      </c>
      <c r="BD245">
        <f t="shared" si="246"/>
        <v>2.1878600107175048</v>
      </c>
      <c r="BE245" s="44">
        <f t="shared" si="247"/>
        <v>117.1621113618591</v>
      </c>
      <c r="BF245" s="42" t="str">
        <f t="shared" si="248"/>
        <v>5.95688135094862+8.7483644394713i</v>
      </c>
      <c r="BG245" s="20">
        <f t="shared" si="249"/>
        <v>20.492890387273</v>
      </c>
      <c r="BH245" s="44">
        <f t="shared" si="250"/>
        <v>55.748514288546346</v>
      </c>
      <c r="BI245" s="42" t="str">
        <f t="shared" si="255"/>
        <v>9.88326415721371+44.4963183427249i</v>
      </c>
      <c r="BJ245" s="20">
        <f t="shared" si="251"/>
        <v>33.175621992669804</v>
      </c>
      <c r="BK245" s="44">
        <f t="shared" si="256"/>
        <v>77.477090379044611</v>
      </c>
      <c r="BL245">
        <f t="shared" si="252"/>
        <v>20.492890387273</v>
      </c>
      <c r="BM245" s="44">
        <f t="shared" si="253"/>
        <v>55.748514288546346</v>
      </c>
    </row>
    <row r="246" spans="14:65" x14ac:dyDescent="0.35">
      <c r="N246" s="9">
        <v>28</v>
      </c>
      <c r="O246" s="35">
        <f t="shared" si="254"/>
        <v>1905.4607179632501</v>
      </c>
      <c r="P246" s="34" t="str">
        <f t="shared" si="206"/>
        <v>16.3709677419355</v>
      </c>
      <c r="Q246" s="4" t="str">
        <f t="shared" si="207"/>
        <v>1+1.76109594537118i</v>
      </c>
      <c r="R246" s="4">
        <f t="shared" si="218"/>
        <v>2.0252058978787342</v>
      </c>
      <c r="S246" s="4">
        <f t="shared" si="219"/>
        <v>1.0543685224950585</v>
      </c>
      <c r="T246" s="4" t="str">
        <f t="shared" si="208"/>
        <v>1+0.00191557804584234i</v>
      </c>
      <c r="U246" s="4">
        <f t="shared" si="220"/>
        <v>1.0000018347179418</v>
      </c>
      <c r="V246" s="4">
        <f t="shared" si="221"/>
        <v>1.915575702815076E-3</v>
      </c>
      <c r="W246" t="str">
        <f t="shared" si="209"/>
        <v>1-0.025068661671355i</v>
      </c>
      <c r="X246" s="4">
        <f t="shared" si="222"/>
        <v>1.000314169547744</v>
      </c>
      <c r="Y246" s="4">
        <f t="shared" si="223"/>
        <v>-2.5063412285713838E-2</v>
      </c>
      <c r="Z246" t="str">
        <f t="shared" si="210"/>
        <v>0.999996858167184+0.00493699869394838i</v>
      </c>
      <c r="AA246" s="4">
        <f t="shared" si="224"/>
        <v>1.0000090451092645</v>
      </c>
      <c r="AB246" s="4">
        <f t="shared" si="225"/>
        <v>4.93697409403367E-3</v>
      </c>
      <c r="AC246" s="48" t="str">
        <f t="shared" si="226"/>
        <v>3.79369497253377-7.14091703703335i</v>
      </c>
      <c r="AD246" s="20">
        <f t="shared" si="227"/>
        <v>18.154769170447928</v>
      </c>
      <c r="AE246" s="44">
        <f t="shared" si="228"/>
        <v>-62.0200075106235</v>
      </c>
      <c r="AF246" t="str">
        <f t="shared" si="229"/>
        <v>45.9520231294187</v>
      </c>
      <c r="AG246" t="str">
        <f t="shared" si="211"/>
        <v>1+0.845107961401029i</v>
      </c>
      <c r="AH246">
        <f t="shared" si="230"/>
        <v>1.3092774596789647</v>
      </c>
      <c r="AI246">
        <f t="shared" si="231"/>
        <v>0.70164711873024155</v>
      </c>
      <c r="AJ246" t="str">
        <f t="shared" si="212"/>
        <v>1+0.00191557804584234i</v>
      </c>
      <c r="AK246">
        <f t="shared" si="232"/>
        <v>1.0000018347179418</v>
      </c>
      <c r="AL246">
        <f t="shared" si="233"/>
        <v>1.915575702815076E-3</v>
      </c>
      <c r="AM246" t="str">
        <f t="shared" si="213"/>
        <v>1-0.00428577613946607i</v>
      </c>
      <c r="AN246">
        <f t="shared" si="234"/>
        <v>1.0000091838963867</v>
      </c>
      <c r="AO246">
        <f t="shared" si="235"/>
        <v>-4.285749899552091E-3</v>
      </c>
      <c r="AP246" s="42" t="str">
        <f t="shared" si="236"/>
        <v>26.7530949503785-22.7181689323021i</v>
      </c>
      <c r="AQ246">
        <f t="shared" si="237"/>
        <v>30.905554618664283</v>
      </c>
      <c r="AR246" s="44">
        <f t="shared" si="238"/>
        <v>-40.337219588941331</v>
      </c>
      <c r="AS246" t="str">
        <f t="shared" si="214"/>
        <v>-0.000166666666666667</v>
      </c>
      <c r="AT246" t="str">
        <f t="shared" si="215"/>
        <v>0.000151091218365814i</v>
      </c>
      <c r="AU246">
        <f t="shared" si="239"/>
        <v>1.5109121836581399E-4</v>
      </c>
      <c r="AV246">
        <f t="shared" si="240"/>
        <v>1.5707963267948966</v>
      </c>
      <c r="AW246" t="str">
        <f t="shared" si="216"/>
        <v>1+0.0275269475921956i</v>
      </c>
      <c r="AX246">
        <f t="shared" si="241"/>
        <v>1.0003787946791673</v>
      </c>
      <c r="AY246">
        <f t="shared" si="242"/>
        <v>2.7519998060695518E-2</v>
      </c>
      <c r="AZ246" t="str">
        <f t="shared" si="217"/>
        <v>1+0.560306578408882i</v>
      </c>
      <c r="BA246">
        <f t="shared" si="243"/>
        <v>1.1462737290055411</v>
      </c>
      <c r="BB246">
        <f t="shared" si="244"/>
        <v>0.51072167936165902</v>
      </c>
      <c r="BC246" s="42" t="str">
        <f t="shared" si="245"/>
        <v>-0.58725697586167+1.11925178225462i</v>
      </c>
      <c r="BD246">
        <f t="shared" si="246"/>
        <v>2.0346677631872492</v>
      </c>
      <c r="BE246" s="44">
        <f t="shared" si="247"/>
        <v>117.68541699217077</v>
      </c>
      <c r="BF246" s="42" t="str">
        <f t="shared" si="248"/>
        <v>5.76461028372015+8.4396532033861i</v>
      </c>
      <c r="BG246" s="20">
        <f t="shared" si="249"/>
        <v>20.189436933635179</v>
      </c>
      <c r="BH246" s="44">
        <f t="shared" si="250"/>
        <v>55.665409481547321</v>
      </c>
      <c r="BI246" s="42" t="str">
        <f t="shared" si="255"/>
        <v>9.71640943154127+43.2848523883365i</v>
      </c>
      <c r="BJ246" s="20">
        <f t="shared" si="251"/>
        <v>32.940222381851534</v>
      </c>
      <c r="BK246" s="44">
        <f t="shared" si="256"/>
        <v>77.348197403229463</v>
      </c>
      <c r="BL246">
        <f t="shared" si="252"/>
        <v>20.189436933635179</v>
      </c>
      <c r="BM246" s="44">
        <f t="shared" si="253"/>
        <v>55.665409481547321</v>
      </c>
    </row>
    <row r="247" spans="14:65" x14ac:dyDescent="0.35">
      <c r="N247" s="9">
        <v>29</v>
      </c>
      <c r="O247" s="35">
        <f t="shared" si="254"/>
        <v>1949.8445997580463</v>
      </c>
      <c r="P247" s="34" t="str">
        <f t="shared" si="206"/>
        <v>16.3709677419355</v>
      </c>
      <c r="Q247" s="4" t="str">
        <f t="shared" si="207"/>
        <v>1+1.80211713963237i</v>
      </c>
      <c r="R247" s="4">
        <f t="shared" si="218"/>
        <v>2.060976997677741</v>
      </c>
      <c r="S247" s="4">
        <f t="shared" si="219"/>
        <v>1.0641966993626546</v>
      </c>
      <c r="T247" s="4" t="str">
        <f t="shared" si="208"/>
        <v>1+0.00196019759047731i</v>
      </c>
      <c r="U247" s="4">
        <f t="shared" si="220"/>
        <v>1.0000019211854514</v>
      </c>
      <c r="V247" s="4">
        <f t="shared" si="221"/>
        <v>1.9601950798786246E-3</v>
      </c>
      <c r="W247" t="str">
        <f t="shared" si="209"/>
        <v>1-0.0256525858141546i</v>
      </c>
      <c r="X247" s="4">
        <f t="shared" si="222"/>
        <v>1.000328973467705</v>
      </c>
      <c r="Y247" s="4">
        <f t="shared" si="223"/>
        <v>-2.5646961096000689E-2</v>
      </c>
      <c r="Z247" t="str">
        <f t="shared" si="210"/>
        <v>0.999996710097165+0.00505199616641658i</v>
      </c>
      <c r="AA247" s="4">
        <f t="shared" si="224"/>
        <v>1.0000094713903558</v>
      </c>
      <c r="AB247" s="4">
        <f t="shared" si="225"/>
        <v>5.051969807146053E-3</v>
      </c>
      <c r="AC247" s="48" t="str">
        <f t="shared" si="226"/>
        <v>3.65414688427618-7.05576808936121i</v>
      </c>
      <c r="AD247" s="20">
        <f t="shared" si="227"/>
        <v>18.002815538544187</v>
      </c>
      <c r="AE247" s="44">
        <f t="shared" si="228"/>
        <v>-62.620587716447311</v>
      </c>
      <c r="AF247" t="str">
        <f t="shared" si="229"/>
        <v>45.9520231294187</v>
      </c>
      <c r="AG247" t="str">
        <f t="shared" si="211"/>
        <v>1+0.864793054622341i</v>
      </c>
      <c r="AH247">
        <f t="shared" si="230"/>
        <v>1.3220692218348626</v>
      </c>
      <c r="AI247">
        <f t="shared" si="231"/>
        <v>0.71301974981874605</v>
      </c>
      <c r="AJ247" t="str">
        <f t="shared" si="212"/>
        <v>1+0.00196019759047731i</v>
      </c>
      <c r="AK247">
        <f t="shared" si="232"/>
        <v>1.0000019211854514</v>
      </c>
      <c r="AL247">
        <f t="shared" si="233"/>
        <v>1.9601950798786246E-3</v>
      </c>
      <c r="AM247" t="str">
        <f t="shared" si="213"/>
        <v>1-0.00438560468999967i</v>
      </c>
      <c r="AN247">
        <f t="shared" si="234"/>
        <v>1.0000096167180079</v>
      </c>
      <c r="AO247">
        <f t="shared" si="235"/>
        <v>-4.3855765734398767E-3</v>
      </c>
      <c r="AP247" s="42" t="str">
        <f t="shared" si="236"/>
        <v>26.2354253593473-22.7996659989618i</v>
      </c>
      <c r="AQ247">
        <f t="shared" si="237"/>
        <v>30.821109056156949</v>
      </c>
      <c r="AR247" s="44">
        <f t="shared" si="238"/>
        <v>-40.991986497378079</v>
      </c>
      <c r="AS247" t="str">
        <f t="shared" si="214"/>
        <v>-0.000166666666666667</v>
      </c>
      <c r="AT247" t="str">
        <f t="shared" si="215"/>
        <v>0.000154610584948898i</v>
      </c>
      <c r="AU247">
        <f t="shared" si="239"/>
        <v>1.5461058494889801E-4</v>
      </c>
      <c r="AV247">
        <f t="shared" si="240"/>
        <v>1.5707963267948966</v>
      </c>
      <c r="AW247" t="str">
        <f t="shared" si="216"/>
        <v>1+0.0281681325699731i</v>
      </c>
      <c r="AX247">
        <f t="shared" si="241"/>
        <v>1.0003966431833324</v>
      </c>
      <c r="AY247">
        <f t="shared" si="242"/>
        <v>2.8160686172257962E-2</v>
      </c>
      <c r="AZ247" t="str">
        <f t="shared" si="217"/>
        <v>1+0.573357795214613i</v>
      </c>
      <c r="BA247">
        <f t="shared" si="243"/>
        <v>1.1527094869625052</v>
      </c>
      <c r="BB247">
        <f t="shared" si="244"/>
        <v>0.52059924353043696</v>
      </c>
      <c r="BC247" s="42" t="str">
        <f t="shared" si="245"/>
        <v>-0.587236021043103+1.09451842057947i</v>
      </c>
      <c r="BD247">
        <f t="shared" si="246"/>
        <v>1.8831433607584522</v>
      </c>
      <c r="BE247" s="44">
        <f t="shared" si="247"/>
        <v>118.21465100613447</v>
      </c>
      <c r="BF247" s="42" t="str">
        <f t="shared" si="248"/>
        <v>5.57682146851326+8.14293225454273i</v>
      </c>
      <c r="BG247" s="20">
        <f t="shared" si="249"/>
        <v>19.88595889930264</v>
      </c>
      <c r="BH247" s="44">
        <f t="shared" si="250"/>
        <v>55.59406328968717</v>
      </c>
      <c r="BI247" s="42" t="str">
        <f t="shared" si="255"/>
        <v>9.54826762052668+42.1039414698854i</v>
      </c>
      <c r="BJ247" s="20">
        <f t="shared" si="251"/>
        <v>32.704252416915395</v>
      </c>
      <c r="BK247" s="44">
        <f t="shared" si="256"/>
        <v>77.222664508756395</v>
      </c>
      <c r="BL247">
        <f t="shared" si="252"/>
        <v>19.88595889930264</v>
      </c>
      <c r="BM247" s="44">
        <f t="shared" si="253"/>
        <v>55.59406328968717</v>
      </c>
    </row>
    <row r="248" spans="14:65" x14ac:dyDescent="0.35">
      <c r="N248" s="9">
        <v>30</v>
      </c>
      <c r="O248" s="35">
        <f t="shared" si="254"/>
        <v>1995.2623149688804</v>
      </c>
      <c r="P248" s="34" t="str">
        <f t="shared" si="206"/>
        <v>16.3709677419355</v>
      </c>
      <c r="Q248" s="4" t="str">
        <f t="shared" si="207"/>
        <v>1+1.84409384025484i</v>
      </c>
      <c r="R248" s="4">
        <f t="shared" si="218"/>
        <v>2.097780277261144</v>
      </c>
      <c r="S248" s="4">
        <f t="shared" si="219"/>
        <v>1.0739058665753416</v>
      </c>
      <c r="T248" s="4" t="str">
        <f t="shared" si="208"/>
        <v>1+0.00200585645782106i</v>
      </c>
      <c r="U248" s="4">
        <f t="shared" si="220"/>
        <v>1.000002011728041</v>
      </c>
      <c r="V248" s="4">
        <f t="shared" si="221"/>
        <v>2.0058537676663933E-3</v>
      </c>
      <c r="W248" t="str">
        <f t="shared" si="209"/>
        <v>1-0.0262501112975051i</v>
      </c>
      <c r="X248" s="4">
        <f t="shared" si="222"/>
        <v>1.000344474840108</v>
      </c>
      <c r="Y248" s="4">
        <f t="shared" si="223"/>
        <v>-2.6244084415502838E-2</v>
      </c>
      <c r="Z248" t="str">
        <f t="shared" si="210"/>
        <v>0.999996555048822+0.00516967227412333i</v>
      </c>
      <c r="AA248" s="4">
        <f t="shared" si="224"/>
        <v>1.000009917761286</v>
      </c>
      <c r="AB248" s="4">
        <f t="shared" si="225"/>
        <v>5.169644029670661E-3</v>
      </c>
      <c r="AC248" s="48" t="str">
        <f t="shared" si="226"/>
        <v>3.51795782250376-6.96897234022279i</v>
      </c>
      <c r="AD248" s="20">
        <f t="shared" si="227"/>
        <v>17.849209980105229</v>
      </c>
      <c r="AE248" s="44">
        <f t="shared" si="228"/>
        <v>-63.215220852577204</v>
      </c>
      <c r="AF248" t="str">
        <f t="shared" si="229"/>
        <v>45.9520231294187</v>
      </c>
      <c r="AG248" t="str">
        <f t="shared" si="211"/>
        <v>1+0.884936672568111i</v>
      </c>
      <c r="AH248">
        <f t="shared" si="230"/>
        <v>1.3353325108211513</v>
      </c>
      <c r="AI248">
        <f t="shared" si="231"/>
        <v>0.72443021322070666</v>
      </c>
      <c r="AJ248" t="str">
        <f t="shared" si="212"/>
        <v>1+0.00200585645782106i</v>
      </c>
      <c r="AK248">
        <f t="shared" si="232"/>
        <v>1.000002011728041</v>
      </c>
      <c r="AL248">
        <f t="shared" si="233"/>
        <v>2.0058537676663933E-3</v>
      </c>
      <c r="AM248" t="str">
        <f t="shared" si="213"/>
        <v>1-0.00448775854619027i</v>
      </c>
      <c r="AN248">
        <f t="shared" si="234"/>
        <v>1.0000100699376826</v>
      </c>
      <c r="AO248">
        <f t="shared" si="235"/>
        <v>-4.4877284187700402E-3</v>
      </c>
      <c r="AP248" s="42" t="str">
        <f t="shared" si="236"/>
        <v>25.71430601919-22.8695808281898i</v>
      </c>
      <c r="AQ248">
        <f t="shared" si="237"/>
        <v>30.734409221430006</v>
      </c>
      <c r="AR248" s="44">
        <f t="shared" si="238"/>
        <v>-41.648994712097505</v>
      </c>
      <c r="AS248" t="str">
        <f t="shared" si="214"/>
        <v>-0.000166666666666667</v>
      </c>
      <c r="AT248" t="str">
        <f t="shared" si="215"/>
        <v>0.000158211928110636i</v>
      </c>
      <c r="AU248">
        <f t="shared" si="239"/>
        <v>1.5821192811063601E-4</v>
      </c>
      <c r="AV248">
        <f t="shared" si="240"/>
        <v>1.5707963267948966</v>
      </c>
      <c r="AW248" t="str">
        <f t="shared" si="216"/>
        <v>1+0.0288242526644888i</v>
      </c>
      <c r="AX248">
        <f t="shared" si="241"/>
        <v>1.000415332520282</v>
      </c>
      <c r="AY248">
        <f t="shared" si="242"/>
        <v>2.881627388447856E-2</v>
      </c>
      <c r="AZ248" t="str">
        <f t="shared" si="217"/>
        <v>1+0.586713013912658i</v>
      </c>
      <c r="BA248">
        <f t="shared" si="243"/>
        <v>1.1594102641836816</v>
      </c>
      <c r="BB248">
        <f t="shared" si="244"/>
        <v>0.53059236632916051</v>
      </c>
      <c r="BC248" s="42" t="str">
        <f t="shared" si="245"/>
        <v>-0.587214080257123+1.07036533145399i</v>
      </c>
      <c r="BD248">
        <f t="shared" si="246"/>
        <v>1.7333265601752592</v>
      </c>
      <c r="BE248" s="44">
        <f t="shared" si="247"/>
        <v>118.74965235764654</v>
      </c>
      <c r="BF248" s="42" t="str">
        <f t="shared" si="248"/>
        <v>5.39355202171136+7.85777877382665i</v>
      </c>
      <c r="BG248" s="20">
        <f t="shared" si="249"/>
        <v>19.58253654028049</v>
      </c>
      <c r="BH248" s="44">
        <f t="shared" si="250"/>
        <v>55.534431505069342</v>
      </c>
      <c r="BI248" s="42" t="str">
        <f t="shared" si="255"/>
        <v>9.37900390487034+40.953041557231i</v>
      </c>
      <c r="BJ248" s="20">
        <f t="shared" si="251"/>
        <v>32.467735781605256</v>
      </c>
      <c r="BK248" s="44">
        <f t="shared" si="256"/>
        <v>77.10065764554902</v>
      </c>
      <c r="BL248">
        <f t="shared" si="252"/>
        <v>19.58253654028049</v>
      </c>
      <c r="BM248" s="44">
        <f t="shared" si="253"/>
        <v>55.534431505069342</v>
      </c>
    </row>
    <row r="249" spans="14:65" x14ac:dyDescent="0.35">
      <c r="N249" s="9">
        <v>31</v>
      </c>
      <c r="O249" s="35">
        <f t="shared" si="254"/>
        <v>2041.7379446695318</v>
      </c>
      <c r="P249" s="34" t="str">
        <f t="shared" si="206"/>
        <v>16.3709677419355</v>
      </c>
      <c r="Q249" s="4" t="str">
        <f t="shared" si="207"/>
        <v>1+1.88704830384088i</v>
      </c>
      <c r="R249" s="4">
        <f t="shared" si="218"/>
        <v>2.1356383825518641</v>
      </c>
      <c r="S249" s="4">
        <f t="shared" si="219"/>
        <v>1.083493849203478</v>
      </c>
      <c r="T249" s="4" t="str">
        <f t="shared" si="208"/>
        <v>1+0.00205257885680938i</v>
      </c>
      <c r="U249" s="4">
        <f t="shared" si="220"/>
        <v>1.0000021065377629</v>
      </c>
      <c r="V249" s="4">
        <f t="shared" si="221"/>
        <v>2.0525759742570484E-3</v>
      </c>
      <c r="W249" t="str">
        <f t="shared" si="209"/>
        <v>1-0.0268615549373268i</v>
      </c>
      <c r="X249" s="4">
        <f t="shared" si="222"/>
        <v>1.0003607065122315</v>
      </c>
      <c r="Y249" s="4">
        <f t="shared" si="223"/>
        <v>-2.6855097142668038E-2</v>
      </c>
      <c r="Z249" t="str">
        <f t="shared" si="210"/>
        <v>0.999996392693274+0.0052900894104985i</v>
      </c>
      <c r="AA249" s="4">
        <f t="shared" si="224"/>
        <v>1.00001038516884</v>
      </c>
      <c r="AB249" s="4">
        <f t="shared" si="225"/>
        <v>5.2900591460385586E-3</v>
      </c>
      <c r="AC249" s="48" t="str">
        <f t="shared" si="226"/>
        <v>3.38514712883119-6.88068005326639i</v>
      </c>
      <c r="AD249" s="20">
        <f t="shared" si="227"/>
        <v>17.693993288806713</v>
      </c>
      <c r="AE249" s="44">
        <f t="shared" si="228"/>
        <v>-63.803802534419773</v>
      </c>
      <c r="AF249" t="str">
        <f t="shared" si="229"/>
        <v>45.9520231294187</v>
      </c>
      <c r="AG249" t="str">
        <f t="shared" si="211"/>
        <v>1+0.905549495651193i</v>
      </c>
      <c r="AH249">
        <f t="shared" si="230"/>
        <v>1.3490811276843695</v>
      </c>
      <c r="AI249">
        <f t="shared" si="231"/>
        <v>0.73587267480760932</v>
      </c>
      <c r="AJ249" t="str">
        <f t="shared" si="212"/>
        <v>1+0.00205257885680938i</v>
      </c>
      <c r="AK249">
        <f t="shared" si="232"/>
        <v>1.0000021065377629</v>
      </c>
      <c r="AL249">
        <f t="shared" si="233"/>
        <v>2.0525759742570484E-3</v>
      </c>
      <c r="AM249" t="str">
        <f t="shared" si="213"/>
        <v>1-0.00459229187136456i</v>
      </c>
      <c r="AN249">
        <f t="shared" si="234"/>
        <v>1.0000105445167224</v>
      </c>
      <c r="AO249">
        <f t="shared" si="235"/>
        <v>-4.5922595892705503E-3</v>
      </c>
      <c r="AP249" s="42" t="str">
        <f t="shared" si="236"/>
        <v>25.1902599749707-22.927732166844i</v>
      </c>
      <c r="AQ249">
        <f t="shared" si="237"/>
        <v>30.645441282062983</v>
      </c>
      <c r="AR249" s="44">
        <f t="shared" si="238"/>
        <v>-42.307911677917616</v>
      </c>
      <c r="AS249" t="str">
        <f t="shared" si="214"/>
        <v>-0.000166666666666667</v>
      </c>
      <c r="AT249" t="str">
        <f t="shared" si="215"/>
        <v>0.00016189715733084i</v>
      </c>
      <c r="AU249">
        <f t="shared" si="239"/>
        <v>1.6189715733083999E-4</v>
      </c>
      <c r="AV249">
        <f t="shared" si="240"/>
        <v>1.5707963267948966</v>
      </c>
      <c r="AW249" t="str">
        <f t="shared" si="216"/>
        <v>1+0.0294956557593012i</v>
      </c>
      <c r="AX249">
        <f t="shared" si="241"/>
        <v>1.0004349022843371</v>
      </c>
      <c r="AY249">
        <f t="shared" si="242"/>
        <v>2.9487106543201642E-2</v>
      </c>
      <c r="AZ249" t="str">
        <f t="shared" si="217"/>
        <v>1+0.600379315616742i</v>
      </c>
      <c r="BA249">
        <f t="shared" si="243"/>
        <v>1.166385580595211</v>
      </c>
      <c r="BB249">
        <f t="shared" si="244"/>
        <v>0.54069836213890232</v>
      </c>
      <c r="BC249" s="42" t="str">
        <f t="shared" si="245"/>
        <v>-0.587191107190951+1.04677970462054i</v>
      </c>
      <c r="BD249">
        <f t="shared" si="246"/>
        <v>1.5852566760501821</v>
      </c>
      <c r="BE249" s="44">
        <f t="shared" si="247"/>
        <v>119.29024738521713</v>
      </c>
      <c r="BF249" s="42" t="str">
        <f t="shared" si="248"/>
        <v>5.21482794316398+7.58377745031917i</v>
      </c>
      <c r="BG249" s="20">
        <f t="shared" si="249"/>
        <v>19.279249964856898</v>
      </c>
      <c r="BH249" s="44">
        <f t="shared" si="250"/>
        <v>55.486444850797369</v>
      </c>
      <c r="BI249" s="42" t="str">
        <f t="shared" si="255"/>
        <v>9.20878806009687+39.8316133323412i</v>
      </c>
      <c r="BJ249" s="20">
        <f t="shared" si="251"/>
        <v>32.230697958113176</v>
      </c>
      <c r="BK249" s="44">
        <f t="shared" si="256"/>
        <v>76.982335707299526</v>
      </c>
      <c r="BL249">
        <f t="shared" si="252"/>
        <v>19.279249964856898</v>
      </c>
      <c r="BM249" s="44">
        <f t="shared" si="253"/>
        <v>55.486444850797369</v>
      </c>
    </row>
    <row r="250" spans="14:65" x14ac:dyDescent="0.35">
      <c r="N250" s="9">
        <v>32</v>
      </c>
      <c r="O250" s="35">
        <f t="shared" si="254"/>
        <v>2089.2961308540398</v>
      </c>
      <c r="P250" s="34" t="str">
        <f t="shared" si="206"/>
        <v>16.3709677419355</v>
      </c>
      <c r="Q250" s="4" t="str">
        <f t="shared" si="207"/>
        <v>1+1.93100330541566i</v>
      </c>
      <c r="R250" s="4">
        <f t="shared" si="218"/>
        <v>2.1745743872137839</v>
      </c>
      <c r="S250" s="4">
        <f t="shared" si="219"/>
        <v>1.0929586787730488</v>
      </c>
      <c r="T250" s="4" t="str">
        <f t="shared" si="208"/>
        <v>1+0.00210038956027669i</v>
      </c>
      <c r="U250" s="4">
        <f t="shared" si="220"/>
        <v>1.0000022058157196</v>
      </c>
      <c r="V250" s="4">
        <f t="shared" si="221"/>
        <v>2.1003864715665862E-3</v>
      </c>
      <c r="W250" t="str">
        <f t="shared" si="209"/>
        <v>1-0.0274872409291311i</v>
      </c>
      <c r="X250" s="4">
        <f t="shared" si="222"/>
        <v>1.0003777028772163</v>
      </c>
      <c r="Y250" s="4">
        <f t="shared" si="223"/>
        <v>-2.748032141858002E-2</v>
      </c>
      <c r="Z250" t="str">
        <f t="shared" si="210"/>
        <v>0.999996222686146+0.00541331142230177i</v>
      </c>
      <c r="AA250" s="4">
        <f t="shared" si="224"/>
        <v>1.0000108746044287</v>
      </c>
      <c r="AB250" s="4">
        <f t="shared" si="225"/>
        <v>5.4132789933670289E-3</v>
      </c>
      <c r="AC250" s="48" t="str">
        <f t="shared" si="226"/>
        <v>3.2557262145035-6.7910391333328i</v>
      </c>
      <c r="AD250" s="20">
        <f t="shared" si="227"/>
        <v>17.5372064559532</v>
      </c>
      <c r="AE250" s="44">
        <f t="shared" si="228"/>
        <v>-64.386240672317555</v>
      </c>
      <c r="AF250" t="str">
        <f t="shared" si="229"/>
        <v>45.9520231294187</v>
      </c>
      <c r="AG250" t="str">
        <f t="shared" si="211"/>
        <v>1+0.926642453063243i</v>
      </c>
      <c r="AH250">
        <f t="shared" si="230"/>
        <v>1.3633291003345687</v>
      </c>
      <c r="AI250">
        <f t="shared" si="231"/>
        <v>0.74734121720072866</v>
      </c>
      <c r="AJ250" t="str">
        <f t="shared" si="212"/>
        <v>1+0.00210038956027669i</v>
      </c>
      <c r="AK250">
        <f t="shared" si="232"/>
        <v>1.0000022058157196</v>
      </c>
      <c r="AL250">
        <f t="shared" si="233"/>
        <v>2.1003864715665862E-3</v>
      </c>
      <c r="AM250" t="str">
        <f t="shared" si="213"/>
        <v>1-0.00469926009047525i</v>
      </c>
      <c r="AN250">
        <f t="shared" si="234"/>
        <v>1.000011041461742</v>
      </c>
      <c r="AO250">
        <f t="shared" si="235"/>
        <v>-4.6992254996089337E-3</v>
      </c>
      <c r="AP250" s="42" t="str">
        <f t="shared" si="236"/>
        <v>24.6638223964589-22.9739682460849i</v>
      </c>
      <c r="AQ250">
        <f t="shared" si="237"/>
        <v>30.554193703318326</v>
      </c>
      <c r="AR250" s="44">
        <f t="shared" si="238"/>
        <v>-42.968400109712256</v>
      </c>
      <c r="AS250" t="str">
        <f t="shared" si="214"/>
        <v>-0.000166666666666667</v>
      </c>
      <c r="AT250" t="str">
        <f t="shared" si="215"/>
        <v>0.000165668226566823i</v>
      </c>
      <c r="AU250">
        <f t="shared" si="239"/>
        <v>1.65668226566823E-4</v>
      </c>
      <c r="AV250">
        <f t="shared" si="240"/>
        <v>1.5707963267948966</v>
      </c>
      <c r="AW250" t="str">
        <f t="shared" si="216"/>
        <v>1+0.0301826978412185i</v>
      </c>
      <c r="AX250">
        <f t="shared" si="241"/>
        <v>1.0004553939326701</v>
      </c>
      <c r="AY250">
        <f t="shared" si="242"/>
        <v>3.0173537416314719E-2</v>
      </c>
      <c r="AZ250" t="str">
        <f t="shared" si="217"/>
        <v>1+0.61436394638093i</v>
      </c>
      <c r="BA250">
        <f t="shared" si="243"/>
        <v>1.1736452013333289</v>
      </c>
      <c r="BB250">
        <f t="shared" si="244"/>
        <v>0.55091433167079373</v>
      </c>
      <c r="BC250" s="42" t="str">
        <f t="shared" si="245"/>
        <v>-0.58716705336403+1.02374903041431i</v>
      </c>
      <c r="BD250">
        <f t="shared" si="246"/>
        <v>1.438972474202743</v>
      </c>
      <c r="BE250" s="44">
        <f t="shared" si="247"/>
        <v>119.836249731072</v>
      </c>
      <c r="BF250" s="42" t="str">
        <f t="shared" si="248"/>
        <v>5.04066456032504+7.32052099259125i</v>
      </c>
      <c r="BG250" s="20">
        <f t="shared" si="249"/>
        <v>18.976178930155946</v>
      </c>
      <c r="BH250" s="44">
        <f t="shared" si="250"/>
        <v>55.450009058754482</v>
      </c>
      <c r="BI250" s="42" t="str">
        <f t="shared" si="255"/>
        <v>9.03779379547602+38.739121503818i</v>
      </c>
      <c r="BJ250" s="20">
        <f t="shared" si="251"/>
        <v>31.993166177521069</v>
      </c>
      <c r="BK250" s="44">
        <f t="shared" si="256"/>
        <v>76.867849621359767</v>
      </c>
      <c r="BL250">
        <f t="shared" si="252"/>
        <v>18.976178930155946</v>
      </c>
      <c r="BM250" s="44">
        <f t="shared" si="253"/>
        <v>55.450009058754482</v>
      </c>
    </row>
    <row r="251" spans="14:65" x14ac:dyDescent="0.35">
      <c r="N251" s="9">
        <v>33</v>
      </c>
      <c r="O251" s="35">
        <f t="shared" si="254"/>
        <v>2137.9620895022344</v>
      </c>
      <c r="P251" s="34" t="str">
        <f t="shared" si="206"/>
        <v>16.3709677419355</v>
      </c>
      <c r="Q251" s="4" t="str">
        <f t="shared" si="207"/>
        <v>1+1.97598215050282i</v>
      </c>
      <c r="R251" s="4">
        <f t="shared" si="218"/>
        <v>2.2146118077680677</v>
      </c>
      <c r="S251" s="4">
        <f t="shared" si="219"/>
        <v>1.1022985897020716</v>
      </c>
      <c r="T251" s="4" t="str">
        <f t="shared" si="208"/>
        <v>1+0.00214931391809078i</v>
      </c>
      <c r="U251" s="4">
        <f t="shared" si="220"/>
        <v>1.0000023097724917</v>
      </c>
      <c r="V251" s="4">
        <f t="shared" si="221"/>
        <v>2.1493106084786882E-3</v>
      </c>
      <c r="W251" t="str">
        <f t="shared" si="209"/>
        <v>1-0.0281275010199125i</v>
      </c>
      <c r="X251" s="4">
        <f t="shared" si="222"/>
        <v>1.0003954999467086</v>
      </c>
      <c r="Y251" s="4">
        <f t="shared" si="223"/>
        <v>-2.8120086789077594E-2</v>
      </c>
      <c r="Z251" t="str">
        <f t="shared" si="210"/>
        <v>0.999996044666829+0.00553940364347475i</v>
      </c>
      <c r="AA251" s="4">
        <f t="shared" si="224"/>
        <v>1.0000113871061809</v>
      </c>
      <c r="AB251" s="4">
        <f t="shared" si="225"/>
        <v>5.5393688952657151E-3</v>
      </c>
      <c r="AC251" s="48" t="str">
        <f t="shared" si="226"/>
        <v>3.12969891430813-6.70019470195498i</v>
      </c>
      <c r="AD251" s="20">
        <f t="shared" si="227"/>
        <v>17.37889057783768</v>
      </c>
      <c r="AE251" s="44">
        <f t="shared" si="228"/>
        <v>-64.962455277843461</v>
      </c>
      <c r="AF251" t="str">
        <f t="shared" si="229"/>
        <v>45.9520231294187</v>
      </c>
      <c r="AG251" t="str">
        <f t="shared" si="211"/>
        <v>1+0.948226728569461i</v>
      </c>
      <c r="AH251">
        <f t="shared" si="230"/>
        <v>1.3780906823476975</v>
      </c>
      <c r="AI251">
        <f t="shared" si="231"/>
        <v>0.75882985475120168</v>
      </c>
      <c r="AJ251" t="str">
        <f t="shared" si="212"/>
        <v>1+0.00214931391809078i</v>
      </c>
      <c r="AK251">
        <f t="shared" si="232"/>
        <v>1.0000023097724917</v>
      </c>
      <c r="AL251">
        <f t="shared" si="233"/>
        <v>2.1493106084786882E-3</v>
      </c>
      <c r="AM251" t="str">
        <f t="shared" si="213"/>
        <v>1-0.00480871991948793i</v>
      </c>
      <c r="AN251">
        <f t="shared" si="234"/>
        <v>1.0000115618267942</v>
      </c>
      <c r="AO251">
        <f t="shared" si="235"/>
        <v>-4.8086828547300314E-3</v>
      </c>
      <c r="AP251" s="42" t="str">
        <f t="shared" si="236"/>
        <v>24.1355384371448-23.008167740603i</v>
      </c>
      <c r="AQ251">
        <f t="shared" si="237"/>
        <v>30.460657296177061</v>
      </c>
      <c r="AR251" s="44">
        <f t="shared" si="238"/>
        <v>-43.630118851633547</v>
      </c>
      <c r="AS251" t="str">
        <f t="shared" si="214"/>
        <v>-0.000166666666666667</v>
      </c>
      <c r="AT251" t="str">
        <f t="shared" si="215"/>
        <v>0.000169527135289411i</v>
      </c>
      <c r="AU251">
        <f t="shared" si="239"/>
        <v>1.6952713528941101E-4</v>
      </c>
      <c r="AV251">
        <f t="shared" si="240"/>
        <v>1.5707963267948966</v>
      </c>
      <c r="AW251" t="str">
        <f t="shared" si="216"/>
        <v>1+0.0308857431890463i</v>
      </c>
      <c r="AX251">
        <f t="shared" si="241"/>
        <v>1.0004768508727924</v>
      </c>
      <c r="AY251">
        <f t="shared" si="242"/>
        <v>3.0875927869571652E-2</v>
      </c>
      <c r="AZ251" t="str">
        <f t="shared" si="217"/>
        <v>1+0.628674321041553i</v>
      </c>
      <c r="BA251">
        <f t="shared" si="243"/>
        <v>1.1811991372910233</v>
      </c>
      <c r="BB251">
        <f t="shared" si="244"/>
        <v>0.56123716151756742</v>
      </c>
      <c r="BC251" s="42" t="str">
        <f t="shared" si="245"/>
        <v>-0.587141868027268+1.00126109311048i</v>
      </c>
      <c r="BD251">
        <f t="shared" si="246"/>
        <v>1.2945120621371118</v>
      </c>
      <c r="BE251" s="44">
        <f t="shared" si="247"/>
        <v>120.38746030538195</v>
      </c>
      <c r="BF251" s="42" t="str">
        <f t="shared" si="248"/>
        <v>4.8710670044227+7.06761058949909i</v>
      </c>
      <c r="BG251" s="20">
        <f t="shared" si="249"/>
        <v>18.673402639974789</v>
      </c>
      <c r="BH251" s="44">
        <f t="shared" si="250"/>
        <v>55.425005027538504</v>
      </c>
      <c r="BI251" s="42" t="str">
        <f t="shared" si="255"/>
        <v>8.86619805859632+37.675034185488i</v>
      </c>
      <c r="BJ251" s="20">
        <f t="shared" si="251"/>
        <v>31.755169358314181</v>
      </c>
      <c r="BK251" s="44">
        <f t="shared" si="256"/>
        <v>76.757341453748424</v>
      </c>
      <c r="BL251">
        <f t="shared" si="252"/>
        <v>18.673402639974789</v>
      </c>
      <c r="BM251" s="44">
        <f t="shared" si="253"/>
        <v>55.425005027538504</v>
      </c>
    </row>
    <row r="252" spans="14:65" x14ac:dyDescent="0.35">
      <c r="N252" s="9">
        <v>34</v>
      </c>
      <c r="O252" s="35">
        <f t="shared" si="254"/>
        <v>2187.7616239495528</v>
      </c>
      <c r="P252" s="34" t="str">
        <f t="shared" si="206"/>
        <v>16.3709677419355</v>
      </c>
      <c r="Q252" s="4" t="str">
        <f t="shared" si="207"/>
        <v>1+2.02200868748139i</v>
      </c>
      <c r="R252" s="4">
        <f t="shared" si="218"/>
        <v>2.2557746191165053</v>
      </c>
      <c r="S252" s="4">
        <f t="shared" si="219"/>
        <v>1.1115120151769775</v>
      </c>
      <c r="T252" s="4" t="str">
        <f t="shared" si="208"/>
        <v>1+0.00219937787059379i</v>
      </c>
      <c r="U252" s="4">
        <f t="shared" si="220"/>
        <v>1.0000024186285841</v>
      </c>
      <c r="V252" s="4">
        <f t="shared" si="221"/>
        <v>2.199374324281004E-3</v>
      </c>
      <c r="W252" t="str">
        <f t="shared" si="209"/>
        <v>1-0.0287826746840463i</v>
      </c>
      <c r="X252" s="4">
        <f t="shared" si="222"/>
        <v>1.0004141354269078</v>
      </c>
      <c r="Y252" s="4">
        <f t="shared" si="223"/>
        <v>-2.8774730370183271E-2</v>
      </c>
      <c r="Z252" t="str">
        <f t="shared" si="210"/>
        <v>0.999995858257719+0.00566843292978219i</v>
      </c>
      <c r="AA252" s="4">
        <f t="shared" si="224"/>
        <v>1.0000119237611476</v>
      </c>
      <c r="AB252" s="4">
        <f t="shared" si="225"/>
        <v>5.6683956964284918E-3</v>
      </c>
      <c r="AC252" s="48" t="str">
        <f t="shared" si="226"/>
        <v>3.00706186001314-6.60828871281808i</v>
      </c>
      <c r="AD252" s="20">
        <f t="shared" si="227"/>
        <v>17.219086767506703</v>
      </c>
      <c r="AE252" s="44">
        <f t="shared" si="228"/>
        <v>-65.53237823822505</v>
      </c>
      <c r="AF252" t="str">
        <f t="shared" si="229"/>
        <v>45.9520231294187</v>
      </c>
      <c r="AG252" t="str">
        <f t="shared" si="211"/>
        <v>1+0.970313766438435i</v>
      </c>
      <c r="AH252">
        <f t="shared" si="230"/>
        <v>1.3933803520001069</v>
      </c>
      <c r="AI252">
        <f t="shared" si="231"/>
        <v>0.77033254895337955</v>
      </c>
      <c r="AJ252" t="str">
        <f t="shared" si="212"/>
        <v>1+0.00219937787059379i</v>
      </c>
      <c r="AK252">
        <f t="shared" si="232"/>
        <v>1.0000024186285841</v>
      </c>
      <c r="AL252">
        <f t="shared" si="233"/>
        <v>2.199374324281004E-3</v>
      </c>
      <c r="AM252" t="str">
        <f t="shared" si="213"/>
        <v>1-0.00492072939545288i</v>
      </c>
      <c r="AN252">
        <f t="shared" si="234"/>
        <v>1.0000121067156054</v>
      </c>
      <c r="AO252">
        <f t="shared" si="235"/>
        <v>-4.9206896798752167E-3</v>
      </c>
      <c r="AP252" s="42" t="str">
        <f t="shared" si="236"/>
        <v>23.6059610052559-23.0302405416223i</v>
      </c>
      <c r="AQ252">
        <f t="shared" si="237"/>
        <v>30.364825255884796</v>
      </c>
      <c r="AR252" s="44">
        <f t="shared" si="238"/>
        <v>-44.292723761183247</v>
      </c>
      <c r="AS252" t="str">
        <f t="shared" si="214"/>
        <v>-0.000166666666666667</v>
      </c>
      <c r="AT252" t="str">
        <f t="shared" si="215"/>
        <v>0.000173475929543085i</v>
      </c>
      <c r="AU252">
        <f t="shared" si="239"/>
        <v>1.73475929543085E-4</v>
      </c>
      <c r="AV252">
        <f t="shared" si="240"/>
        <v>1.5707963267948966</v>
      </c>
      <c r="AW252" t="str">
        <f t="shared" si="216"/>
        <v>1+0.0316051645667341i</v>
      </c>
      <c r="AX252">
        <f t="shared" si="241"/>
        <v>1.000499318554136</v>
      </c>
      <c r="AY252">
        <f t="shared" si="242"/>
        <v>3.1594647545894534E-2</v>
      </c>
      <c r="AZ252" t="str">
        <f t="shared" si="217"/>
        <v>1+0.643318027148683i</v>
      </c>
      <c r="BA252">
        <f t="shared" si="243"/>
        <v>1.1890576453875032</v>
      </c>
      <c r="BB252">
        <f t="shared" si="244"/>
        <v>0.5716635245414301</v>
      </c>
      <c r="BC252" s="42" t="str">
        <f t="shared" si="245"/>
        <v>-0.587115498057736+0.979303964425667i</v>
      </c>
      <c r="BD252">
        <f t="shared" si="246"/>
        <v>1.1519127771477813</v>
      </c>
      <c r="BE252" s="44">
        <f t="shared" si="247"/>
        <v>120.94366729821415</v>
      </c>
      <c r="BF252" s="42" t="str">
        <f t="shared" si="248"/>
        <v>4.7060307129001+6.82465631971959i</v>
      </c>
      <c r="BG252" s="20">
        <f t="shared" si="249"/>
        <v>18.370999544654484</v>
      </c>
      <c r="BH252" s="44">
        <f t="shared" si="250"/>
        <v>55.411289059989087</v>
      </c>
      <c r="BI252" s="42" t="str">
        <f t="shared" si="255"/>
        <v>8.69418031135513+36.6388223425088i</v>
      </c>
      <c r="BJ252" s="20">
        <f t="shared" si="251"/>
        <v>31.516738033032571</v>
      </c>
      <c r="BK252" s="44">
        <f t="shared" si="256"/>
        <v>76.650943537030912</v>
      </c>
      <c r="BL252">
        <f t="shared" si="252"/>
        <v>18.370999544654484</v>
      </c>
      <c r="BM252" s="44">
        <f t="shared" si="253"/>
        <v>55.411289059989087</v>
      </c>
    </row>
    <row r="253" spans="14:65" x14ac:dyDescent="0.35">
      <c r="N253" s="9">
        <v>35</v>
      </c>
      <c r="O253" s="35">
        <f t="shared" si="254"/>
        <v>2238.7211385683418</v>
      </c>
      <c r="P253" s="34" t="str">
        <f t="shared" si="206"/>
        <v>16.3709677419355</v>
      </c>
      <c r="Q253" s="4" t="str">
        <f t="shared" si="207"/>
        <v>1+2.06910732023052i</v>
      </c>
      <c r="R253" s="4">
        <f t="shared" si="218"/>
        <v>2.2980872704559161</v>
      </c>
      <c r="S253" s="4">
        <f t="shared" si="219"/>
        <v>1.1205975825243761</v>
      </c>
      <c r="T253" s="4" t="str">
        <f t="shared" si="208"/>
        <v>1+0.002250607962356i</v>
      </c>
      <c r="U253" s="4">
        <f t="shared" si="220"/>
        <v>1.0000025326148931</v>
      </c>
      <c r="V253" s="4">
        <f t="shared" si="221"/>
        <v>2.2506041624139072E-3</v>
      </c>
      <c r="W253" t="str">
        <f t="shared" si="209"/>
        <v>1-0.0294531093032813i</v>
      </c>
      <c r="X253" s="4">
        <f t="shared" si="222"/>
        <v>1.0004336487981753</v>
      </c>
      <c r="Y253" s="4">
        <f t="shared" si="223"/>
        <v>-2.9444597016881111E-2</v>
      </c>
      <c r="Z253" t="str">
        <f t="shared" si="210"/>
        <v>0.999995663063419+0.0058004676942596i</v>
      </c>
      <c r="AA253" s="4">
        <f t="shared" si="224"/>
        <v>1.0000124857076134</v>
      </c>
      <c r="AB253" s="4">
        <f t="shared" si="225"/>
        <v>5.8004277980282333E-3</v>
      </c>
      <c r="AC253" s="48" t="str">
        <f t="shared" si="226"/>
        <v>2.88780486919406-6.51545960726396i</v>
      </c>
      <c r="AD253" s="20">
        <f t="shared" si="227"/>
        <v>17.057836071141764</v>
      </c>
      <c r="AE253" s="44">
        <f t="shared" si="228"/>
        <v>-66.095953062076973</v>
      </c>
      <c r="AF253" t="str">
        <f t="shared" si="229"/>
        <v>45.9520231294187</v>
      </c>
      <c r="AG253" t="str">
        <f t="shared" si="211"/>
        <v>1+0.992915277509998i</v>
      </c>
      <c r="AH253">
        <f t="shared" si="230"/>
        <v>1.4092128115770011</v>
      </c>
      <c r="AI253">
        <f t="shared" si="231"/>
        <v>0.78184322419591024</v>
      </c>
      <c r="AJ253" t="str">
        <f t="shared" si="212"/>
        <v>1+0.002250607962356i</v>
      </c>
      <c r="AK253">
        <f t="shared" si="232"/>
        <v>1.0000025326148931</v>
      </c>
      <c r="AL253">
        <f t="shared" si="233"/>
        <v>2.2506041624139072E-3</v>
      </c>
      <c r="AM253" t="str">
        <f t="shared" si="213"/>
        <v>1-0.00503534790727685i</v>
      </c>
      <c r="AN253">
        <f t="shared" si="234"/>
        <v>1.0000126772839169</v>
      </c>
      <c r="AO253">
        <f t="shared" si="235"/>
        <v>-5.0353053512978019E-3</v>
      </c>
      <c r="AP253" s="42" t="str">
        <f t="shared" si="236"/>
        <v>23.075648465864-23.040128334565i</v>
      </c>
      <c r="AQ253">
        <f t="shared" si="237"/>
        <v>30.266693190668445</v>
      </c>
      <c r="AR253" s="44">
        <f t="shared" si="238"/>
        <v>-44.955868612654463</v>
      </c>
      <c r="AS253" t="str">
        <f t="shared" si="214"/>
        <v>-0.000166666666666667</v>
      </c>
      <c r="AT253" t="str">
        <f t="shared" si="215"/>
        <v>0.000177516703030829i</v>
      </c>
      <c r="AU253">
        <f t="shared" si="239"/>
        <v>1.7751670303082901E-4</v>
      </c>
      <c r="AV253">
        <f t="shared" si="240"/>
        <v>1.5707963267948966</v>
      </c>
      <c r="AW253" t="str">
        <f t="shared" si="216"/>
        <v>1+0.0323413434210191i</v>
      </c>
      <c r="AX253">
        <f t="shared" si="241"/>
        <v>1.0005228445639192</v>
      </c>
      <c r="AY253">
        <f t="shared" si="242"/>
        <v>3.2330074548187537E-2</v>
      </c>
      <c r="AZ253" t="str">
        <f t="shared" si="217"/>
        <v>1+0.658302828989129i</v>
      </c>
      <c r="BA253">
        <f t="shared" si="243"/>
        <v>1.1972312285666</v>
      </c>
      <c r="BB253">
        <f t="shared" si="244"/>
        <v>0.58218988113906744</v>
      </c>
      <c r="BC253" s="42" t="str">
        <f t="shared" si="245"/>
        <v>-0.587087887848465+0.957865997170252i</v>
      </c>
      <c r="BD253">
        <f t="shared" si="246"/>
        <v>1.0112110725948151</v>
      </c>
      <c r="BE253" s="44">
        <f t="shared" si="247"/>
        <v>121.50464624153715</v>
      </c>
      <c r="BF253" s="42" t="str">
        <f t="shared" si="248"/>
        <v>4.54554195256074+6.59127750985427i</v>
      </c>
      <c r="BG253" s="20">
        <f t="shared" si="249"/>
        <v>18.069047143736586</v>
      </c>
      <c r="BH253" s="44">
        <f t="shared" si="250"/>
        <v>55.408693179460201</v>
      </c>
      <c r="BI253" s="42" t="str">
        <f t="shared" si="255"/>
        <v>8.52192178356092+35.6299593078024i</v>
      </c>
      <c r="BJ253" s="20">
        <f t="shared" si="251"/>
        <v>31.277904263263267</v>
      </c>
      <c r="BK253" s="44">
        <f t="shared" si="256"/>
        <v>76.548777628882718</v>
      </c>
      <c r="BL253">
        <f t="shared" si="252"/>
        <v>18.069047143736586</v>
      </c>
      <c r="BM253" s="44">
        <f t="shared" si="253"/>
        <v>55.408693179460201</v>
      </c>
    </row>
    <row r="254" spans="14:65" x14ac:dyDescent="0.35">
      <c r="N254" s="9">
        <v>36</v>
      </c>
      <c r="O254" s="35">
        <f t="shared" si="254"/>
        <v>2290.8676527677749</v>
      </c>
      <c r="P254" s="34" t="str">
        <f t="shared" si="206"/>
        <v>16.3709677419355</v>
      </c>
      <c r="Q254" s="4" t="str">
        <f t="shared" si="207"/>
        <v>1+2.11730302106869i</v>
      </c>
      <c r="R254" s="4">
        <f t="shared" si="218"/>
        <v>2.3415747015687116</v>
      </c>
      <c r="S254" s="4">
        <f t="shared" si="219"/>
        <v>1.1295541081334646</v>
      </c>
      <c r="T254" s="4" t="str">
        <f t="shared" si="208"/>
        <v>1+0.00230303135625016i</v>
      </c>
      <c r="U254" s="4">
        <f t="shared" si="220"/>
        <v>1.0000026519731975</v>
      </c>
      <c r="V254" s="4">
        <f t="shared" si="221"/>
        <v>2.3030272845394324E-3</v>
      </c>
      <c r="W254" t="str">
        <f t="shared" si="209"/>
        <v>1-0.0301391603509268i</v>
      </c>
      <c r="X254" s="4">
        <f t="shared" si="222"/>
        <v>1.0004540813983713</v>
      </c>
      <c r="Y254" s="4">
        <f t="shared" si="223"/>
        <v>-3.0130039495290171E-2</v>
      </c>
      <c r="Z254" t="str">
        <f t="shared" si="210"/>
        <v>0.999995458669895+0.00593557794348674i</v>
      </c>
      <c r="AA254" s="4">
        <f t="shared" si="224"/>
        <v>1.000013074137502</v>
      </c>
      <c r="AB254" s="4">
        <f t="shared" si="225"/>
        <v>5.935535193933709E-3</v>
      </c>
      <c r="AC254" s="48" t="str">
        <f t="shared" si="226"/>
        <v>2.77191134549298-6.42184200952663i</v>
      </c>
      <c r="AD254" s="20">
        <f t="shared" si="227"/>
        <v>16.895179389220875</v>
      </c>
      <c r="AE254" s="44">
        <f t="shared" si="228"/>
        <v>-66.653134599610198</v>
      </c>
      <c r="AF254" t="str">
        <f t="shared" si="229"/>
        <v>45.9520231294187</v>
      </c>
      <c r="AG254" t="str">
        <f t="shared" si="211"/>
        <v>1+1.01604324540448i</v>
      </c>
      <c r="AH254">
        <f t="shared" si="230"/>
        <v>1.4256029869960531</v>
      </c>
      <c r="AI254">
        <f t="shared" si="231"/>
        <v>0.79335578375122007</v>
      </c>
      <c r="AJ254" t="str">
        <f t="shared" si="212"/>
        <v>1+0.00230303135625016i</v>
      </c>
      <c r="AK254">
        <f t="shared" si="232"/>
        <v>1.0000026519731975</v>
      </c>
      <c r="AL254">
        <f t="shared" si="233"/>
        <v>2.3030272845394324E-3</v>
      </c>
      <c r="AM254" t="str">
        <f t="shared" si="213"/>
        <v>1-0.00515263622721196i</v>
      </c>
      <c r="AN254">
        <f t="shared" si="234"/>
        <v>1.0000132747419357</v>
      </c>
      <c r="AO254">
        <f t="shared" si="235"/>
        <v>-5.1525906276915483E-3</v>
      </c>
      <c r="AP254" s="42" t="str">
        <f t="shared" si="236"/>
        <v>22.5451622942023-23.0378049745122i</v>
      </c>
      <c r="AQ254">
        <f t="shared" si="237"/>
        <v>30.166259140367096</v>
      </c>
      <c r="AR254" s="44">
        <f t="shared" si="238"/>
        <v>-45.619206014256378</v>
      </c>
      <c r="AS254" t="str">
        <f t="shared" si="214"/>
        <v>-0.000166666666666667</v>
      </c>
      <c r="AT254" t="str">
        <f t="shared" si="215"/>
        <v>0.000181651598224231i</v>
      </c>
      <c r="AU254">
        <f t="shared" si="239"/>
        <v>1.8165159822423099E-4</v>
      </c>
      <c r="AV254">
        <f t="shared" si="240"/>
        <v>1.5707963267948966</v>
      </c>
      <c r="AW254" t="str">
        <f t="shared" si="216"/>
        <v>1+0.0330946700836741i</v>
      </c>
      <c r="AX254">
        <f t="shared" si="241"/>
        <v>1.0005474787274951</v>
      </c>
      <c r="AY254">
        <f t="shared" si="242"/>
        <v>3.3082595625699616E-2</v>
      </c>
      <c r="AZ254" t="str">
        <f t="shared" si="217"/>
        <v>1+0.673636671703171i</v>
      </c>
      <c r="BA254">
        <f t="shared" si="243"/>
        <v>1.2057306355332131</v>
      </c>
      <c r="BB254">
        <f t="shared" si="244"/>
        <v>0.59281248141973641</v>
      </c>
      <c r="BC254" s="42" t="str">
        <f t="shared" si="245"/>
        <v>-0.587058979193288+0.936935819048197i</v>
      </c>
      <c r="BD254">
        <f t="shared" si="246"/>
        <v>0.87244240293841457</v>
      </c>
      <c r="BE254" s="44">
        <f t="shared" si="247"/>
        <v>122.0701601233379</v>
      </c>
      <c r="BF254" s="42" t="str">
        <f t="shared" si="248"/>
        <v>4.38957835809455+6.36710304147173i</v>
      </c>
      <c r="BG254" s="20">
        <f t="shared" si="249"/>
        <v>17.767621792159286</v>
      </c>
      <c r="BH254" s="44">
        <f t="shared" si="250"/>
        <v>55.417025523727716</v>
      </c>
      <c r="BI254" s="42" t="str">
        <f t="shared" si="255"/>
        <v>8.3496047106858+34.6479203708841i</v>
      </c>
      <c r="BJ254" s="20">
        <f t="shared" si="251"/>
        <v>31.0387015433055</v>
      </c>
      <c r="BK254" s="44">
        <f t="shared" si="256"/>
        <v>76.450954109081522</v>
      </c>
      <c r="BL254">
        <f t="shared" si="252"/>
        <v>17.767621792159286</v>
      </c>
      <c r="BM254" s="44">
        <f t="shared" si="253"/>
        <v>55.417025523727716</v>
      </c>
    </row>
    <row r="255" spans="14:65" x14ac:dyDescent="0.35">
      <c r="N255" s="9">
        <v>37</v>
      </c>
      <c r="O255" s="35">
        <f t="shared" si="254"/>
        <v>2344.2288153199238</v>
      </c>
      <c r="P255" s="34" t="str">
        <f t="shared" si="206"/>
        <v>16.3709677419355</v>
      </c>
      <c r="Q255" s="4" t="str">
        <f t="shared" si="207"/>
        <v>1+2.16662134399447i</v>
      </c>
      <c r="R255" s="4">
        <f t="shared" si="218"/>
        <v>2.3862623594760919</v>
      </c>
      <c r="S255" s="4">
        <f t="shared" si="219"/>
        <v>1.1383805919836938</v>
      </c>
      <c r="T255" s="4" t="str">
        <f t="shared" si="208"/>
        <v>1+0.00235667584785363i</v>
      </c>
      <c r="U255" s="4">
        <f t="shared" si="220"/>
        <v>1.0000027769566702</v>
      </c>
      <c r="V255" s="4">
        <f t="shared" si="221"/>
        <v>2.3566714849376342E-3</v>
      </c>
      <c r="W255" t="str">
        <f t="shared" si="209"/>
        <v>1-0.0308411915803294i</v>
      </c>
      <c r="X255" s="4">
        <f t="shared" si="222"/>
        <v>1.0004754765100914</v>
      </c>
      <c r="Y255" s="4">
        <f t="shared" si="223"/>
        <v>-3.0831418658272387E-2</v>
      </c>
      <c r="Z255" t="str">
        <f t="shared" si="210"/>
        <v>0.999995244643601+0.0060738353147062i</v>
      </c>
      <c r="AA255" s="4">
        <f t="shared" si="224"/>
        <v>1.0000136902989105</v>
      </c>
      <c r="AB255" s="4">
        <f t="shared" si="225"/>
        <v>6.0737895077674691E-3</v>
      </c>
      <c r="AC255" s="48" t="str">
        <f t="shared" si="226"/>
        <v>2.65935868656558-6.32756646102386i</v>
      </c>
      <c r="AD255" s="20">
        <f t="shared" si="227"/>
        <v>16.731157402574834</v>
      </c>
      <c r="AE255" s="44">
        <f t="shared" si="228"/>
        <v>-67.203888740449869</v>
      </c>
      <c r="AF255" t="str">
        <f t="shared" si="229"/>
        <v>45.9520231294187</v>
      </c>
      <c r="AG255" t="str">
        <f t="shared" si="211"/>
        <v>1+1.0397099328766i</v>
      </c>
      <c r="AH255">
        <f t="shared" si="230"/>
        <v>1.4425660277859949</v>
      </c>
      <c r="AI255">
        <f t="shared" si="231"/>
        <v>0.80486412590110457</v>
      </c>
      <c r="AJ255" t="str">
        <f t="shared" si="212"/>
        <v>1+0.00235667584785363i</v>
      </c>
      <c r="AK255">
        <f t="shared" si="232"/>
        <v>1.0000027769566702</v>
      </c>
      <c r="AL255">
        <f t="shared" si="233"/>
        <v>2.3566714849376342E-3</v>
      </c>
      <c r="AM255" t="str">
        <f t="shared" si="213"/>
        <v>1-0.00527265654307795i</v>
      </c>
      <c r="AN255">
        <f t="shared" si="234"/>
        <v>1.0000139003569006</v>
      </c>
      <c r="AO255">
        <f t="shared" si="235"/>
        <v>-5.2726076823482017E-3</v>
      </c>
      <c r="AP255" s="42" t="str">
        <f t="shared" si="236"/>
        <v>22.0150647010672-23.0232766549725i</v>
      </c>
      <c r="AQ255">
        <f t="shared" si="237"/>
        <v>30.063523584810561</v>
      </c>
      <c r="AR255" s="44">
        <f t="shared" si="238"/>
        <v>-46.282388333060503</v>
      </c>
      <c r="AS255" t="str">
        <f t="shared" si="214"/>
        <v>-0.000166666666666667</v>
      </c>
      <c r="AT255" t="str">
        <f t="shared" si="215"/>
        <v>0.000185882807499455i</v>
      </c>
      <c r="AU255">
        <f t="shared" si="239"/>
        <v>1.85882807499455E-4</v>
      </c>
      <c r="AV255">
        <f t="shared" si="240"/>
        <v>1.5707963267948966</v>
      </c>
      <c r="AW255" t="str">
        <f t="shared" si="216"/>
        <v>1+0.0338655439784672i</v>
      </c>
      <c r="AX255">
        <f t="shared" si="241"/>
        <v>1.0005732732133901</v>
      </c>
      <c r="AY255">
        <f t="shared" si="242"/>
        <v>3.385260636396898E-2</v>
      </c>
      <c r="AZ255" t="str">
        <f t="shared" si="217"/>
        <v>1+0.689327685497186i</v>
      </c>
      <c r="BA255">
        <f t="shared" si="243"/>
        <v>1.2145668602398583</v>
      </c>
      <c r="BB255">
        <f t="shared" si="244"/>
        <v>0.60352736832658682</v>
      </c>
      <c r="BC255" s="42" t="str">
        <f t="shared" si="245"/>
        <v>-0.587028711166398+0.91650232660076i</v>
      </c>
      <c r="BD255">
        <f t="shared" si="246"/>
        <v>0.73564110816399364</v>
      </c>
      <c r="BE255" s="44">
        <f t="shared" si="247"/>
        <v>122.63995955557782</v>
      </c>
      <c r="BF255" s="42" t="str">
        <f t="shared" si="248"/>
        <v>4.23810948094555+6.15177160793786i</v>
      </c>
      <c r="BG255" s="20">
        <f t="shared" si="249"/>
        <v>17.466798510738833</v>
      </c>
      <c r="BH255" s="44">
        <f t="shared" si="250"/>
        <v>55.436070815127948</v>
      </c>
      <c r="BI255" s="42" t="str">
        <f t="shared" si="255"/>
        <v>8.17741156254292+33.6921824403903i</v>
      </c>
      <c r="BJ255" s="20">
        <f t="shared" si="251"/>
        <v>30.799164692974557</v>
      </c>
      <c r="BK255" s="44">
        <f t="shared" si="256"/>
        <v>76.357571222517322</v>
      </c>
      <c r="BL255">
        <f t="shared" si="252"/>
        <v>17.466798510738833</v>
      </c>
      <c r="BM255" s="44">
        <f t="shared" si="253"/>
        <v>55.436070815127948</v>
      </c>
    </row>
    <row r="256" spans="14:65" x14ac:dyDescent="0.35">
      <c r="N256" s="9">
        <v>38</v>
      </c>
      <c r="O256" s="35">
        <f t="shared" si="254"/>
        <v>2398.8329190194918</v>
      </c>
      <c r="P256" s="34" t="str">
        <f t="shared" si="206"/>
        <v>16.3709677419355</v>
      </c>
      <c r="Q256" s="4" t="str">
        <f t="shared" si="207"/>
        <v>1+2.21708843823544i</v>
      </c>
      <c r="R256" s="4">
        <f t="shared" si="218"/>
        <v>2.4321762154410731</v>
      </c>
      <c r="S256" s="4">
        <f t="shared" si="219"/>
        <v>1.1470762118310329</v>
      </c>
      <c r="T256" s="4" t="str">
        <f t="shared" si="208"/>
        <v>1+0.00241156988018592i</v>
      </c>
      <c r="U256" s="4">
        <f t="shared" si="220"/>
        <v>1.0000029078304158</v>
      </c>
      <c r="V256" s="4">
        <f t="shared" si="221"/>
        <v>2.4115652052379374E-3</v>
      </c>
      <c r="W256" t="str">
        <f t="shared" si="209"/>
        <v>1-0.0315595752177392i</v>
      </c>
      <c r="X256" s="4">
        <f t="shared" si="222"/>
        <v>1.0004978794519876</v>
      </c>
      <c r="Y256" s="4">
        <f t="shared" si="223"/>
        <v>-3.1549103624513707E-2</v>
      </c>
      <c r="Z256" t="str">
        <f t="shared" si="210"/>
        <v>0.999995020530558+0.00621531311380621i</v>
      </c>
      <c r="AA256" s="4">
        <f t="shared" si="224"/>
        <v>1.0000143354987536</v>
      </c>
      <c r="AB256" s="4">
        <f t="shared" si="225"/>
        <v>6.2152640308236638E-3</v>
      </c>
      <c r="AC256" s="48" t="str">
        <f t="shared" si="226"/>
        <v>2.55011869621301-6.23275919271467i</v>
      </c>
      <c r="AD256" s="20">
        <f t="shared" si="227"/>
        <v>16.565810503412234</v>
      </c>
      <c r="AE256" s="44">
        <f t="shared" si="228"/>
        <v>-67.748192092123062</v>
      </c>
      <c r="AF256" t="str">
        <f t="shared" si="229"/>
        <v>45.9520231294187</v>
      </c>
      <c r="AG256" t="str">
        <f t="shared" si="211"/>
        <v>1+1.06392788831732i</v>
      </c>
      <c r="AH256">
        <f t="shared" si="230"/>
        <v>1.460117307458326</v>
      </c>
      <c r="AI256">
        <f t="shared" si="231"/>
        <v>0.81636216009451723</v>
      </c>
      <c r="AJ256" t="str">
        <f t="shared" si="212"/>
        <v>1+0.00241156988018592i</v>
      </c>
      <c r="AK256">
        <f t="shared" si="232"/>
        <v>1.0000029078304158</v>
      </c>
      <c r="AL256">
        <f t="shared" si="233"/>
        <v>2.4115652052379374E-3</v>
      </c>
      <c r="AM256" t="str">
        <f t="shared" si="213"/>
        <v>1-0.00539547249123492i</v>
      </c>
      <c r="AN256">
        <f t="shared" si="234"/>
        <v>1.0000145554557711</v>
      </c>
      <c r="AO256">
        <f t="shared" si="235"/>
        <v>-5.3954201360608836E-3</v>
      </c>
      <c r="AP256" s="42" t="str">
        <f t="shared" si="236"/>
        <v>21.485916251608-22.996581867935i</v>
      </c>
      <c r="AQ256">
        <f t="shared" si="237"/>
        <v>29.958489441871027</v>
      </c>
      <c r="AR256" s="44">
        <f t="shared" si="238"/>
        <v>-46.945068621814599</v>
      </c>
      <c r="AS256" t="str">
        <f t="shared" si="214"/>
        <v>-0.000166666666666667</v>
      </c>
      <c r="AT256" t="str">
        <f t="shared" si="215"/>
        <v>0.000190212574299664i</v>
      </c>
      <c r="AU256">
        <f t="shared" si="239"/>
        <v>1.9021257429966399E-4</v>
      </c>
      <c r="AV256">
        <f t="shared" si="240"/>
        <v>1.5707963267948966</v>
      </c>
      <c r="AW256" t="str">
        <f t="shared" si="216"/>
        <v>1+0.0346543738329411i</v>
      </c>
      <c r="AX256">
        <f t="shared" si="241"/>
        <v>1.0006002826432507</v>
      </c>
      <c r="AY256">
        <f t="shared" si="242"/>
        <v>3.4640511378377023E-2</v>
      </c>
      <c r="AZ256" t="str">
        <f t="shared" si="217"/>
        <v>1+0.705384189954381i</v>
      </c>
      <c r="BA256">
        <f t="shared" si="243"/>
        <v>1.2237511411384254</v>
      </c>
      <c r="BB256">
        <f t="shared" si="244"/>
        <v>0.6143303817249246</v>
      </c>
      <c r="BC256" s="42" t="str">
        <f t="shared" si="245"/>
        <v>-0.586997019996445+0.896554679290948i</v>
      </c>
      <c r="BD256">
        <f t="shared" si="246"/>
        <v>0.60084029827134577</v>
      </c>
      <c r="BE256" s="44">
        <f t="shared" si="247"/>
        <v>123.2137829973431</v>
      </c>
      <c r="BF256" s="42" t="str">
        <f t="shared" si="248"/>
        <v>4.09109734380775+5.94493192231607i</v>
      </c>
      <c r="BG256" s="20">
        <f t="shared" si="249"/>
        <v>17.166650801683584</v>
      </c>
      <c r="BH256" s="44">
        <f t="shared" si="250"/>
        <v>55.465590905220097</v>
      </c>
      <c r="BI256" s="42" t="str">
        <f t="shared" si="255"/>
        <v>8.00552426980741+32.7622237808147i</v>
      </c>
      <c r="BJ256" s="20">
        <f t="shared" si="251"/>
        <v>30.55932974014237</v>
      </c>
      <c r="BK256" s="44">
        <f t="shared" si="256"/>
        <v>76.268714375528532</v>
      </c>
      <c r="BL256">
        <f t="shared" si="252"/>
        <v>17.166650801683584</v>
      </c>
      <c r="BM256" s="44">
        <f t="shared" si="253"/>
        <v>55.465590905220097</v>
      </c>
    </row>
    <row r="257" spans="14:65" x14ac:dyDescent="0.35">
      <c r="N257" s="9">
        <v>39</v>
      </c>
      <c r="O257" s="35">
        <f t="shared" si="254"/>
        <v>2454.7089156850338</v>
      </c>
      <c r="P257" s="34" t="str">
        <f t="shared" si="206"/>
        <v>16.3709677419355</v>
      </c>
      <c r="Q257" s="4" t="str">
        <f t="shared" si="207"/>
        <v>1+2.268731062113i</v>
      </c>
      <c r="R257" s="4">
        <f t="shared" si="218"/>
        <v>2.4793427823107437</v>
      </c>
      <c r="S257" s="4">
        <f t="shared" si="219"/>
        <v>1.1556403171047838</v>
      </c>
      <c r="T257" s="4" t="str">
        <f t="shared" si="208"/>
        <v>1+0.00246774255878958i</v>
      </c>
      <c r="U257" s="4">
        <f t="shared" si="220"/>
        <v>1.0000030448720327</v>
      </c>
      <c r="V257" s="4">
        <f t="shared" si="221"/>
        <v>2.4677375494933894E-3</v>
      </c>
      <c r="W257" t="str">
        <f t="shared" si="209"/>
        <v>1-0.0322946921596698i</v>
      </c>
      <c r="X257" s="4">
        <f t="shared" si="222"/>
        <v>1.0005213376743585</v>
      </c>
      <c r="Y257" s="4">
        <f t="shared" si="223"/>
        <v>-3.2283471961117888E-2</v>
      </c>
      <c r="Z257" t="str">
        <f t="shared" si="210"/>
        <v>0.999994785855394+0.00636008635418855i</v>
      </c>
      <c r="AA257" s="4">
        <f t="shared" si="224"/>
        <v>1.0000150111055373</v>
      </c>
      <c r="AB257" s="4">
        <f t="shared" si="225"/>
        <v>6.3600337608662695E-3</v>
      </c>
      <c r="AC257" s="48" t="str">
        <f t="shared" si="226"/>
        <v>2.444157997454-6.13754193425523i</v>
      </c>
      <c r="AD257" s="20">
        <f t="shared" si="227"/>
        <v>16.399178731343905</v>
      </c>
      <c r="AE257" s="44">
        <f t="shared" si="228"/>
        <v>-68.286031642191688</v>
      </c>
      <c r="AF257" t="str">
        <f t="shared" si="229"/>
        <v>45.9520231294187</v>
      </c>
      <c r="AG257" t="str">
        <f t="shared" si="211"/>
        <v>1+1.08870995240717i</v>
      </c>
      <c r="AH257">
        <f t="shared" si="230"/>
        <v>1.4782724243083283</v>
      </c>
      <c r="AI257">
        <f t="shared" si="231"/>
        <v>0.82784382303330784</v>
      </c>
      <c r="AJ257" t="str">
        <f t="shared" si="212"/>
        <v>1+0.00246774255878958i</v>
      </c>
      <c r="AK257">
        <f t="shared" si="232"/>
        <v>1.0000030448720327</v>
      </c>
      <c r="AL257">
        <f t="shared" si="233"/>
        <v>2.4677375494933894E-3</v>
      </c>
      <c r="AM257" t="str">
        <f t="shared" si="213"/>
        <v>1-0.00552114919032426i</v>
      </c>
      <c r="AN257">
        <f t="shared" si="234"/>
        <v>1.0000152414280403</v>
      </c>
      <c r="AO257">
        <f t="shared" si="235"/>
        <v>-5.5210930907907295E-3</v>
      </c>
      <c r="AP257" s="42" t="str">
        <f t="shared" si="236"/>
        <v>20.958273498906-22.9577911556862i</v>
      </c>
      <c r="AQ257">
        <f t="shared" si="237"/>
        <v>29.8511620552053</v>
      </c>
      <c r="AR257" s="44">
        <f t="shared" si="238"/>
        <v>-47.606901541652761</v>
      </c>
      <c r="AS257" t="str">
        <f t="shared" si="214"/>
        <v>-0.000166666666666667</v>
      </c>
      <c r="AT257" t="str">
        <f t="shared" si="215"/>
        <v>0.000194643194324529i</v>
      </c>
      <c r="AU257">
        <f t="shared" si="239"/>
        <v>1.94643194324529E-4</v>
      </c>
      <c r="AV257">
        <f t="shared" si="240"/>
        <v>1.5707963267948966</v>
      </c>
      <c r="AW257" t="str">
        <f t="shared" si="216"/>
        <v>1+0.0354615778951261i</v>
      </c>
      <c r="AX257">
        <f t="shared" si="241"/>
        <v>1.000628564206925</v>
      </c>
      <c r="AY257">
        <f t="shared" si="242"/>
        <v>3.5446724511340122E-2</v>
      </c>
      <c r="AZ257" t="str">
        <f t="shared" si="217"/>
        <v>1+0.721814698445952i</v>
      </c>
      <c r="BA257">
        <f t="shared" si="243"/>
        <v>1.2332949602153658</v>
      </c>
      <c r="BB257">
        <f t="shared" si="244"/>
        <v>0.62521716347405132</v>
      </c>
      <c r="BC257" s="42" t="str">
        <f t="shared" si="245"/>
        <v>-0.586963838934886+0.877082293725305i</v>
      </c>
      <c r="BD257">
        <f t="shared" si="246"/>
        <v>0.46807173853350958</v>
      </c>
      <c r="BE257" s="44">
        <f t="shared" si="247"/>
        <v>123.79135703414127</v>
      </c>
      <c r="BF257" s="42" t="str">
        <f t="shared" si="248"/>
        <v>3.94849699638282+5.7462428779883i</v>
      </c>
      <c r="BG257" s="20">
        <f t="shared" si="249"/>
        <v>16.867250469877419</v>
      </c>
      <c r="BH257" s="44">
        <f t="shared" si="250"/>
        <v>55.505325391949611</v>
      </c>
      <c r="BI257" s="42" t="str">
        <f t="shared" si="255"/>
        <v>7.83412345533062+31.8575238231497i</v>
      </c>
      <c r="BJ257" s="20">
        <f t="shared" si="251"/>
        <v>30.31923379373881</v>
      </c>
      <c r="BK257" s="44">
        <f t="shared" si="256"/>
        <v>76.184455492488539</v>
      </c>
      <c r="BL257">
        <f t="shared" si="252"/>
        <v>16.867250469877419</v>
      </c>
      <c r="BM257" s="44">
        <f t="shared" si="253"/>
        <v>55.505325391949611</v>
      </c>
    </row>
    <row r="258" spans="14:65" x14ac:dyDescent="0.35">
      <c r="N258" s="9">
        <v>40</v>
      </c>
      <c r="O258" s="35">
        <f t="shared" si="254"/>
        <v>2511.8864315095811</v>
      </c>
      <c r="P258" s="34" t="str">
        <f t="shared" si="206"/>
        <v>16.3709677419355</v>
      </c>
      <c r="Q258" s="4" t="str">
        <f t="shared" si="207"/>
        <v>1+2.32157659722992i</v>
      </c>
      <c r="R258" s="4">
        <f t="shared" si="218"/>
        <v>2.5277891321875834</v>
      </c>
      <c r="S258" s="4">
        <f t="shared" si="219"/>
        <v>1.1640724225647836</v>
      </c>
      <c r="T258" s="4" t="str">
        <f t="shared" si="208"/>
        <v>1+0.00252522366716237i</v>
      </c>
      <c r="U258" s="4">
        <f t="shared" si="220"/>
        <v>1.0000031883722018</v>
      </c>
      <c r="V258" s="4">
        <f t="shared" si="221"/>
        <v>2.5252182996057205E-3</v>
      </c>
      <c r="W258" t="str">
        <f t="shared" si="209"/>
        <v>1-0.0330469321748544i</v>
      </c>
      <c r="X258" s="4">
        <f t="shared" si="222"/>
        <v>1.0005459008592106</v>
      </c>
      <c r="Y258" s="4">
        <f t="shared" si="223"/>
        <v>-3.3034909869745756E-2</v>
      </c>
      <c r="Z258" t="str">
        <f t="shared" si="210"/>
        <v>0.999994540120329+0.00650823179654162i</v>
      </c>
      <c r="AA258" s="4">
        <f t="shared" si="224"/>
        <v>1.0000157185522562</v>
      </c>
      <c r="AB258" s="4">
        <f t="shared" si="225"/>
        <v>6.5081754418275673E-3</v>
      </c>
      <c r="AC258" s="48" t="str">
        <f t="shared" si="226"/>
        <v>2.34143844356731-6.0420317584538i</v>
      </c>
      <c r="AD258" s="20">
        <f t="shared" si="227"/>
        <v>16.231301714403081</v>
      </c>
      <c r="AE258" s="44">
        <f t="shared" si="228"/>
        <v>-68.817404406893729</v>
      </c>
      <c r="AF258" t="str">
        <f t="shared" si="229"/>
        <v>45.9520231294187</v>
      </c>
      <c r="AG258" t="str">
        <f t="shared" si="211"/>
        <v>1+1.11406926492457i</v>
      </c>
      <c r="AH258">
        <f t="shared" si="230"/>
        <v>1.4970472026791846</v>
      </c>
      <c r="AI258">
        <f t="shared" si="231"/>
        <v>0.83930309458249486</v>
      </c>
      <c r="AJ258" t="str">
        <f t="shared" si="212"/>
        <v>1+0.00252522366716237i</v>
      </c>
      <c r="AK258">
        <f t="shared" si="232"/>
        <v>1.0000031883722018</v>
      </c>
      <c r="AL258">
        <f t="shared" si="233"/>
        <v>2.5252182996057205E-3</v>
      </c>
      <c r="AM258" t="str">
        <f t="shared" si="213"/>
        <v>1-0.0056497532757954i</v>
      </c>
      <c r="AN258">
        <f t="shared" si="234"/>
        <v>1.0000159597286822</v>
      </c>
      <c r="AO258">
        <f t="shared" si="235"/>
        <v>-5.64969316411402E-3</v>
      </c>
      <c r="AP258" s="42" t="str">
        <f t="shared" si="236"/>
        <v>20.4326866535182-22.9070066573636i</v>
      </c>
      <c r="AQ258">
        <f t="shared" si="237"/>
        <v>29.741549171797764</v>
      </c>
      <c r="AR258" s="44">
        <f t="shared" si="238"/>
        <v>-48.267544274777393</v>
      </c>
      <c r="AS258" t="str">
        <f t="shared" si="214"/>
        <v>-0.000166666666666667</v>
      </c>
      <c r="AT258" t="str">
        <f t="shared" si="215"/>
        <v>0.000199177016747431i</v>
      </c>
      <c r="AU258">
        <f t="shared" si="239"/>
        <v>1.99177016747431E-4</v>
      </c>
      <c r="AV258">
        <f t="shared" si="240"/>
        <v>1.5707963267948966</v>
      </c>
      <c r="AW258" t="str">
        <f t="shared" si="216"/>
        <v>1+0.0362875841553008i</v>
      </c>
      <c r="AX258">
        <f t="shared" si="241"/>
        <v>1.0006581777829171</v>
      </c>
      <c r="AY258">
        <f t="shared" si="242"/>
        <v>3.6271669033161473E-2</v>
      </c>
      <c r="AZ258" t="str">
        <f t="shared" si="217"/>
        <v>1+0.738627922644992i</v>
      </c>
      <c r="BA258">
        <f t="shared" si="243"/>
        <v>1.243210041831571</v>
      </c>
      <c r="BB258">
        <f t="shared" si="244"/>
        <v>0.63618316349156712</v>
      </c>
      <c r="BC258" s="42" t="str">
        <f t="shared" si="245"/>
        <v>-0.586929098118433+0.858074838009967i</v>
      </c>
      <c r="BD258">
        <f t="shared" si="246"/>
        <v>0.33736573626129834</v>
      </c>
      <c r="BE258" s="44">
        <f t="shared" si="247"/>
        <v>124.37239671385251</v>
      </c>
      <c r="BF258" s="42" t="str">
        <f t="shared" si="248"/>
        <v>3.81025706840353+5.55537366396655i</v>
      </c>
      <c r="BG258" s="20">
        <f t="shared" si="249"/>
        <v>16.568667450664378</v>
      </c>
      <c r="BH258" s="44">
        <f t="shared" si="250"/>
        <v>55.554992306958816</v>
      </c>
      <c r="BI258" s="42" t="str">
        <f t="shared" si="255"/>
        <v>7.66338767712453+30.9775630483254i</v>
      </c>
      <c r="BJ258" s="20">
        <f t="shared" si="251"/>
        <v>30.078914908059065</v>
      </c>
      <c r="BK258" s="44">
        <f t="shared" si="256"/>
        <v>76.104852439075117</v>
      </c>
      <c r="BL258">
        <f t="shared" si="252"/>
        <v>16.568667450664378</v>
      </c>
      <c r="BM258" s="44">
        <f t="shared" si="253"/>
        <v>55.554992306958816</v>
      </c>
    </row>
    <row r="259" spans="14:65" x14ac:dyDescent="0.35">
      <c r="N259" s="9">
        <v>41</v>
      </c>
      <c r="O259" s="35">
        <f t="shared" si="254"/>
        <v>2570.3957827688669</v>
      </c>
      <c r="P259" s="34" t="str">
        <f t="shared" si="206"/>
        <v>16.3709677419355</v>
      </c>
      <c r="Q259" s="4" t="str">
        <f t="shared" si="207"/>
        <v>1+2.37565306298837i</v>
      </c>
      <c r="R259" s="4">
        <f t="shared" si="218"/>
        <v>2.5775429144217994</v>
      </c>
      <c r="S259" s="4">
        <f t="shared" si="219"/>
        <v>1.1723722017667502</v>
      </c>
      <c r="T259" s="4" t="str">
        <f t="shared" si="208"/>
        <v>1+0.00258404368254875i</v>
      </c>
      <c r="U259" s="4">
        <f t="shared" si="220"/>
        <v>1.0000033386353033</v>
      </c>
      <c r="V259" s="4">
        <f t="shared" si="221"/>
        <v>2.5840379311092153E-3</v>
      </c>
      <c r="W259" t="str">
        <f t="shared" si="209"/>
        <v>1-0.0338166941109058i</v>
      </c>
      <c r="X259" s="4">
        <f t="shared" si="222"/>
        <v>1.0005716210249971</v>
      </c>
      <c r="Y259" s="4">
        <f t="shared" si="223"/>
        <v>-3.3803812376333051E-2</v>
      </c>
      <c r="Z259" t="str">
        <f t="shared" si="210"/>
        <v>0.999994282804128+0.0066598279895398i</v>
      </c>
      <c r="AA259" s="4">
        <f t="shared" si="224"/>
        <v>1.0000164593394416</v>
      </c>
      <c r="AB259" s="4">
        <f t="shared" si="225"/>
        <v>6.6597676044274669E-3</v>
      </c>
      <c r="AC259" s="48" t="str">
        <f t="shared" si="226"/>
        <v>2.24191752441599-5.94634095933046i</v>
      </c>
      <c r="AD259" s="20">
        <f t="shared" si="227"/>
        <v>16.062218615020747</v>
      </c>
      <c r="AE259" s="44">
        <f t="shared" si="228"/>
        <v>-69.342317069027999</v>
      </c>
      <c r="AF259" t="str">
        <f t="shared" si="229"/>
        <v>45.9520231294187</v>
      </c>
      <c r="AG259" t="str">
        <f t="shared" si="211"/>
        <v>1+1.14001927171268i</v>
      </c>
      <c r="AH259">
        <f t="shared" si="230"/>
        <v>1.5164576947202681</v>
      </c>
      <c r="AI259">
        <f t="shared" si="231"/>
        <v>0.85073401340372068</v>
      </c>
      <c r="AJ259" t="str">
        <f t="shared" si="212"/>
        <v>1+0.00258404368254875i</v>
      </c>
      <c r="AK259">
        <f t="shared" si="232"/>
        <v>1.0000033386353033</v>
      </c>
      <c r="AL259">
        <f t="shared" si="233"/>
        <v>2.5840379311092153E-3</v>
      </c>
      <c r="AM259" t="str">
        <f t="shared" si="213"/>
        <v>1-0.00578135293523665i</v>
      </c>
      <c r="AN259">
        <f t="shared" si="234"/>
        <v>1.0000167118812375</v>
      </c>
      <c r="AO259">
        <f t="shared" si="235"/>
        <v>-5.7812885244677174E-3</v>
      </c>
      <c r="AP259" s="42" t="str">
        <f t="shared" si="236"/>
        <v>19.9096973096131-22.8443614556564i</v>
      </c>
      <c r="AQ259">
        <f t="shared" si="237"/>
        <v>29.629660909506047</v>
      </c>
      <c r="AR259" s="44">
        <f t="shared" si="238"/>
        <v>-48.926657421304277</v>
      </c>
      <c r="AS259" t="str">
        <f t="shared" si="214"/>
        <v>-0.000166666666666667</v>
      </c>
      <c r="AT259" t="str">
        <f t="shared" si="215"/>
        <v>0.000203816445461033i</v>
      </c>
      <c r="AU259">
        <f t="shared" si="239"/>
        <v>2.03816445461033E-4</v>
      </c>
      <c r="AV259">
        <f t="shared" si="240"/>
        <v>1.5707963267948966</v>
      </c>
      <c r="AW259" t="str">
        <f t="shared" si="216"/>
        <v>1+0.0371328305729173i</v>
      </c>
      <c r="AX259">
        <f t="shared" si="241"/>
        <v>1.0006891860644627</v>
      </c>
      <c r="AY259">
        <f t="shared" si="242"/>
        <v>3.7115777846561712E-2</v>
      </c>
      <c r="AZ259" t="str">
        <f t="shared" si="217"/>
        <v>1+0.755832777145509i</v>
      </c>
      <c r="BA259">
        <f t="shared" si="243"/>
        <v>1.2535083513912035</v>
      </c>
      <c r="BB259">
        <f t="shared" si="244"/>
        <v>0.64722364681076938</v>
      </c>
      <c r="BC259" s="42" t="str">
        <f t="shared" si="245"/>
        <v>-0.586892724425181+0.839522226237682i</v>
      </c>
      <c r="BD259">
        <f t="shared" si="246"/>
        <v>0.20875102982754556</v>
      </c>
      <c r="BE259" s="44">
        <f t="shared" si="247"/>
        <v>124.95660593936975</v>
      </c>
      <c r="BF259" s="42" t="str">
        <f t="shared" si="248"/>
        <v>3.67632031630436+5.37200383712148i</v>
      </c>
      <c r="BG259" s="20">
        <f t="shared" si="249"/>
        <v>16.270969644848286</v>
      </c>
      <c r="BH259" s="44">
        <f t="shared" si="250"/>
        <v>55.61428887034176</v>
      </c>
      <c r="BI259" s="42" t="str">
        <f t="shared" si="255"/>
        <v>7.49349268971143+30.1218229415486i</v>
      </c>
      <c r="BJ259" s="20">
        <f t="shared" si="251"/>
        <v>29.838411939333604</v>
      </c>
      <c r="BK259" s="44">
        <f t="shared" si="256"/>
        <v>76.029948518065481</v>
      </c>
      <c r="BL259">
        <f t="shared" si="252"/>
        <v>16.270969644848286</v>
      </c>
      <c r="BM259" s="44">
        <f t="shared" si="253"/>
        <v>55.61428887034176</v>
      </c>
    </row>
    <row r="260" spans="14:65" x14ac:dyDescent="0.35">
      <c r="N260" s="9">
        <v>42</v>
      </c>
      <c r="O260" s="35">
        <f t="shared" si="254"/>
        <v>2630.2679918953822</v>
      </c>
      <c r="P260" s="34" t="str">
        <f t="shared" si="206"/>
        <v>16.3709677419355</v>
      </c>
      <c r="Q260" s="4" t="str">
        <f t="shared" si="207"/>
        <v>1+2.4309891314463i</v>
      </c>
      <c r="R260" s="4">
        <f t="shared" si="218"/>
        <v>2.6286323739180486</v>
      </c>
      <c r="S260" s="4">
        <f t="shared" si="219"/>
        <v>1.1805394803810596</v>
      </c>
      <c r="T260" s="4" t="str">
        <f t="shared" si="208"/>
        <v>1+0.00264423379209949i</v>
      </c>
      <c r="U260" s="4">
        <f t="shared" si="220"/>
        <v>1.0000034959800628</v>
      </c>
      <c r="V260" s="4">
        <f t="shared" si="221"/>
        <v>2.6442276293221594E-3</v>
      </c>
      <c r="W260" t="str">
        <f t="shared" si="209"/>
        <v>1-0.0346043861057917i</v>
      </c>
      <c r="X260" s="4">
        <f t="shared" si="222"/>
        <v>1.0005985526362502</v>
      </c>
      <c r="Y260" s="4">
        <f t="shared" si="223"/>
        <v>-3.4590583524418732E-2</v>
      </c>
      <c r="Z260" t="str">
        <f t="shared" si="210"/>
        <v>0.999994013360987+0.0068149553114913i</v>
      </c>
      <c r="AA260" s="4">
        <f t="shared" si="224"/>
        <v>1.0000172350383325</v>
      </c>
      <c r="AB260" s="4">
        <f t="shared" si="225"/>
        <v>6.8148906077357199E-3</v>
      </c>
      <c r="AC260" s="48" t="str">
        <f t="shared" si="226"/>
        <v>2.14554876565069-5.85057696193541i</v>
      </c>
      <c r="AD260" s="20">
        <f t="shared" si="227"/>
        <v>15.891968080887814</v>
      </c>
      <c r="AE260" s="44">
        <f t="shared" si="228"/>
        <v>-69.860785607680484</v>
      </c>
      <c r="AF260" t="str">
        <f t="shared" si="229"/>
        <v>45.9520231294187</v>
      </c>
      <c r="AG260" t="str">
        <f t="shared" si="211"/>
        <v>1+1.16657373180859i</v>
      </c>
      <c r="AH260">
        <f t="shared" si="230"/>
        <v>1.5365201826679076</v>
      </c>
      <c r="AI260">
        <f t="shared" si="231"/>
        <v>0.86213069221391958</v>
      </c>
      <c r="AJ260" t="str">
        <f t="shared" si="212"/>
        <v>1+0.00264423379209949i</v>
      </c>
      <c r="AK260">
        <f t="shared" si="232"/>
        <v>1.0000034959800628</v>
      </c>
      <c r="AL260">
        <f t="shared" si="233"/>
        <v>2.6442276293221594E-3</v>
      </c>
      <c r="AM260" t="str">
        <f t="shared" si="213"/>
        <v>1-0.00591601794452942i</v>
      </c>
      <c r="AN260">
        <f t="shared" si="234"/>
        <v>1.000017499481044</v>
      </c>
      <c r="AO260">
        <f t="shared" si="235"/>
        <v>-5.9159489272122721E-3</v>
      </c>
      <c r="AP260" s="42" t="str">
        <f t="shared" si="236"/>
        <v>19.3898362474537-22.7700187313965i</v>
      </c>
      <c r="AQ260">
        <f t="shared" si="237"/>
        <v>29.515509714897323</v>
      </c>
      <c r="AR260" s="44">
        <f t="shared" si="238"/>
        <v>-49.583905874661994</v>
      </c>
      <c r="AS260" t="str">
        <f t="shared" si="214"/>
        <v>-0.000166666666666667</v>
      </c>
      <c r="AT260" t="str">
        <f t="shared" si="215"/>
        <v>0.000208563940351847i</v>
      </c>
      <c r="AU260">
        <f t="shared" si="239"/>
        <v>2.08563940351847E-4</v>
      </c>
      <c r="AV260">
        <f t="shared" si="240"/>
        <v>1.5707963267948966</v>
      </c>
      <c r="AW260" t="str">
        <f t="shared" si="216"/>
        <v>1+0.0379977653088148i</v>
      </c>
      <c r="AX260">
        <f t="shared" si="241"/>
        <v>1.000721654691485</v>
      </c>
      <c r="AY260">
        <f t="shared" si="242"/>
        <v>3.7979493694906927E-2</v>
      </c>
      <c r="AZ260" t="str">
        <f t="shared" si="217"/>
        <v>1+0.773438384189099i</v>
      </c>
      <c r="BA260">
        <f t="shared" si="243"/>
        <v>1.264202093866738</v>
      </c>
      <c r="BB260">
        <f t="shared" si="244"/>
        <v>0.65833370162317495</v>
      </c>
      <c r="BC260" s="42" t="str">
        <f t="shared" si="245"/>
        <v>-0.58685464132435+0.821414613102868i</v>
      </c>
      <c r="BD260">
        <f t="shared" si="246"/>
        <v>8.2254680722136431E-2</v>
      </c>
      <c r="BE260" s="44">
        <f t="shared" si="247"/>
        <v>125.54367791747086</v>
      </c>
      <c r="BF260" s="42" t="str">
        <f t="shared" si="248"/>
        <v>3.54662416030689+5.19582335376741i</v>
      </c>
      <c r="BG260" s="20">
        <f t="shared" si="249"/>
        <v>15.974222761609955</v>
      </c>
      <c r="BH260" s="44">
        <f t="shared" si="250"/>
        <v>55.682892309790397</v>
      </c>
      <c r="BI260" s="42" t="str">
        <f t="shared" si="255"/>
        <v>7.32461073025779+29.2897860148926i</v>
      </c>
      <c r="BJ260" s="20">
        <f t="shared" si="251"/>
        <v>29.597764395619471</v>
      </c>
      <c r="BK260" s="44">
        <f t="shared" si="256"/>
        <v>75.959772042808893</v>
      </c>
      <c r="BL260">
        <f t="shared" si="252"/>
        <v>15.974222761609955</v>
      </c>
      <c r="BM260" s="44">
        <f t="shared" si="253"/>
        <v>55.682892309790397</v>
      </c>
    </row>
    <row r="261" spans="14:65" x14ac:dyDescent="0.35">
      <c r="N261" s="9">
        <v>43</v>
      </c>
      <c r="O261" s="35">
        <f t="shared" si="254"/>
        <v>2691.5348039269184</v>
      </c>
      <c r="P261" s="34" t="str">
        <f t="shared" si="206"/>
        <v>16.3709677419355</v>
      </c>
      <c r="Q261" s="4" t="str">
        <f t="shared" si="207"/>
        <v>1+2.48761414251968i</v>
      </c>
      <c r="R261" s="4">
        <f t="shared" si="218"/>
        <v>2.6810863697508744</v>
      </c>
      <c r="S261" s="4">
        <f t="shared" si="219"/>
        <v>1.1885742294075077</v>
      </c>
      <c r="T261" s="4" t="str">
        <f t="shared" si="208"/>
        <v>1+0.00270582590940738i</v>
      </c>
      <c r="U261" s="4">
        <f t="shared" si="220"/>
        <v>1.0000036607402256</v>
      </c>
      <c r="V261" s="4">
        <f t="shared" si="221"/>
        <v>2.7058193058738019E-3</v>
      </c>
      <c r="W261" t="str">
        <f t="shared" si="209"/>
        <v>1-0.0354104258042343i</v>
      </c>
      <c r="X261" s="4">
        <f t="shared" si="222"/>
        <v>1.0006267527183337</v>
      </c>
      <c r="Y261" s="4">
        <f t="shared" si="223"/>
        <v>-3.5395636572107182E-2</v>
      </c>
      <c r="Z261" t="str">
        <f t="shared" si="210"/>
        <v>0.999993731219383+0.00697369601295556i</v>
      </c>
      <c r="AA261" s="4">
        <f t="shared" si="224"/>
        <v>1.0000180472942197</v>
      </c>
      <c r="AB261" s="4">
        <f t="shared" si="225"/>
        <v>6.9736266816974425E-3</v>
      </c>
      <c r="AC261" s="48" t="str">
        <f t="shared" si="226"/>
        <v>2.05228211867321-5.75484226196074i</v>
      </c>
      <c r="AD261" s="20">
        <f t="shared" si="227"/>
        <v>15.720588200605688</v>
      </c>
      <c r="AE261" s="44">
        <f t="shared" si="228"/>
        <v>-70.372834922234517</v>
      </c>
      <c r="AF261" t="str">
        <f t="shared" si="229"/>
        <v>45.9520231294187</v>
      </c>
      <c r="AG261" t="str">
        <f t="shared" si="211"/>
        <v>1+1.19374672473855i</v>
      </c>
      <c r="AH261">
        <f t="shared" si="230"/>
        <v>1.5572511816736616</v>
      </c>
      <c r="AI261">
        <f t="shared" si="231"/>
        <v>0.87348733257555866</v>
      </c>
      <c r="AJ261" t="str">
        <f t="shared" si="212"/>
        <v>1+0.00270582590940738i</v>
      </c>
      <c r="AK261">
        <f t="shared" si="232"/>
        <v>1.0000036607402256</v>
      </c>
      <c r="AL261">
        <f t="shared" si="233"/>
        <v>2.7058193058738019E-3</v>
      </c>
      <c r="AM261" t="str">
        <f t="shared" si="213"/>
        <v>1-0.00605381970484416i</v>
      </c>
      <c r="AN261">
        <f t="shared" si="234"/>
        <v>1.0000183241986214</v>
      </c>
      <c r="AO261">
        <f t="shared" si="235"/>
        <v>-6.0537457515296277E-3</v>
      </c>
      <c r="AP261" s="42" t="str">
        <f t="shared" si="236"/>
        <v>18.8736213308383-22.6841707359689i</v>
      </c>
      <c r="AQ261">
        <f t="shared" si="237"/>
        <v>29.39911031174827</v>
      </c>
      <c r="AR261" s="44">
        <f t="shared" si="238"/>
        <v>-50.238959670175916</v>
      </c>
      <c r="AS261" t="str">
        <f t="shared" si="214"/>
        <v>-0.000166666666666667</v>
      </c>
      <c r="AT261" t="str">
        <f t="shared" si="215"/>
        <v>0.000213422018604507i</v>
      </c>
      <c r="AU261">
        <f t="shared" si="239"/>
        <v>2.1342201860450699E-4</v>
      </c>
      <c r="AV261">
        <f t="shared" si="240"/>
        <v>1.5707963267948966</v>
      </c>
      <c r="AW261" t="str">
        <f t="shared" si="216"/>
        <v>1+0.038882846962839i</v>
      </c>
      <c r="AX261">
        <f t="shared" si="241"/>
        <v>1.0007556523887016</v>
      </c>
      <c r="AY261">
        <f t="shared" si="242"/>
        <v>3.8863269374139177E-2</v>
      </c>
      <c r="AZ261" t="str">
        <f t="shared" si="217"/>
        <v>1+0.791454078501656i</v>
      </c>
      <c r="BA261">
        <f t="shared" si="243"/>
        <v>1.2753037122101172</v>
      </c>
      <c r="BB261">
        <f t="shared" si="244"/>
        <v>0.66950824828903865</v>
      </c>
      <c r="BC261" s="42" t="str">
        <f t="shared" si="245"/>
        <v>-0.586814768719166+0.80374238864155i</v>
      </c>
      <c r="BD261">
        <f t="shared" si="246"/>
        <v>-4.2098030589868954E-2</v>
      </c>
      <c r="BE261" s="44">
        <f t="shared" si="247"/>
        <v>126.13329566294051</v>
      </c>
      <c r="BF261" s="42" t="str">
        <f t="shared" si="248"/>
        <v>3.42110120906797+5.02653256319652i</v>
      </c>
      <c r="BG261" s="20">
        <f t="shared" si="249"/>
        <v>15.678490170015822</v>
      </c>
      <c r="BH261" s="44">
        <f t="shared" si="250"/>
        <v>55.760460740705959</v>
      </c>
      <c r="BI261" s="42" t="str">
        <f t="shared" si="255"/>
        <v>7.1569098355314+28.4809358947778i</v>
      </c>
      <c r="BJ261" s="20">
        <f t="shared" si="251"/>
        <v>29.357012281158418</v>
      </c>
      <c r="BK261" s="44">
        <f t="shared" si="256"/>
        <v>75.894335992764624</v>
      </c>
      <c r="BL261">
        <f t="shared" si="252"/>
        <v>15.678490170015822</v>
      </c>
      <c r="BM261" s="44">
        <f t="shared" si="253"/>
        <v>55.760460740705959</v>
      </c>
    </row>
    <row r="262" spans="14:65" x14ac:dyDescent="0.35">
      <c r="N262" s="9">
        <v>44</v>
      </c>
      <c r="O262" s="35">
        <f t="shared" si="254"/>
        <v>2754.228703338169</v>
      </c>
      <c r="P262" s="34" t="str">
        <f t="shared" si="206"/>
        <v>16.3709677419355</v>
      </c>
      <c r="Q262" s="4" t="str">
        <f t="shared" si="207"/>
        <v>1+2.54555811953889i</v>
      </c>
      <c r="R262" s="4">
        <f t="shared" si="218"/>
        <v>2.7349343940852351</v>
      </c>
      <c r="S262" s="4">
        <f t="shared" si="219"/>
        <v>1.1964765583259394</v>
      </c>
      <c r="T262" s="4" t="str">
        <f t="shared" si="208"/>
        <v>1+0.00276885269142827i</v>
      </c>
      <c r="U262" s="4">
        <f t="shared" si="220"/>
        <v>1.0000038332652665</v>
      </c>
      <c r="V262" s="4">
        <f t="shared" si="221"/>
        <v>2.7688456156160232E-3</v>
      </c>
      <c r="W262" t="str">
        <f t="shared" si="209"/>
        <v>1-0.0362352405791506i</v>
      </c>
      <c r="X262" s="4">
        <f t="shared" si="222"/>
        <v>1.0006562809775537</v>
      </c>
      <c r="Y262" s="4">
        <f t="shared" si="223"/>
        <v>-3.621939419268954E-2</v>
      </c>
      <c r="Z262" t="str">
        <f t="shared" si="210"/>
        <v>0.999993435780854+0.00713613426035367i</v>
      </c>
      <c r="AA262" s="4">
        <f t="shared" si="224"/>
        <v>1.0000188978299254</v>
      </c>
      <c r="AB262" s="4">
        <f t="shared" si="225"/>
        <v>7.1360599706451981E-3</v>
      </c>
      <c r="AC262" s="48" t="str">
        <f t="shared" si="226"/>
        <v>1.96206433952149-5.65923439310056i</v>
      </c>
      <c r="AD262" s="20">
        <f t="shared" si="227"/>
        <v>15.548116464006858</v>
      </c>
      <c r="AE262" s="44">
        <f t="shared" si="228"/>
        <v>-70.878498452948449</v>
      </c>
      <c r="AF262" t="str">
        <f t="shared" si="229"/>
        <v>45.9520231294187</v>
      </c>
      <c r="AG262" t="str">
        <f t="shared" si="211"/>
        <v>1+1.22155265798306i</v>
      </c>
      <c r="AH262">
        <f t="shared" si="230"/>
        <v>1.5786674432018539</v>
      </c>
      <c r="AI262">
        <f t="shared" si="231"/>
        <v>0.88479823913030353</v>
      </c>
      <c r="AJ262" t="str">
        <f t="shared" si="212"/>
        <v>1+0.00276885269142827i</v>
      </c>
      <c r="AK262">
        <f t="shared" si="232"/>
        <v>1.0000038332652665</v>
      </c>
      <c r="AL262">
        <f t="shared" si="233"/>
        <v>2.7688456156160232E-3</v>
      </c>
      <c r="AM262" t="str">
        <f t="shared" si="213"/>
        <v>1-0.00619483128049819i</v>
      </c>
      <c r="AN262">
        <f t="shared" si="234"/>
        <v>1.0000191877832114</v>
      </c>
      <c r="AO262">
        <f t="shared" si="235"/>
        <v>-6.1947520381761007E-3</v>
      </c>
      <c r="AP262" s="42" t="str">
        <f t="shared" si="236"/>
        <v>18.3615555166831-22.5870375934736i</v>
      </c>
      <c r="AQ262">
        <f t="shared" si="237"/>
        <v>29.280479640658669</v>
      </c>
      <c r="AR262" s="44">
        <f t="shared" si="238"/>
        <v>-50.891494801792817</v>
      </c>
      <c r="AS262" t="str">
        <f t="shared" si="214"/>
        <v>-0.000166666666666667</v>
      </c>
      <c r="AT262" t="str">
        <f t="shared" si="215"/>
        <v>0.000218393256036405i</v>
      </c>
      <c r="AU262">
        <f t="shared" si="239"/>
        <v>2.1839325603640499E-4</v>
      </c>
      <c r="AV262">
        <f t="shared" si="240"/>
        <v>1.5707963267948966</v>
      </c>
      <c r="AW262" t="str">
        <f t="shared" si="216"/>
        <v>1+0.0397885448169982i</v>
      </c>
      <c r="AX262">
        <f t="shared" si="241"/>
        <v>1.0007912511101675</v>
      </c>
      <c r="AY262">
        <f t="shared" si="242"/>
        <v>3.9767567948419895E-2</v>
      </c>
      <c r="AZ262" t="str">
        <f t="shared" si="217"/>
        <v>1+0.809889412242768i</v>
      </c>
      <c r="BA262">
        <f t="shared" si="243"/>
        <v>1.2868258856826498</v>
      </c>
      <c r="BB262">
        <f t="shared" si="244"/>
        <v>0.68074204928964255</v>
      </c>
      <c r="BC262" s="42" t="str">
        <f t="shared" si="245"/>
        <v>-0.586773022782743+0.786496173093312i</v>
      </c>
      <c r="BD262">
        <f t="shared" si="246"/>
        <v>-0.16428370423557745</v>
      </c>
      <c r="BE262" s="44">
        <f t="shared" si="247"/>
        <v>126.72513255643902</v>
      </c>
      <c r="BF262" s="42" t="str">
        <f t="shared" si="248"/>
        <v>3.29967976941639+4.86384216587219i</v>
      </c>
      <c r="BG262" s="20">
        <f t="shared" si="249"/>
        <v>15.383832759771284</v>
      </c>
      <c r="BH262" s="44">
        <f t="shared" si="250"/>
        <v>55.846634103490615</v>
      </c>
      <c r="BI262" s="42" t="str">
        <f t="shared" si="255"/>
        <v>6.99055319526446+27.6947574703416i</v>
      </c>
      <c r="BJ262" s="20">
        <f t="shared" si="251"/>
        <v>29.11619593642309</v>
      </c>
      <c r="BK262" s="44">
        <f t="shared" si="256"/>
        <v>75.833637754646219</v>
      </c>
      <c r="BL262">
        <f t="shared" si="252"/>
        <v>15.383832759771284</v>
      </c>
      <c r="BM262" s="44">
        <f t="shared" si="253"/>
        <v>55.846634103490615</v>
      </c>
    </row>
    <row r="263" spans="14:65" x14ac:dyDescent="0.35">
      <c r="N263" s="9">
        <v>45</v>
      </c>
      <c r="O263" s="35">
        <f t="shared" si="254"/>
        <v>2818.3829312644561</v>
      </c>
      <c r="P263" s="34" t="str">
        <f t="shared" si="206"/>
        <v>16.3709677419355</v>
      </c>
      <c r="Q263" s="4" t="str">
        <f t="shared" si="207"/>
        <v>1+2.60485178516752i</v>
      </c>
      <c r="R263" s="4">
        <f t="shared" si="218"/>
        <v>2.7902065913997145</v>
      </c>
      <c r="S263" s="4">
        <f t="shared" si="219"/>
        <v>1.2042467082197048</v>
      </c>
      <c r="T263" s="4" t="str">
        <f t="shared" si="208"/>
        <v>1+0.00283334755579626i</v>
      </c>
      <c r="U263" s="4">
        <f t="shared" si="220"/>
        <v>1.0000040139211301</v>
      </c>
      <c r="V263" s="4">
        <f t="shared" si="221"/>
        <v>2.8333399739284811E-3</v>
      </c>
      <c r="W263" t="str">
        <f t="shared" si="209"/>
        <v>1-0.037079267758252i</v>
      </c>
      <c r="X263" s="4">
        <f t="shared" si="222"/>
        <v>1.0006871999268743</v>
      </c>
      <c r="Y263" s="4">
        <f t="shared" si="223"/>
        <v>-3.7062288678944795E-2</v>
      </c>
      <c r="Z263" t="str">
        <f t="shared" si="210"/>
        <v>0.999993126418737+0.00730235618059452i</v>
      </c>
      <c r="AA263" s="4">
        <f t="shared" si="224"/>
        <v>1.0000197884494628</v>
      </c>
      <c r="AB263" s="4">
        <f t="shared" si="225"/>
        <v>7.3022765778196766E-3</v>
      </c>
      <c r="AC263" s="48" t="str">
        <f t="shared" si="226"/>
        <v>1.87483935510629-5.56384592006092i</v>
      </c>
      <c r="AD263" s="20">
        <f t="shared" si="227"/>
        <v>15.374589727002126</v>
      </c>
      <c r="AE263" s="44">
        <f t="shared" si="228"/>
        <v>-71.37781780022496</v>
      </c>
      <c r="AF263" t="str">
        <f t="shared" si="229"/>
        <v>45.9520231294187</v>
      </c>
      <c r="AG263" t="str">
        <f t="shared" si="211"/>
        <v>1+1.25000627461599i</v>
      </c>
      <c r="AH263">
        <f t="shared" si="230"/>
        <v>1.6007859590149289</v>
      </c>
      <c r="AI263">
        <f t="shared" si="231"/>
        <v>0.8960578331944794</v>
      </c>
      <c r="AJ263" t="str">
        <f t="shared" si="212"/>
        <v>1+0.00283334755579626i</v>
      </c>
      <c r="AK263">
        <f t="shared" si="232"/>
        <v>1.0000040139211301</v>
      </c>
      <c r="AL263">
        <f t="shared" si="233"/>
        <v>2.8333399739284811E-3</v>
      </c>
      <c r="AM263" t="str">
        <f t="shared" si="213"/>
        <v>1-0.0063391274376954i</v>
      </c>
      <c r="AN263">
        <f t="shared" si="234"/>
        <v>1.0000200920664901</v>
      </c>
      <c r="AO263">
        <f t="shared" si="235"/>
        <v>-6.3390425281096268E-3</v>
      </c>
      <c r="AP263" s="42" t="str">
        <f t="shared" si="236"/>
        <v>17.8541249922795-22.4788659463472i</v>
      </c>
      <c r="AQ263">
        <f t="shared" si="237"/>
        <v>29.159636790299025</v>
      </c>
      <c r="AR263" s="44">
        <f t="shared" si="238"/>
        <v>-51.541194002263985</v>
      </c>
      <c r="AS263" t="str">
        <f t="shared" si="214"/>
        <v>-0.000166666666666667</v>
      </c>
      <c r="AT263" t="str">
        <f t="shared" si="215"/>
        <v>0.000223480288463429i</v>
      </c>
      <c r="AU263">
        <f t="shared" si="239"/>
        <v>2.23480288463429E-4</v>
      </c>
      <c r="AV263">
        <f t="shared" si="240"/>
        <v>1.5707963267948966</v>
      </c>
      <c r="AW263" t="str">
        <f t="shared" si="216"/>
        <v>1+0.040715339084283i</v>
      </c>
      <c r="AX263">
        <f t="shared" si="241"/>
        <v>1.0008285261905498</v>
      </c>
      <c r="AY263">
        <f t="shared" si="242"/>
        <v>4.0692862969484406E-2</v>
      </c>
      <c r="AZ263" t="str">
        <f t="shared" si="217"/>
        <v>1+0.828754160070404i</v>
      </c>
      <c r="BA263">
        <f t="shared" si="243"/>
        <v>1.2987815281385862</v>
      </c>
      <c r="BB263">
        <f t="shared" si="244"/>
        <v>0.69202972008575181</v>
      </c>
      <c r="BC263" s="42" t="str">
        <f t="shared" si="245"/>
        <v>-0.586729315786561+0.769666811882247i</v>
      </c>
      <c r="BD263">
        <f t="shared" si="246"/>
        <v>-0.2842809151714058</v>
      </c>
      <c r="BE263" s="44">
        <f t="shared" si="247"/>
        <v>127.31885295407764</v>
      </c>
      <c r="BF263" s="42" t="str">
        <f t="shared" si="248"/>
        <v>3.1822843390661+4.70747313905522i</v>
      </c>
      <c r="BG263" s="20">
        <f t="shared" si="249"/>
        <v>15.090308811830717</v>
      </c>
      <c r="BH263" s="44">
        <f t="shared" si="250"/>
        <v>55.941035153852738</v>
      </c>
      <c r="BI263" s="42" t="str">
        <f t="shared" si="255"/>
        <v>6.82569854696557+26.930737098113i</v>
      </c>
      <c r="BJ263" s="20">
        <f t="shared" si="251"/>
        <v>28.875355875127614</v>
      </c>
      <c r="BK263" s="44">
        <f t="shared" si="256"/>
        <v>75.777658951813649</v>
      </c>
      <c r="BL263">
        <f t="shared" si="252"/>
        <v>15.090308811830717</v>
      </c>
      <c r="BM263" s="44">
        <f t="shared" si="253"/>
        <v>55.941035153852738</v>
      </c>
    </row>
    <row r="264" spans="14:65" x14ac:dyDescent="0.35">
      <c r="N264" s="9">
        <v>46</v>
      </c>
      <c r="O264" s="35">
        <f t="shared" si="254"/>
        <v>2884.0315031266077</v>
      </c>
      <c r="P264" s="34" t="str">
        <f t="shared" si="206"/>
        <v>16.3709677419355</v>
      </c>
      <c r="Q264" s="4" t="str">
        <f t="shared" si="207"/>
        <v>1+2.66552657769194i</v>
      </c>
      <c r="R264" s="4">
        <f t="shared" si="218"/>
        <v>2.8469337780113722</v>
      </c>
      <c r="S264" s="4">
        <f t="shared" si="219"/>
        <v>1.2118850449059813</v>
      </c>
      <c r="T264" s="4" t="str">
        <f t="shared" si="208"/>
        <v>1+0.00289934469854211i</v>
      </c>
      <c r="U264" s="4">
        <f t="shared" si="220"/>
        <v>1.0000042030910075</v>
      </c>
      <c r="V264" s="4">
        <f t="shared" si="221"/>
        <v>2.8993365744262589E-3</v>
      </c>
      <c r="W264" t="str">
        <f t="shared" si="209"/>
        <v>1-0.037942954855921i</v>
      </c>
      <c r="X264" s="4">
        <f t="shared" si="222"/>
        <v>1.0007195750174964</v>
      </c>
      <c r="Y264" s="4">
        <f t="shared" si="223"/>
        <v>-3.7924762151133919E-2</v>
      </c>
      <c r="Z264" t="str">
        <f t="shared" si="210"/>
        <v>0.999992802476832+0.00747244990674042i</v>
      </c>
      <c r="AA264" s="4">
        <f t="shared" si="224"/>
        <v>1.0000207210418577</v>
      </c>
      <c r="AB264" s="4">
        <f t="shared" si="225"/>
        <v>7.4723646109223964E-3</v>
      </c>
      <c r="AC264" s="48" t="str">
        <f t="shared" si="226"/>
        <v>1.79054861549153-5.46876445510186i</v>
      </c>
      <c r="AD264" s="20">
        <f t="shared" si="227"/>
        <v>15.200044180798857</v>
      </c>
      <c r="AE264" s="44">
        <f t="shared" si="228"/>
        <v>-71.870842344518579</v>
      </c>
      <c r="AF264" t="str">
        <f t="shared" si="229"/>
        <v>45.9520231294187</v>
      </c>
      <c r="AG264" t="str">
        <f t="shared" si="211"/>
        <v>1+1.27912266112152i</v>
      </c>
      <c r="AH264">
        <f t="shared" si="230"/>
        <v>1.6236239657613456</v>
      </c>
      <c r="AI264">
        <f t="shared" si="231"/>
        <v>0.90726066564174945</v>
      </c>
      <c r="AJ264" t="str">
        <f t="shared" si="212"/>
        <v>1+0.00289934469854211i</v>
      </c>
      <c r="AK264">
        <f t="shared" si="232"/>
        <v>1.0000042030910075</v>
      </c>
      <c r="AL264">
        <f t="shared" si="233"/>
        <v>2.8993365744262589E-3</v>
      </c>
      <c r="AM264" t="str">
        <f t="shared" si="213"/>
        <v>1-0.00648678468416836i</v>
      </c>
      <c r="AN264">
        <f t="shared" si="234"/>
        <v>1.0000210389664503</v>
      </c>
      <c r="AO264">
        <f t="shared" si="235"/>
        <v>-6.4866937020113848E-3</v>
      </c>
      <c r="AP264" s="42" t="str">
        <f t="shared" si="236"/>
        <v>17.3517974539157-22.3599274596891i</v>
      </c>
      <c r="AQ264">
        <f t="shared" si="237"/>
        <v>29.036602920878032</v>
      </c>
      <c r="AR264" s="44">
        <f t="shared" si="238"/>
        <v>-52.187747482518695</v>
      </c>
      <c r="AS264" t="str">
        <f t="shared" si="214"/>
        <v>-0.000166666666666667</v>
      </c>
      <c r="AT264" t="str">
        <f t="shared" si="215"/>
        <v>0.000228685813097509i</v>
      </c>
      <c r="AU264">
        <f t="shared" si="239"/>
        <v>2.2868581309750901E-4</v>
      </c>
      <c r="AV264">
        <f t="shared" si="240"/>
        <v>1.5707963267948966</v>
      </c>
      <c r="AW264" t="str">
        <f t="shared" si="216"/>
        <v>1+0.0416637211632815i</v>
      </c>
      <c r="AX264">
        <f t="shared" si="241"/>
        <v>1.0008675565034426</v>
      </c>
      <c r="AY264">
        <f t="shared" si="242"/>
        <v>4.1639638699701574E-2</v>
      </c>
      <c r="AZ264" t="str">
        <f t="shared" si="217"/>
        <v>1+0.848058324323566i</v>
      </c>
      <c r="BA264">
        <f t="shared" si="243"/>
        <v>1.3111837862994244</v>
      </c>
      <c r="BB264">
        <f t="shared" si="244"/>
        <v>0.70336574083737802</v>
      </c>
      <c r="BC264" s="42" t="str">
        <f t="shared" si="245"/>
        <v>-0.5866835559213+0.75324537071409i</v>
      </c>
      <c r="BD264">
        <f t="shared" si="246"/>
        <v>-0.40207030135541411</v>
      </c>
      <c r="BE264" s="44">
        <f t="shared" si="247"/>
        <v>127.91411284613177</v>
      </c>
      <c r="BF264" s="42" t="str">
        <f t="shared" si="248"/>
        <v>3.06883608054471+4.55715663267269i</v>
      </c>
      <c r="BG264" s="20">
        <f t="shared" si="249"/>
        <v>14.797973879443449</v>
      </c>
      <c r="BH264" s="44">
        <f t="shared" si="250"/>
        <v>56.043270501613186</v>
      </c>
      <c r="BI264" s="42" t="str">
        <f t="shared" si="255"/>
        <v>6.66249761662426+26.1883628579233i</v>
      </c>
      <c r="BJ264" s="20">
        <f t="shared" si="251"/>
        <v>28.634532619522631</v>
      </c>
      <c r="BK264" s="44">
        <f t="shared" si="256"/>
        <v>75.726365363613084</v>
      </c>
      <c r="BL264">
        <f t="shared" si="252"/>
        <v>14.797973879443449</v>
      </c>
      <c r="BM264" s="44">
        <f t="shared" si="253"/>
        <v>56.043270501613186</v>
      </c>
    </row>
    <row r="265" spans="14:65" x14ac:dyDescent="0.35">
      <c r="N265" s="9">
        <v>47</v>
      </c>
      <c r="O265" s="35">
        <f t="shared" si="254"/>
        <v>2951.2092266663876</v>
      </c>
      <c r="P265" s="34" t="str">
        <f t="shared" si="206"/>
        <v>16.3709677419355</v>
      </c>
      <c r="Q265" s="4" t="str">
        <f t="shared" si="207"/>
        <v>1+2.72761466769026i</v>
      </c>
      <c r="R265" s="4">
        <f t="shared" si="218"/>
        <v>2.9051474619025881</v>
      </c>
      <c r="S265" s="4">
        <f t="shared" si="219"/>
        <v>1.2193920521040638</v>
      </c>
      <c r="T265" s="4" t="str">
        <f t="shared" si="208"/>
        <v>1+0.0029668791122245i</v>
      </c>
      <c r="U265" s="4">
        <f t="shared" si="220"/>
        <v>1.000004401176148</v>
      </c>
      <c r="V265" s="4">
        <f t="shared" si="221"/>
        <v>2.966870407079597E-3</v>
      </c>
      <c r="W265" t="str">
        <f t="shared" si="209"/>
        <v>1-0.0388267598104889i</v>
      </c>
      <c r="X265" s="4">
        <f t="shared" si="222"/>
        <v>1.0007534747765712</v>
      </c>
      <c r="Y265" s="4">
        <f t="shared" si="223"/>
        <v>-3.8807266768698875E-2</v>
      </c>
      <c r="Z265" t="str">
        <f t="shared" si="210"/>
        <v>0.999992463268015+0.00764650562473644i</v>
      </c>
      <c r="AA265" s="4">
        <f t="shared" si="224"/>
        <v>1.0000216975851581</v>
      </c>
      <c r="AB265" s="4">
        <f t="shared" si="225"/>
        <v>7.6464142287239675E-3</v>
      </c>
      <c r="AC265" s="48" t="str">
        <f t="shared" si="226"/>
        <v>1.70913143115407-5.37407269599494i</v>
      </c>
      <c r="AD265" s="20">
        <f t="shared" si="227"/>
        <v>15.024515325315853</v>
      </c>
      <c r="AE265" s="44">
        <f t="shared" si="228"/>
        <v>-72.357628868670872</v>
      </c>
      <c r="AF265" t="str">
        <f t="shared" si="229"/>
        <v>45.9520231294187</v>
      </c>
      <c r="AG265" t="str">
        <f t="shared" si="211"/>
        <v>1+1.30891725539316i</v>
      </c>
      <c r="AH265">
        <f t="shared" si="230"/>
        <v>1.6471989501775317</v>
      </c>
      <c r="AI265">
        <f t="shared" si="231"/>
        <v>0.91840142900653021</v>
      </c>
      <c r="AJ265" t="str">
        <f t="shared" si="212"/>
        <v>1+0.0029668791122245i</v>
      </c>
      <c r="AK265">
        <f t="shared" si="232"/>
        <v>1.000004401176148</v>
      </c>
      <c r="AL265">
        <f t="shared" si="233"/>
        <v>2.966870407079597E-3</v>
      </c>
      <c r="AM265" t="str">
        <f t="shared" si="213"/>
        <v>1-0.0066378813097436i</v>
      </c>
      <c r="AN265">
        <f t="shared" si="234"/>
        <v>1.0000220304914698</v>
      </c>
      <c r="AO265">
        <f t="shared" si="235"/>
        <v>-6.6377838207219621E-3</v>
      </c>
      <c r="AP265" s="42" t="str">
        <f t="shared" si="236"/>
        <v>16.8550205385433-22.230517200794i</v>
      </c>
      <c r="AQ265">
        <f t="shared" si="237"/>
        <v>28.911401180468978</v>
      </c>
      <c r="AR265" s="44">
        <f t="shared" si="238"/>
        <v>-52.830853626417571</v>
      </c>
      <c r="AS265" t="str">
        <f t="shared" si="214"/>
        <v>-0.000166666666666667</v>
      </c>
      <c r="AT265" t="str">
        <f t="shared" si="215"/>
        <v>0.000234012589976707i</v>
      </c>
      <c r="AU265">
        <f t="shared" si="239"/>
        <v>2.34012589976707E-4</v>
      </c>
      <c r="AV265">
        <f t="shared" si="240"/>
        <v>1.5707963267948966</v>
      </c>
      <c r="AW265" t="str">
        <f t="shared" si="216"/>
        <v>1+0.0426341938987253i</v>
      </c>
      <c r="AX265">
        <f t="shared" si="241"/>
        <v>1.0009084246270454</v>
      </c>
      <c r="AY265">
        <f t="shared" si="242"/>
        <v>4.2608390338826449E-2</v>
      </c>
      <c r="AZ265" t="str">
        <f t="shared" si="217"/>
        <v>1+0.867812140325664i</v>
      </c>
      <c r="BA265">
        <f t="shared" si="243"/>
        <v>1.3240460380578201</v>
      </c>
      <c r="BB265">
        <f t="shared" si="244"/>
        <v>0.7147444689309459</v>
      </c>
      <c r="BC265" s="42" t="str">
        <f t="shared" si="245"/>
        <v>-0.586635647109676+0.737223130786738i</v>
      </c>
      <c r="BD265">
        <f t="shared" si="246"/>
        <v>-0.51763464515330548</v>
      </c>
      <c r="BE265" s="44">
        <f t="shared" si="247"/>
        <v>128.51056056180178</v>
      </c>
      <c r="BF265" s="42" t="str">
        <f t="shared" si="248"/>
        <v>2.95925327490636+4.41263383823085i</v>
      </c>
      <c r="BG265" s="20">
        <f t="shared" si="249"/>
        <v>14.506880680162542</v>
      </c>
      <c r="BH265" s="44">
        <f t="shared" si="250"/>
        <v>56.15293169313091</v>
      </c>
      <c r="BI265" s="42" t="str">
        <f t="shared" si="255"/>
        <v>6.50109560910255+25.4671248545702i</v>
      </c>
      <c r="BJ265" s="20">
        <f t="shared" si="251"/>
        <v>28.39376653531566</v>
      </c>
      <c r="BK265" s="44">
        <f t="shared" si="256"/>
        <v>75.679706935384218</v>
      </c>
      <c r="BL265">
        <f t="shared" si="252"/>
        <v>14.506880680162542</v>
      </c>
      <c r="BM265" s="44">
        <f t="shared" si="253"/>
        <v>56.15293169313091</v>
      </c>
    </row>
    <row r="266" spans="14:65" x14ac:dyDescent="0.35">
      <c r="N266" s="9">
        <v>48</v>
      </c>
      <c r="O266" s="35">
        <f t="shared" si="254"/>
        <v>3019.9517204020176</v>
      </c>
      <c r="P266" s="34" t="str">
        <f t="shared" si="206"/>
        <v>16.3709677419355</v>
      </c>
      <c r="Q266" s="4" t="str">
        <f t="shared" si="207"/>
        <v>1+2.79114897508964i</v>
      </c>
      <c r="R266" s="4">
        <f t="shared" si="218"/>
        <v>2.9648798628517725</v>
      </c>
      <c r="S266" s="4">
        <f t="shared" si="219"/>
        <v>1.2267683246698446</v>
      </c>
      <c r="T266" s="4" t="str">
        <f t="shared" si="208"/>
        <v>1+0.00303598660448347i</v>
      </c>
      <c r="U266" s="4">
        <f t="shared" si="220"/>
        <v>1.0000046085967118</v>
      </c>
      <c r="V266" s="4">
        <f t="shared" si="221"/>
        <v>3.0359772767549731E-3</v>
      </c>
      <c r="W266" t="str">
        <f t="shared" si="209"/>
        <v>1-0.0397311512270413i</v>
      </c>
      <c r="X266" s="4">
        <f t="shared" si="222"/>
        <v>1.000788970951332</v>
      </c>
      <c r="Y266" s="4">
        <f t="shared" si="223"/>
        <v>-3.97102649456735E-2</v>
      </c>
      <c r="Z266" t="str">
        <f t="shared" si="210"/>
        <v>0.99999210807278+0.00782461562122817i</v>
      </c>
      <c r="AA266" s="4">
        <f t="shared" si="224"/>
        <v>1.0000227201506287</v>
      </c>
      <c r="AB266" s="4">
        <f t="shared" si="225"/>
        <v>7.8245176887521625E-3</v>
      </c>
      <c r="AC266" s="48" t="str">
        <f t="shared" si="226"/>
        <v>1.63052529439131-5.27984848330777i</v>
      </c>
      <c r="AD266" s="20">
        <f t="shared" si="227"/>
        <v>14.848037946612784</v>
      </c>
      <c r="AE266" s="44">
        <f t="shared" si="228"/>
        <v>-72.83824118428555</v>
      </c>
      <c r="AF266" t="str">
        <f t="shared" si="229"/>
        <v>45.9520231294187</v>
      </c>
      <c r="AG266" t="str">
        <f t="shared" si="211"/>
        <v>1+1.33940585491918i</v>
      </c>
      <c r="AH266">
        <f t="shared" si="230"/>
        <v>1.6715286549119579</v>
      </c>
      <c r="AI266">
        <f t="shared" si="231"/>
        <v>0.9294749687501549</v>
      </c>
      <c r="AJ266" t="str">
        <f t="shared" si="212"/>
        <v>1+0.00303598660448347i</v>
      </c>
      <c r="AK266">
        <f t="shared" si="232"/>
        <v>1.0000046085967118</v>
      </c>
      <c r="AL266">
        <f t="shared" si="233"/>
        <v>3.0359772767549731E-3</v>
      </c>
      <c r="AM266" t="str">
        <f t="shared" si="213"/>
        <v>1-0.00679249742785202i</v>
      </c>
      <c r="AN266">
        <f t="shared" si="234"/>
        <v>1.0000230687445704</v>
      </c>
      <c r="AO266">
        <f t="shared" si="235"/>
        <v>-6.7923929666134338E-3</v>
      </c>
      <c r="AP266" s="42" t="str">
        <f t="shared" si="236"/>
        <v>16.3642204180526-22.090951911369i</v>
      </c>
      <c r="AQ266">
        <f t="shared" si="237"/>
        <v>28.784056614880402</v>
      </c>
      <c r="AR266" s="44">
        <f t="shared" si="238"/>
        <v>-53.470219637563588</v>
      </c>
      <c r="AS266" t="str">
        <f t="shared" si="214"/>
        <v>-0.000166666666666667</v>
      </c>
      <c r="AT266" t="str">
        <f t="shared" si="215"/>
        <v>0.000239463443428634i</v>
      </c>
      <c r="AU266">
        <f t="shared" si="239"/>
        <v>2.3946344342863399E-4</v>
      </c>
      <c r="AV266">
        <f t="shared" si="240"/>
        <v>1.5707963267948966</v>
      </c>
      <c r="AW266" t="str">
        <f t="shared" si="216"/>
        <v>1+0.0436272718481044i</v>
      </c>
      <c r="AX266">
        <f t="shared" si="241"/>
        <v>1.000951217017547</v>
      </c>
      <c r="AY266">
        <f t="shared" si="242"/>
        <v>4.3599624254426386E-2</v>
      </c>
      <c r="AZ266" t="str">
        <f t="shared" si="217"/>
        <v>1+0.888026081811414i</v>
      </c>
      <c r="BA266">
        <f t="shared" si="243"/>
        <v>1.3373818908514248</v>
      </c>
      <c r="BB266">
        <f t="shared" si="244"/>
        <v>0.72616015225123198</v>
      </c>
      <c r="BC266" s="42" t="str">
        <f t="shared" si="245"/>
        <v>-0.586585488810936+0.721591584111261i</v>
      </c>
      <c r="BD266">
        <f t="shared" si="246"/>
        <v>-0.63095894731944946</v>
      </c>
      <c r="BE266" s="44">
        <f t="shared" si="247"/>
        <v>129.10783751643802</v>
      </c>
      <c r="BF266" s="42" t="str">
        <f t="shared" si="248"/>
        <v>2.85345175410837+4.27365583354207i</v>
      </c>
      <c r="BG266" s="20">
        <f t="shared" si="249"/>
        <v>14.217078999293328</v>
      </c>
      <c r="BH266" s="44">
        <f t="shared" si="250"/>
        <v>56.269596332152467</v>
      </c>
      <c r="BI266" s="42" t="str">
        <f t="shared" si="255"/>
        <v>6.34163075131716+24.7665155594377i</v>
      </c>
      <c r="BJ266" s="20">
        <f t="shared" si="251"/>
        <v>28.15309766756096</v>
      </c>
      <c r="BK266" s="44">
        <f t="shared" si="256"/>
        <v>75.637617878874465</v>
      </c>
      <c r="BL266">
        <f t="shared" si="252"/>
        <v>14.217078999293328</v>
      </c>
      <c r="BM266" s="44">
        <f t="shared" si="253"/>
        <v>56.269596332152467</v>
      </c>
    </row>
    <row r="267" spans="14:65" x14ac:dyDescent="0.35">
      <c r="N267" s="9">
        <v>49</v>
      </c>
      <c r="O267" s="35">
        <f t="shared" si="254"/>
        <v>3090.295432513592</v>
      </c>
      <c r="P267" s="34" t="str">
        <f t="shared" si="206"/>
        <v>16.3709677419355</v>
      </c>
      <c r="Q267" s="4" t="str">
        <f t="shared" si="207"/>
        <v>1+2.85616318662084i</v>
      </c>
      <c r="R267" s="4">
        <f t="shared" si="218"/>
        <v>3.0261639328708072</v>
      </c>
      <c r="S267" s="4">
        <f t="shared" si="219"/>
        <v>1.2340145619217919</v>
      </c>
      <c r="T267" s="4" t="str">
        <f t="shared" si="208"/>
        <v>1+0.00310670381702618i</v>
      </c>
      <c r="U267" s="4">
        <f t="shared" si="220"/>
        <v>1.0000048257926593</v>
      </c>
      <c r="V267" s="4">
        <f t="shared" si="221"/>
        <v>3.1066938221876268E-3</v>
      </c>
      <c r="W267" t="str">
        <f t="shared" si="209"/>
        <v>1-0.0406566086258782i</v>
      </c>
      <c r="X267" s="4">
        <f t="shared" si="222"/>
        <v>1.0008261386599362</v>
      </c>
      <c r="Y267" s="4">
        <f t="shared" si="223"/>
        <v>-4.0634229569804718E-2</v>
      </c>
      <c r="Z267" t="str">
        <f t="shared" si="210"/>
        <v>0.999991736137709+0.0080068743324933i</v>
      </c>
      <c r="AA267" s="4">
        <f t="shared" si="224"/>
        <v>1.0000237909071392</v>
      </c>
      <c r="AB267" s="4">
        <f t="shared" si="225"/>
        <v>8.0067693960845562E-3</v>
      </c>
      <c r="AC267" s="48" t="str">
        <f t="shared" si="226"/>
        <v>1.55466618425822-5.18616487497165i</v>
      </c>
      <c r="AD267" s="20">
        <f t="shared" si="227"/>
        <v>14.670646098141418</v>
      </c>
      <c r="AE267" s="44">
        <f t="shared" si="228"/>
        <v>-73.312749763598873</v>
      </c>
      <c r="AF267" t="str">
        <f t="shared" si="229"/>
        <v>45.9520231294187</v>
      </c>
      <c r="AG267" t="str">
        <f t="shared" si="211"/>
        <v>1+1.3706046251586i</v>
      </c>
      <c r="AH267">
        <f t="shared" si="230"/>
        <v>1.696631084975796</v>
      </c>
      <c r="AI267">
        <f t="shared" si="231"/>
        <v>0.94047629364060015</v>
      </c>
      <c r="AJ267" t="str">
        <f t="shared" si="212"/>
        <v>1+0.00310670381702618i</v>
      </c>
      <c r="AK267">
        <f t="shared" si="232"/>
        <v>1.0000048257926593</v>
      </c>
      <c r="AL267">
        <f t="shared" si="233"/>
        <v>3.1066938221876268E-3</v>
      </c>
      <c r="AM267" t="str">
        <f t="shared" si="213"/>
        <v>1-0.00695071501800602i</v>
      </c>
      <c r="AN267">
        <f t="shared" si="234"/>
        <v>1.0000241559278764</v>
      </c>
      <c r="AO267">
        <f t="shared" si="235"/>
        <v>-6.9506030859182522E-3</v>
      </c>
      <c r="AP267" s="42" t="str">
        <f t="shared" si="236"/>
        <v>15.8798005635388-21.9415681905996i</v>
      </c>
      <c r="AQ267">
        <f t="shared" si="237"/>
        <v>28.654596071795172</v>
      </c>
      <c r="AR267" s="44">
        <f t="shared" si="238"/>
        <v>-54.105562135355704</v>
      </c>
      <c r="AS267" t="str">
        <f t="shared" si="214"/>
        <v>-0.000166666666666667</v>
      </c>
      <c r="AT267" t="str">
        <f t="shared" si="215"/>
        <v>0.000245041263567939i</v>
      </c>
      <c r="AU267">
        <f t="shared" si="239"/>
        <v>2.45041263567939E-4</v>
      </c>
      <c r="AV267">
        <f t="shared" si="240"/>
        <v>1.5707963267948966</v>
      </c>
      <c r="AW267" t="str">
        <f t="shared" si="216"/>
        <v>1+0.0446434815544927i</v>
      </c>
      <c r="AX267">
        <f t="shared" si="241"/>
        <v>1.0009960241905591</v>
      </c>
      <c r="AY267">
        <f t="shared" si="242"/>
        <v>4.4613858215953407E-2</v>
      </c>
      <c r="AZ267" t="str">
        <f t="shared" si="217"/>
        <v>1+0.908710866480155i</v>
      </c>
      <c r="BA267">
        <f t="shared" si="243"/>
        <v>1.3512051801481202</v>
      </c>
      <c r="BB267">
        <f t="shared" si="244"/>
        <v>0.73760694312723807</v>
      </c>
      <c r="BC267" s="42" t="str">
        <f t="shared" si="245"/>
        <v>-0.58653297581669+0.706342428940823i</v>
      </c>
      <c r="BD267">
        <f t="shared" si="246"/>
        <v>-0.74203049294327028</v>
      </c>
      <c r="BE267" s="44">
        <f t="shared" si="247"/>
        <v>129.70557899716772</v>
      </c>
      <c r="BF267" s="42" t="str">
        <f t="shared" si="248"/>
        <v>2.7513453112205+4.13998340597423i</v>
      </c>
      <c r="BG267" s="20">
        <f t="shared" si="249"/>
        <v>13.928615605198154</v>
      </c>
      <c r="BH267" s="44">
        <f t="shared" si="250"/>
        <v>56.392829233568904</v>
      </c>
      <c r="BI267" s="42" t="str">
        <f t="shared" si="255"/>
        <v>6.18423389061086+24.0860301860631i</v>
      </c>
      <c r="BJ267" s="20">
        <f t="shared" si="251"/>
        <v>27.912565578851915</v>
      </c>
      <c r="BK267" s="44">
        <f t="shared" si="256"/>
        <v>75.600016861812051</v>
      </c>
      <c r="BL267">
        <f t="shared" si="252"/>
        <v>13.928615605198154</v>
      </c>
      <c r="BM267" s="44">
        <f t="shared" si="253"/>
        <v>56.392829233568904</v>
      </c>
    </row>
    <row r="268" spans="14:65" x14ac:dyDescent="0.35">
      <c r="N268" s="9">
        <v>50</v>
      </c>
      <c r="O268" s="35">
        <f t="shared" si="254"/>
        <v>3162.2776601683804</v>
      </c>
      <c r="P268" s="34" t="str">
        <f t="shared" si="206"/>
        <v>16.3709677419355</v>
      </c>
      <c r="Q268" s="4" t="str">
        <f t="shared" si="207"/>
        <v>1+2.92269177367937i</v>
      </c>
      <c r="R268" s="4">
        <f t="shared" si="218"/>
        <v>3.0890333769535512</v>
      </c>
      <c r="S268" s="4">
        <f t="shared" si="219"/>
        <v>1.2411315610809899</v>
      </c>
      <c r="T268" s="4" t="str">
        <f t="shared" si="208"/>
        <v>1+0.00317906824505475i</v>
      </c>
      <c r="U268" s="4">
        <f t="shared" si="220"/>
        <v>1.0000050532246858</v>
      </c>
      <c r="V268" s="4">
        <f t="shared" si="221"/>
        <v>3.1790575353952103E-3</v>
      </c>
      <c r="W268" t="str">
        <f t="shared" si="209"/>
        <v>1-0.0416036226967624i</v>
      </c>
      <c r="X268" s="4">
        <f t="shared" si="222"/>
        <v>1.0008650565493304</v>
      </c>
      <c r="Y268" s="4">
        <f t="shared" si="223"/>
        <v>-4.1579644225380699E-2</v>
      </c>
      <c r="Z268" t="str">
        <f t="shared" si="210"/>
        <v>0.999991346673878+0.00819337839451303i</v>
      </c>
      <c r="AA268" s="4">
        <f t="shared" si="224"/>
        <v>1.0000249121257689</v>
      </c>
      <c r="AB268" s="4">
        <f t="shared" si="225"/>
        <v>8.1932659532709985E-3</v>
      </c>
      <c r="AC268" s="48" t="str">
        <f t="shared" si="226"/>
        <v>1.48148885461286-5.09309023615059i</v>
      </c>
      <c r="AD268" s="20">
        <f t="shared" si="227"/>
        <v>14.49237308562007</v>
      </c>
      <c r="AE268" s="44">
        <f t="shared" si="228"/>
        <v>-73.781231378137093</v>
      </c>
      <c r="AF268" t="str">
        <f t="shared" si="229"/>
        <v>45.9520231294187</v>
      </c>
      <c r="AG268" t="str">
        <f t="shared" si="211"/>
        <v>1+1.40253010811239i</v>
      </c>
      <c r="AH268">
        <f t="shared" si="230"/>
        <v>1.7225245148217057</v>
      </c>
      <c r="AI268">
        <f t="shared" si="231"/>
        <v>0.95140058520593052</v>
      </c>
      <c r="AJ268" t="str">
        <f t="shared" si="212"/>
        <v>1+0.00317906824505475i</v>
      </c>
      <c r="AK268">
        <f t="shared" si="232"/>
        <v>1.0000050532246858</v>
      </c>
      <c r="AL268">
        <f t="shared" si="233"/>
        <v>3.1790575353952103E-3</v>
      </c>
      <c r="AM268" t="str">
        <f t="shared" si="213"/>
        <v>1-0.00711261796926614i</v>
      </c>
      <c r="AN268">
        <f t="shared" si="234"/>
        <v>1.0000252943472863</v>
      </c>
      <c r="AO268">
        <f t="shared" si="235"/>
        <v>-7.1124980320370658E-3</v>
      </c>
      <c r="AP268" s="42" t="str">
        <f t="shared" si="236"/>
        <v>15.4021406847203-21.7827206076106i</v>
      </c>
      <c r="AQ268">
        <f t="shared" si="237"/>
        <v>28.523048099926214</v>
      </c>
      <c r="AR268" s="44">
        <f t="shared" si="238"/>
        <v>-54.736607697999801</v>
      </c>
      <c r="AS268" t="str">
        <f t="shared" si="214"/>
        <v>-0.000166666666666667</v>
      </c>
      <c r="AT268" t="str">
        <f t="shared" si="215"/>
        <v>0.000250749007828694i</v>
      </c>
      <c r="AU268">
        <f t="shared" si="239"/>
        <v>2.50749007828694E-4</v>
      </c>
      <c r="AV268">
        <f t="shared" si="240"/>
        <v>1.5707963267948966</v>
      </c>
      <c r="AW268" t="str">
        <f t="shared" si="216"/>
        <v>1+0.0456833618257274i</v>
      </c>
      <c r="AX268">
        <f t="shared" si="241"/>
        <v>1.0010429409109782</v>
      </c>
      <c r="AY268">
        <f t="shared" si="242"/>
        <v>4.5651621632425837E-2</v>
      </c>
      <c r="AZ268" t="str">
        <f t="shared" si="217"/>
        <v>1+0.929877461678513i</v>
      </c>
      <c r="BA268">
        <f t="shared" si="243"/>
        <v>1.3655299680847999</v>
      </c>
      <c r="BB268">
        <f t="shared" si="244"/>
        <v>0.74907891287355888</v>
      </c>
      <c r="BC268" s="42" t="str">
        <f t="shared" si="245"/>
        <v>-0.586477998037695+0.691467565304656i</v>
      </c>
      <c r="BD268">
        <f t="shared" si="246"/>
        <v>-0.850838908813627</v>
      </c>
      <c r="BE268" s="44">
        <f t="shared" si="247"/>
        <v>130.30341498243678</v>
      </c>
      <c r="BF268" s="42" t="str">
        <f t="shared" si="248"/>
        <v>2.65284608789946+4.01138685684807i</v>
      </c>
      <c r="BG268" s="20">
        <f t="shared" si="249"/>
        <v>13.641534176806454</v>
      </c>
      <c r="BH268" s="44">
        <f t="shared" si="250"/>
        <v>56.522183604299656</v>
      </c>
      <c r="BI268" s="42" t="str">
        <f t="shared" si="255"/>
        <v>6.02902814998637+23.4251670935092i</v>
      </c>
      <c r="BJ268" s="20">
        <f t="shared" si="251"/>
        <v>27.672209191112579</v>
      </c>
      <c r="BK268" s="44">
        <f t="shared" si="256"/>
        <v>75.566807284436948</v>
      </c>
      <c r="BL268">
        <f t="shared" si="252"/>
        <v>13.641534176806454</v>
      </c>
      <c r="BM268" s="44">
        <f t="shared" si="253"/>
        <v>56.522183604299656</v>
      </c>
    </row>
    <row r="269" spans="14:65" x14ac:dyDescent="0.35">
      <c r="N269" s="9">
        <v>51</v>
      </c>
      <c r="O269" s="35">
        <f t="shared" si="254"/>
        <v>3235.9365692962833</v>
      </c>
      <c r="P269" s="34" t="str">
        <f t="shared" si="206"/>
        <v>16.3709677419355</v>
      </c>
      <c r="Q269" s="4" t="str">
        <f t="shared" si="207"/>
        <v>1+2.9907700106027i</v>
      </c>
      <c r="R269" s="4">
        <f t="shared" si="218"/>
        <v>3.1535226741408526</v>
      </c>
      <c r="S269" s="4">
        <f t="shared" si="219"/>
        <v>1.2481202108450944</v>
      </c>
      <c r="T269" s="4" t="str">
        <f t="shared" si="208"/>
        <v>1+0.0032531182571468i</v>
      </c>
      <c r="U269" s="4">
        <f t="shared" si="220"/>
        <v>1.0000052913751982</v>
      </c>
      <c r="V269" s="4">
        <f t="shared" si="221"/>
        <v>3.2531067815431301E-3</v>
      </c>
      <c r="W269" t="str">
        <f t="shared" si="209"/>
        <v>1-0.0425726955590895i</v>
      </c>
      <c r="X269" s="4">
        <f t="shared" si="222"/>
        <v>1.0009058069604586</v>
      </c>
      <c r="Y269" s="4">
        <f t="shared" si="223"/>
        <v>-4.2547003419752344E-2</v>
      </c>
      <c r="Z269" t="str">
        <f t="shared" si="210"/>
        <v>0.999990938855182+0.00838422669420971i</v>
      </c>
      <c r="AA269" s="4">
        <f t="shared" si="224"/>
        <v>1.0000260861846195</v>
      </c>
      <c r="AB269" s="4">
        <f t="shared" si="225"/>
        <v>8.3841062114117168E-3</v>
      </c>
      <c r="AC269" s="48" t="str">
        <f t="shared" si="226"/>
        <v>1.41092710502906-5.0006883425065i</v>
      </c>
      <c r="AD269" s="20">
        <f t="shared" si="227"/>
        <v>14.313251455329883</v>
      </c>
      <c r="AE269" s="44">
        <f t="shared" si="228"/>
        <v>-74.243768745298368</v>
      </c>
      <c r="AF269" t="str">
        <f t="shared" si="229"/>
        <v>45.9520231294187</v>
      </c>
      <c r="AG269" t="str">
        <f t="shared" si="211"/>
        <v>1+1.43519923109417i</v>
      </c>
      <c r="AH269">
        <f t="shared" si="230"/>
        <v>1.7492274960488405</v>
      </c>
      <c r="AI269">
        <f t="shared" si="231"/>
        <v>0.96224320623075144</v>
      </c>
      <c r="AJ269" t="str">
        <f t="shared" si="212"/>
        <v>1+0.0032531182571468i</v>
      </c>
      <c r="AK269">
        <f t="shared" si="232"/>
        <v>1.0000052913751982</v>
      </c>
      <c r="AL269">
        <f t="shared" si="233"/>
        <v>3.2531067815431301E-3</v>
      </c>
      <c r="AM269" t="str">
        <f t="shared" si="213"/>
        <v>1-0.00727829212472021i</v>
      </c>
      <c r="AN269">
        <f t="shared" si="234"/>
        <v>1.0000264864173611</v>
      </c>
      <c r="AO269">
        <f t="shared" si="235"/>
        <v>-7.2781636098476757E-3</v>
      </c>
      <c r="AP269" s="42" t="str">
        <f t="shared" si="236"/>
        <v>14.931595847479-21.6147797619734i</v>
      </c>
      <c r="AQ269">
        <f t="shared" si="237"/>
        <v>28.389442843957831</v>
      </c>
      <c r="AR269" s="44">
        <f t="shared" si="238"/>
        <v>-55.363093350720668</v>
      </c>
      <c r="AS269" t="str">
        <f t="shared" si="214"/>
        <v>-0.000166666666666667</v>
      </c>
      <c r="AT269" t="str">
        <f t="shared" si="215"/>
        <v>0.000256589702532454i</v>
      </c>
      <c r="AU269">
        <f t="shared" si="239"/>
        <v>2.5658970253245402E-4</v>
      </c>
      <c r="AV269">
        <f t="shared" si="240"/>
        <v>1.5707963267948966</v>
      </c>
      <c r="AW269" t="str">
        <f t="shared" si="216"/>
        <v>1+0.0467474640200929i</v>
      </c>
      <c r="AX269">
        <f t="shared" si="241"/>
        <v>1.0010920663916529</v>
      </c>
      <c r="AY269">
        <f t="shared" si="242"/>
        <v>4.6713455793676591E-2</v>
      </c>
      <c r="AZ269" t="str">
        <f t="shared" si="217"/>
        <v>1+0.951537090215438i</v>
      </c>
      <c r="BA269">
        <f t="shared" si="243"/>
        <v>1.3803705423021975</v>
      </c>
      <c r="BB269">
        <f t="shared" si="244"/>
        <v>0.76057006684199735</v>
      </c>
      <c r="BC269" s="42" t="str">
        <f t="shared" si="245"/>
        <v>-0.586420440281281+0.67695909064459i</v>
      </c>
      <c r="BD269">
        <f t="shared" si="246"/>
        <v>-0.95737621171879606</v>
      </c>
      <c r="BE269" s="44">
        <f t="shared" si="247"/>
        <v>130.90097099058076</v>
      </c>
      <c r="BF269" s="42" t="str">
        <f t="shared" si="248"/>
        <v>2.55786493880427+3.88764578950841i</v>
      </c>
      <c r="BG269" s="20">
        <f t="shared" si="249"/>
        <v>13.355875243611091</v>
      </c>
      <c r="BH269" s="44">
        <f t="shared" si="250"/>
        <v>56.657202245282392</v>
      </c>
      <c r="BI269" s="42" t="str">
        <f t="shared" si="255"/>
        <v>5.87612864116782+22.7834282113813i</v>
      </c>
      <c r="BJ269" s="20">
        <f t="shared" si="251"/>
        <v>27.432066632239042</v>
      </c>
      <c r="BK269" s="44">
        <f t="shared" si="256"/>
        <v>75.537877639860099</v>
      </c>
      <c r="BL269">
        <f t="shared" si="252"/>
        <v>13.355875243611091</v>
      </c>
      <c r="BM269" s="44">
        <f t="shared" si="253"/>
        <v>56.657202245282392</v>
      </c>
    </row>
    <row r="270" spans="14:65" x14ac:dyDescent="0.35">
      <c r="N270" s="9">
        <v>52</v>
      </c>
      <c r="O270" s="35">
        <f t="shared" si="254"/>
        <v>3311.3112148259115</v>
      </c>
      <c r="P270" s="34" t="str">
        <f t="shared" si="206"/>
        <v>16.3709677419355</v>
      </c>
      <c r="Q270" s="4" t="str">
        <f t="shared" si="207"/>
        <v>1+3.06043399337319i</v>
      </c>
      <c r="R270" s="4">
        <f t="shared" si="218"/>
        <v>3.2196670989085456</v>
      </c>
      <c r="S270" s="4">
        <f t="shared" si="219"/>
        <v>1.2549814851134751</v>
      </c>
      <c r="T270" s="4" t="str">
        <f t="shared" si="208"/>
        <v>1+0.00332889311559891i</v>
      </c>
      <c r="U270" s="4">
        <f t="shared" si="220"/>
        <v>1.0000055407493376</v>
      </c>
      <c r="V270" s="4">
        <f t="shared" si="221"/>
        <v>3.3288808192717184E-3</v>
      </c>
      <c r="W270" t="str">
        <f t="shared" si="209"/>
        <v>1-0.0435643410281184i</v>
      </c>
      <c r="X270" s="4">
        <f t="shared" si="222"/>
        <v>1.0009484761011498</v>
      </c>
      <c r="Y270" s="4">
        <f t="shared" si="223"/>
        <v>-4.3536812813529946E-2</v>
      </c>
      <c r="Z270" t="str">
        <f t="shared" si="210"/>
        <v>0.999990511816583+0.00857952042187806i</v>
      </c>
      <c r="AA270" s="4">
        <f t="shared" si="224"/>
        <v>1.0000273155738602</v>
      </c>
      <c r="AB270" s="4">
        <f t="shared" si="225"/>
        <v>8.5793913224175601E-3</v>
      </c>
      <c r="AC270" s="48" t="str">
        <f>(IMDIV(IMPRODUCT(P270,T270,W270),IMPRODUCT(Q270,Z270)))</f>
        <v>1.34291403449619-4.90901849504117i</v>
      </c>
      <c r="AD270" s="20">
        <f t="shared" si="227"/>
        <v>14.133312985628359</v>
      </c>
      <c r="AE270" s="44">
        <f t="shared" si="228"/>
        <v>-74.70045018384792</v>
      </c>
      <c r="AF270" t="str">
        <f t="shared" si="229"/>
        <v>45.9520231294187</v>
      </c>
      <c r="AG270" t="str">
        <f t="shared" si="211"/>
        <v>1+1.4686293157054i</v>
      </c>
      <c r="AH270">
        <f t="shared" si="230"/>
        <v>1.7767588657297626</v>
      </c>
      <c r="AI270">
        <f t="shared" si="231"/>
        <v>0.97299970827445659</v>
      </c>
      <c r="AJ270" t="str">
        <f t="shared" si="212"/>
        <v>1+0.00332889311559891i</v>
      </c>
      <c r="AK270">
        <f t="shared" si="232"/>
        <v>1.0000055407493376</v>
      </c>
      <c r="AL270">
        <f t="shared" si="233"/>
        <v>3.3288808192717184E-3</v>
      </c>
      <c r="AM270" t="str">
        <f t="shared" si="213"/>
        <v>1-0.00744782532699841i</v>
      </c>
      <c r="AN270">
        <f t="shared" si="234"/>
        <v>1.0000277346664448</v>
      </c>
      <c r="AO270">
        <f t="shared" si="235"/>
        <v>-7.4476876210377452E-3</v>
      </c>
      <c r="AP270" s="42" t="str">
        <f t="shared" si="236"/>
        <v>14.4684957703417-21.4381303107301i</v>
      </c>
      <c r="AQ270">
        <f t="shared" si="237"/>
        <v>28.253811936047125</v>
      </c>
      <c r="AR270" s="44">
        <f t="shared" si="238"/>
        <v>-55.9847669979576</v>
      </c>
      <c r="AS270" t="str">
        <f t="shared" si="214"/>
        <v>-0.000166666666666667</v>
      </c>
      <c r="AT270" t="str">
        <f t="shared" si="215"/>
        <v>0.000262566444492864i</v>
      </c>
      <c r="AU270">
        <f t="shared" si="239"/>
        <v>2.62566444492864E-4</v>
      </c>
      <c r="AV270">
        <f t="shared" si="240"/>
        <v>1.5707963267948966</v>
      </c>
      <c r="AW270" t="str">
        <f t="shared" si="216"/>
        <v>1+0.0478363523386579i</v>
      </c>
      <c r="AX270">
        <f t="shared" si="241"/>
        <v>1.001143504501262</v>
      </c>
      <c r="AY270">
        <f t="shared" si="242"/>
        <v>4.7799914115110469E-2</v>
      </c>
      <c r="AZ270" t="str">
        <f t="shared" si="217"/>
        <v>1+0.97370123631268i</v>
      </c>
      <c r="BA270">
        <f t="shared" si="243"/>
        <v>1.3957414150181406</v>
      </c>
      <c r="BB270">
        <f t="shared" si="244"/>
        <v>0.77207435989224471</v>
      </c>
      <c r="BC270" s="42" t="str">
        <f t="shared" si="245"/>
        <v>-0.586360182018933+0.662809295551335i</v>
      </c>
      <c r="BD270">
        <f t="shared" si="246"/>
        <v>-1.0616368472779756</v>
      </c>
      <c r="BE270" s="44">
        <f t="shared" si="247"/>
        <v>131.49786895220663</v>
      </c>
      <c r="BF270" s="42" t="str">
        <f t="shared" si="248"/>
        <v>2.46631177284375+3.76854888347707i</v>
      </c>
      <c r="BG270" s="20">
        <f t="shared" si="249"/>
        <v>13.071676138350384</v>
      </c>
      <c r="BH270" s="44">
        <f t="shared" si="250"/>
        <v>56.797418768358675</v>
      </c>
      <c r="BI270" s="42" t="str">
        <f t="shared" si="255"/>
        <v>5.72564223575502+22.160319480373i</v>
      </c>
      <c r="BJ270" s="20">
        <f t="shared" si="251"/>
        <v>27.192175088769162</v>
      </c>
      <c r="BK270" s="44">
        <f t="shared" si="256"/>
        <v>75.513101954249052</v>
      </c>
      <c r="BL270">
        <f t="shared" si="252"/>
        <v>13.071676138350384</v>
      </c>
      <c r="BM270" s="44">
        <f t="shared" si="253"/>
        <v>56.797418768358675</v>
      </c>
    </row>
    <row r="271" spans="14:65" x14ac:dyDescent="0.35">
      <c r="N271" s="9">
        <v>53</v>
      </c>
      <c r="O271" s="35">
        <f t="shared" si="254"/>
        <v>3388.4415613920314</v>
      </c>
      <c r="P271" s="34" t="str">
        <f t="shared" si="206"/>
        <v>16.3709677419355</v>
      </c>
      <c r="Q271" s="4" t="str">
        <f t="shared" si="207"/>
        <v>1+3.13172065875659i</v>
      </c>
      <c r="R271" s="4">
        <f t="shared" si="218"/>
        <v>3.2875027428859753</v>
      </c>
      <c r="S271" s="4">
        <f t="shared" si="219"/>
        <v>1.2617164368783604</v>
      </c>
      <c r="T271" s="4" t="str">
        <f t="shared" si="208"/>
        <v>1+0.00340643299724402i</v>
      </c>
      <c r="U271" s="4">
        <f t="shared" si="220"/>
        <v>1.0000058018760514</v>
      </c>
      <c r="V271" s="4">
        <f t="shared" si="221"/>
        <v>3.4064198214961792E-3</v>
      </c>
      <c r="W271" t="str">
        <f t="shared" si="209"/>
        <v>1-0.0445790848874025i</v>
      </c>
      <c r="X271" s="4">
        <f t="shared" si="222"/>
        <v>1.0009931542270398</v>
      </c>
      <c r="Y271" s="4">
        <f t="shared" si="223"/>
        <v>-4.4549589454427246E-2</v>
      </c>
      <c r="Z271" t="str">
        <f t="shared" si="210"/>
        <v>0.999990064652275+0.00877936312483744i</v>
      </c>
      <c r="AA271" s="4">
        <f t="shared" si="224"/>
        <v>1.0000286029010066</v>
      </c>
      <c r="AB271" s="4">
        <f t="shared" si="225"/>
        <v>8.7792247924791088E-3</v>
      </c>
      <c r="AC271" s="48" t="str">
        <f t="shared" si="226"/>
        <v>1.2773822779698-4.81813564479165i</v>
      </c>
      <c r="AD271" s="20">
        <f t="shared" si="227"/>
        <v>13.95258868147655</v>
      </c>
      <c r="AE271" s="44">
        <f t="shared" si="228"/>
        <v>-75.1513692791778</v>
      </c>
      <c r="AF271" t="str">
        <f t="shared" si="229"/>
        <v>45.9520231294187</v>
      </c>
      <c r="AG271" t="str">
        <f t="shared" si="211"/>
        <v>1+1.50283808701942i</v>
      </c>
      <c r="AH271">
        <f t="shared" si="230"/>
        <v>1.8051377553517045</v>
      </c>
      <c r="AI271">
        <f t="shared" si="231"/>
        <v>0.98366583819892894</v>
      </c>
      <c r="AJ271" t="str">
        <f t="shared" si="212"/>
        <v>1+0.00340643299724402i</v>
      </c>
      <c r="AK271">
        <f t="shared" si="232"/>
        <v>1.0000058018760514</v>
      </c>
      <c r="AL271">
        <f t="shared" si="233"/>
        <v>3.4064198214961792E-3</v>
      </c>
      <c r="AM271" t="str">
        <f t="shared" si="213"/>
        <v>1-0.0076213074648486i</v>
      </c>
      <c r="AN271">
        <f t="shared" si="234"/>
        <v>1.0000290417420254</v>
      </c>
      <c r="AO271">
        <f t="shared" si="235"/>
        <v>-7.6211599104847342E-3</v>
      </c>
      <c r="AP271" s="42" t="str">
        <f t="shared" si="236"/>
        <v>14.0131442986757-21.2531689799719i</v>
      </c>
      <c r="AQ271">
        <f t="shared" si="237"/>
        <v>28.116188384661776</v>
      </c>
      <c r="AR271" s="44">
        <f t="shared" si="238"/>
        <v>-56.601387798840854</v>
      </c>
      <c r="AS271" t="str">
        <f t="shared" si="214"/>
        <v>-0.000166666666666667</v>
      </c>
      <c r="AT271" t="str">
        <f t="shared" si="215"/>
        <v>0.000268682402657621i</v>
      </c>
      <c r="AU271">
        <f t="shared" si="239"/>
        <v>2.6868240265762102E-4</v>
      </c>
      <c r="AV271">
        <f t="shared" si="240"/>
        <v>1.5707963267948966</v>
      </c>
      <c r="AW271" t="str">
        <f t="shared" si="216"/>
        <v>1+0.0489506041244218i</v>
      </c>
      <c r="AX271">
        <f t="shared" si="241"/>
        <v>1.0011973639818206</v>
      </c>
      <c r="AY271">
        <f t="shared" si="242"/>
        <v>4.8911562385905751E-2</v>
      </c>
      <c r="AZ271" t="str">
        <f t="shared" si="217"/>
        <v>1+0.996381651693873i</v>
      </c>
      <c r="BA271">
        <f t="shared" si="243"/>
        <v>1.411657322381112</v>
      </c>
      <c r="BB271">
        <f t="shared" si="244"/>
        <v>0.7835857121855323</v>
      </c>
      <c r="BC271" s="42" t="str">
        <f t="shared" si="245"/>
        <v>-0.586297097143748+0.649010659598103i</v>
      </c>
      <c r="BD271">
        <f t="shared" si="246"/>
        <v>-1.16361771897736</v>
      </c>
      <c r="BE271" s="44">
        <f t="shared" si="247"/>
        <v>132.09372810088055</v>
      </c>
      <c r="BF271" s="42" t="str">
        <f t="shared" si="248"/>
        <v>2.3780958713428+3.65389365697027i</v>
      </c>
      <c r="BG271" s="20">
        <f t="shared" si="249"/>
        <v>12.788970962499189</v>
      </c>
      <c r="BH271" s="44">
        <f t="shared" si="250"/>
        <v>56.942358821702733</v>
      </c>
      <c r="BI271" s="42" t="str">
        <f t="shared" si="255"/>
        <v>5.57766739407148+21.55535130239i</v>
      </c>
      <c r="BJ271" s="20">
        <f t="shared" si="251"/>
        <v>26.952570665684419</v>
      </c>
      <c r="BK271" s="44">
        <f t="shared" si="256"/>
        <v>75.492340302039722</v>
      </c>
      <c r="BL271">
        <f t="shared" si="252"/>
        <v>12.788970962499189</v>
      </c>
      <c r="BM271" s="44">
        <f t="shared" si="253"/>
        <v>56.942358821702733</v>
      </c>
    </row>
    <row r="272" spans="14:65" x14ac:dyDescent="0.35">
      <c r="N272" s="9">
        <v>54</v>
      </c>
      <c r="O272" s="35">
        <f t="shared" si="254"/>
        <v>3467.3685045253224</v>
      </c>
      <c r="P272" s="34" t="str">
        <f t="shared" si="206"/>
        <v>16.3709677419355</v>
      </c>
      <c r="Q272" s="4" t="str">
        <f t="shared" si="207"/>
        <v>1+3.20466780388649i</v>
      </c>
      <c r="R272" s="4">
        <f t="shared" si="218"/>
        <v>3.3570665369138366</v>
      </c>
      <c r="S272" s="4">
        <f t="shared" si="219"/>
        <v>1.2683261922945168</v>
      </c>
      <c r="T272" s="4" t="str">
        <f t="shared" si="208"/>
        <v>1+0.00348577901475373i</v>
      </c>
      <c r="U272" s="4">
        <f t="shared" si="220"/>
        <v>1.000006075309215</v>
      </c>
      <c r="V272" s="4">
        <f t="shared" si="221"/>
        <v>3.4857648966901897E-3</v>
      </c>
      <c r="W272" t="str">
        <f t="shared" si="209"/>
        <v>1-0.0456174651675679i</v>
      </c>
      <c r="X272" s="4">
        <f t="shared" si="222"/>
        <v>1.001039935830891</v>
      </c>
      <c r="Y272" s="4">
        <f t="shared" si="223"/>
        <v>-4.5585862014719446E-2</v>
      </c>
      <c r="Z272" t="str">
        <f t="shared" si="210"/>
        <v>0.999989596413762+0.00898386076233422i</v>
      </c>
      <c r="AA272" s="4">
        <f t="shared" si="224"/>
        <v>1.0000299508964496</v>
      </c>
      <c r="AB272" s="4">
        <f t="shared" si="225"/>
        <v>8.9837125367727439E-3</v>
      </c>
      <c r="AC272" s="48" t="str">
        <f t="shared" si="226"/>
        <v>1.21426422596399-4.72809052575663i</v>
      </c>
      <c r="AD272" s="20">
        <f t="shared" si="227"/>
        <v>13.771108771777312</v>
      </c>
      <c r="AE272" s="44">
        <f t="shared" si="228"/>
        <v>-75.596624559043718</v>
      </c>
      <c r="AF272" t="str">
        <f t="shared" si="229"/>
        <v>45.9520231294187</v>
      </c>
      <c r="AG272" t="str">
        <f t="shared" si="211"/>
        <v>1+1.53784368297958i</v>
      </c>
      <c r="AH272">
        <f t="shared" si="230"/>
        <v>1.8343836003628575</v>
      </c>
      <c r="AI272">
        <f t="shared" si="231"/>
        <v>0.99423754370247641</v>
      </c>
      <c r="AJ272" t="str">
        <f t="shared" si="212"/>
        <v>1+0.00348577901475373i</v>
      </c>
      <c r="AK272">
        <f t="shared" si="232"/>
        <v>1.000006075309215</v>
      </c>
      <c r="AL272">
        <f t="shared" si="233"/>
        <v>3.4857648966901897E-3</v>
      </c>
      <c r="AM272" t="str">
        <f t="shared" si="213"/>
        <v>1-0.00779883052079657i</v>
      </c>
      <c r="AN272">
        <f t="shared" si="234"/>
        <v>1.0000304104163493</v>
      </c>
      <c r="AO272">
        <f t="shared" si="235"/>
        <v>-7.7986724137067871E-3</v>
      </c>
      <c r="AP272" s="42" t="str">
        <f t="shared" si="236"/>
        <v>13.5658190534332-21.0603025783303i</v>
      </c>
      <c r="AQ272">
        <f t="shared" si="237"/>
        <v>27.976606461517658</v>
      </c>
      <c r="AR272" s="44">
        <f t="shared" si="238"/>
        <v>-57.212726485760903</v>
      </c>
      <c r="AS272" t="str">
        <f t="shared" si="214"/>
        <v>-0.000166666666666667</v>
      </c>
      <c r="AT272" t="str">
        <f t="shared" si="215"/>
        <v>0.0002749408197887i</v>
      </c>
      <c r="AU272">
        <f t="shared" si="239"/>
        <v>2.7494081978870002E-4</v>
      </c>
      <c r="AV272">
        <f t="shared" si="240"/>
        <v>1.5707963267948966</v>
      </c>
      <c r="AW272" t="str">
        <f t="shared" si="216"/>
        <v>1+0.0500908101684302i</v>
      </c>
      <c r="AX272">
        <f t="shared" si="241"/>
        <v>1.0012537586762558</v>
      </c>
      <c r="AY272">
        <f t="shared" si="242"/>
        <v>5.004897902058375E-2</v>
      </c>
      <c r="AZ272" t="str">
        <f t="shared" si="217"/>
        <v>1+1.01959036181546i</v>
      </c>
      <c r="BA272">
        <f t="shared" si="243"/>
        <v>1.4281332241450657</v>
      </c>
      <c r="BB272">
        <f t="shared" si="244"/>
        <v>0.7950980252013321</v>
      </c>
      <c r="BC272" s="42" t="str">
        <f t="shared" si="245"/>
        <v>-0.586231053717283+0.635555847268836i</v>
      </c>
      <c r="BD272">
        <f t="shared" si="246"/>
        <v>-1.2633182071735249</v>
      </c>
      <c r="BE272" s="44">
        <f t="shared" si="247"/>
        <v>132.68816587640447</v>
      </c>
      <c r="BF272" s="42" t="str">
        <f t="shared" si="248"/>
        <v>2.29312618338294+3.54348621992579i</v>
      </c>
      <c r="BG272" s="20">
        <f t="shared" si="249"/>
        <v>12.507790564603782</v>
      </c>
      <c r="BH272" s="44">
        <f t="shared" si="250"/>
        <v>57.091541317360758</v>
      </c>
      <c r="BI272" s="42" t="str">
        <f t="shared" si="255"/>
        <v>5.43229405067663+20.9680389944998i</v>
      </c>
      <c r="BJ272" s="20">
        <f t="shared" si="251"/>
        <v>26.713288254344118</v>
      </c>
      <c r="BK272" s="44">
        <f t="shared" si="256"/>
        <v>75.475439390643558</v>
      </c>
      <c r="BL272">
        <f t="shared" si="252"/>
        <v>12.507790564603782</v>
      </c>
      <c r="BM272" s="44">
        <f t="shared" si="253"/>
        <v>57.091541317360758</v>
      </c>
    </row>
    <row r="273" spans="14:65" x14ac:dyDescent="0.35">
      <c r="N273" s="9">
        <v>55</v>
      </c>
      <c r="O273" s="35">
        <f t="shared" si="254"/>
        <v>3548.1338923357539</v>
      </c>
      <c r="P273" s="34" t="str">
        <f t="shared" si="206"/>
        <v>16.3709677419355</v>
      </c>
      <c r="Q273" s="4" t="str">
        <f t="shared" si="207"/>
        <v>1+3.27931410630478i</v>
      </c>
      <c r="R273" s="4">
        <f t="shared" si="218"/>
        <v>3.4283962734505353</v>
      </c>
      <c r="S273" s="4">
        <f t="shared" si="219"/>
        <v>1.2748119449377606</v>
      </c>
      <c r="T273" s="4" t="str">
        <f t="shared" si="208"/>
        <v>1+0.00356697323843678i</v>
      </c>
      <c r="U273" s="4">
        <f t="shared" si="220"/>
        <v>1.0000063616288066</v>
      </c>
      <c r="V273" s="4">
        <f t="shared" si="221"/>
        <v>3.5669581106643417E-3</v>
      </c>
      <c r="W273" t="str">
        <f t="shared" si="209"/>
        <v>1-0.0466800324315834i</v>
      </c>
      <c r="X273" s="4">
        <f t="shared" si="222"/>
        <v>1.0010889198406971</v>
      </c>
      <c r="Y273" s="4">
        <f t="shared" si="223"/>
        <v>-4.6646171032267689E-2</v>
      </c>
      <c r="Z273" t="str">
        <f t="shared" si="210"/>
        <v>0.999989106107848+0.0091931217617226i</v>
      </c>
      <c r="AA273" s="4">
        <f t="shared" si="224"/>
        <v>1.0000313624192485</v>
      </c>
      <c r="AB273" s="4">
        <f t="shared" si="225"/>
        <v>9.1929629354311482E-3</v>
      </c>
      <c r="AC273" s="48" t="str">
        <f t="shared" si="226"/>
        <v>1.15349222748632-4.63892979453787i</v>
      </c>
      <c r="AD273" s="20">
        <f t="shared" si="227"/>
        <v>13.588902709326243</v>
      </c>
      <c r="AE273" s="44">
        <f t="shared" si="228"/>
        <v>-76.036319180371336</v>
      </c>
      <c r="AF273" t="str">
        <f t="shared" si="229"/>
        <v>45.9520231294187</v>
      </c>
      <c r="AG273" t="str">
        <f t="shared" si="211"/>
        <v>1+1.57366466401622i</v>
      </c>
      <c r="AH273">
        <f t="shared" si="230"/>
        <v>1.8645161503117325</v>
      </c>
      <c r="AI273">
        <f t="shared" si="231"/>
        <v>1.0047109778650363</v>
      </c>
      <c r="AJ273" t="str">
        <f t="shared" si="212"/>
        <v>1+0.00356697323843678i</v>
      </c>
      <c r="AK273">
        <f t="shared" si="232"/>
        <v>1.0000063616288066</v>
      </c>
      <c r="AL273">
        <f t="shared" si="233"/>
        <v>3.5669581106643417E-3</v>
      </c>
      <c r="AM273" t="str">
        <f t="shared" si="213"/>
        <v>1-0.00798048861991636i</v>
      </c>
      <c r="AN273">
        <f t="shared" si="234"/>
        <v>1.0000318435922992</v>
      </c>
      <c r="AO273">
        <f t="shared" si="235"/>
        <v>-7.9803192054087192E-3</v>
      </c>
      <c r="AP273" s="42" t="str">
        <f t="shared" si="236"/>
        <v>13.1267712495047-20.8599460288615i</v>
      </c>
      <c r="AQ273">
        <f t="shared" si="237"/>
        <v>27.835101587365433</v>
      </c>
      <c r="AR273" s="44">
        <f t="shared" si="238"/>
        <v>-57.818565626324691</v>
      </c>
      <c r="AS273" t="str">
        <f t="shared" si="214"/>
        <v>-0.000166666666666667</v>
      </c>
      <c r="AT273" t="str">
        <f t="shared" si="215"/>
        <v>0.000281345014181702i</v>
      </c>
      <c r="AU273">
        <f t="shared" si="239"/>
        <v>2.8134501418170199E-4</v>
      </c>
      <c r="AV273">
        <f t="shared" si="240"/>
        <v>1.5707963267948966</v>
      </c>
      <c r="AW273" t="str">
        <f t="shared" si="216"/>
        <v>1+0.0512575750230199i</v>
      </c>
      <c r="AX273">
        <f t="shared" si="241"/>
        <v>1.0013128077665043</v>
      </c>
      <c r="AY273">
        <f t="shared" si="242"/>
        <v>5.1212755313854455E-2</v>
      </c>
      <c r="AZ273" t="str">
        <f t="shared" si="217"/>
        <v>1+1.04333967224276i</v>
      </c>
      <c r="BA273">
        <f t="shared" si="243"/>
        <v>1.445184303705112</v>
      </c>
      <c r="BB273">
        <f t="shared" si="244"/>
        <v>0.80660519787451679</v>
      </c>
      <c r="BC273" s="42" t="str">
        <f t="shared" si="245"/>
        <v>-0.586161913705421+0.62243770397865i</v>
      </c>
      <c r="BD273">
        <f t="shared" si="246"/>
        <v>-1.3607401779135273</v>
      </c>
      <c r="BE273" s="44">
        <f t="shared" si="247"/>
        <v>133.28079883480436</v>
      </c>
      <c r="BF273" s="42" t="str">
        <f t="shared" si="248"/>
        <v>2.21131159872259+3.43714101954522i</v>
      </c>
      <c r="BG273" s="20">
        <f t="shared" si="249"/>
        <v>12.228162531412721</v>
      </c>
      <c r="BH273" s="44">
        <f t="shared" si="250"/>
        <v>57.2444796544331</v>
      </c>
      <c r="BI273" s="42" t="str">
        <f t="shared" si="255"/>
        <v>5.28960355494013+20.3979032412639i</v>
      </c>
      <c r="BJ273" s="20">
        <f t="shared" si="251"/>
        <v>26.474361409451902</v>
      </c>
      <c r="BK273" s="44">
        <f t="shared" si="256"/>
        <v>75.462233208479702</v>
      </c>
      <c r="BL273">
        <f t="shared" si="252"/>
        <v>12.228162531412721</v>
      </c>
      <c r="BM273" s="44">
        <f t="shared" si="253"/>
        <v>57.2444796544331</v>
      </c>
    </row>
    <row r="274" spans="14:65" x14ac:dyDescent="0.35">
      <c r="N274" s="9">
        <v>56</v>
      </c>
      <c r="O274" s="35">
        <f t="shared" si="254"/>
        <v>3630.7805477010188</v>
      </c>
      <c r="P274" s="34" t="str">
        <f t="shared" si="206"/>
        <v>16.3709677419355</v>
      </c>
      <c r="Q274" s="4" t="str">
        <f t="shared" si="207"/>
        <v>1+3.35569914446912i</v>
      </c>
      <c r="R274" s="4">
        <f t="shared" si="218"/>
        <v>3.5015306293378021</v>
      </c>
      <c r="S274" s="4">
        <f t="shared" si="219"/>
        <v>1.2811749502606486</v>
      </c>
      <c r="T274" s="4" t="str">
        <f t="shared" si="208"/>
        <v>1+0.00365005871854536i</v>
      </c>
      <c r="U274" s="4">
        <f t="shared" si="220"/>
        <v>1.000006661442137</v>
      </c>
      <c r="V274" s="4">
        <f t="shared" si="221"/>
        <v>3.6500425088509788E-3</v>
      </c>
      <c r="W274" t="str">
        <f t="shared" si="209"/>
        <v>1-0.0477673500666778i</v>
      </c>
      <c r="X274" s="4">
        <f t="shared" si="222"/>
        <v>1.0011402098269715</v>
      </c>
      <c r="Y274" s="4">
        <f t="shared" si="223"/>
        <v>-4.7731069155060035E-2</v>
      </c>
      <c r="Z274" t="str">
        <f t="shared" si="210"/>
        <v>0.999988592694528+0.00940725707595446i</v>
      </c>
      <c r="AA274" s="4">
        <f t="shared" si="224"/>
        <v>1.0000328404631897</v>
      </c>
      <c r="AB274" s="4">
        <f t="shared" si="225"/>
        <v>9.4070868908078167E-3</v>
      </c>
      <c r="AC274" s="48" t="str">
        <f t="shared" si="226"/>
        <v>1.09499877671023-4.55069617528751i</v>
      </c>
      <c r="AD274" s="20">
        <f t="shared" si="227"/>
        <v>13.405999173178913</v>
      </c>
      <c r="AE274" s="44">
        <f t="shared" si="228"/>
        <v>-76.470560627606034</v>
      </c>
      <c r="AF274" t="str">
        <f t="shared" si="229"/>
        <v>45.9520231294187</v>
      </c>
      <c r="AG274" t="str">
        <f t="shared" si="211"/>
        <v>1+1.61032002288766i</v>
      </c>
      <c r="AH274">
        <f t="shared" si="230"/>
        <v>1.8955554795660594</v>
      </c>
      <c r="AI274">
        <f t="shared" si="231"/>
        <v>1.0150825027177601</v>
      </c>
      <c r="AJ274" t="str">
        <f t="shared" si="212"/>
        <v>1+0.00365005871854536i</v>
      </c>
      <c r="AK274">
        <f t="shared" si="232"/>
        <v>1.000006661442137</v>
      </c>
      <c r="AL274">
        <f t="shared" si="233"/>
        <v>3.6500425088509788E-3</v>
      </c>
      <c r="AM274" t="str">
        <f t="shared" si="213"/>
        <v>1-0.00816637807973674i</v>
      </c>
      <c r="AN274">
        <f t="shared" si="234"/>
        <v>1.000033344309549</v>
      </c>
      <c r="AO274">
        <f t="shared" si="235"/>
        <v>-8.1661965491481199E-3</v>
      </c>
      <c r="AP274" s="42" t="str">
        <f t="shared" si="236"/>
        <v>12.696225677131-20.6525204347299i</v>
      </c>
      <c r="AQ274">
        <f t="shared" si="237"/>
        <v>27.691710217348064</v>
      </c>
      <c r="AR274" s="44">
        <f t="shared" si="238"/>
        <v>-58.418699829444684</v>
      </c>
      <c r="AS274" t="str">
        <f t="shared" si="214"/>
        <v>-0.000166666666666667</v>
      </c>
      <c r="AT274" t="str">
        <f t="shared" si="215"/>
        <v>0.000287898381425265i</v>
      </c>
      <c r="AU274">
        <f t="shared" si="239"/>
        <v>2.8789838142526499E-4</v>
      </c>
      <c r="AV274">
        <f t="shared" si="240"/>
        <v>1.5707963267948966</v>
      </c>
      <c r="AW274" t="str">
        <f t="shared" si="216"/>
        <v>1+0.0524515173223615i</v>
      </c>
      <c r="AX274">
        <f t="shared" si="241"/>
        <v>1.0013746360226117</v>
      </c>
      <c r="AY274">
        <f t="shared" si="242"/>
        <v>5.24034956986364E-2</v>
      </c>
      <c r="AZ274" t="str">
        <f t="shared" si="217"/>
        <v>1+1.06764217517452i</v>
      </c>
      <c r="BA274">
        <f t="shared" si="243"/>
        <v>1.4628259685319307</v>
      </c>
      <c r="BB274">
        <f t="shared" si="244"/>
        <v>0.81810114274893087</v>
      </c>
      <c r="BC274" s="42" t="str">
        <f t="shared" si="245"/>
        <v>-0.586089532702781+0.609649252183845i</v>
      </c>
      <c r="BD274">
        <f t="shared" si="246"/>
        <v>-1.4558879815157297</v>
      </c>
      <c r="BE274" s="44">
        <f t="shared" si="247"/>
        <v>133.87124355907955</v>
      </c>
      <c r="BF274" s="42" t="str">
        <f t="shared" si="248"/>
        <v>2.1325611988277+3.33468058021021i</v>
      </c>
      <c r="BG274" s="20">
        <f t="shared" si="249"/>
        <v>11.950111191663193</v>
      </c>
      <c r="BH274" s="44">
        <f t="shared" si="250"/>
        <v>57.400682931473561</v>
      </c>
      <c r="BI274" s="42" t="str">
        <f t="shared" si="255"/>
        <v>5.14966866454591+19.8444705403457i</v>
      </c>
      <c r="BJ274" s="20">
        <f t="shared" si="251"/>
        <v>26.235822235832327</v>
      </c>
      <c r="BK274" s="44">
        <f t="shared" si="256"/>
        <v>75.452543729634854</v>
      </c>
      <c r="BL274">
        <f t="shared" si="252"/>
        <v>11.950111191663193</v>
      </c>
      <c r="BM274" s="44">
        <f t="shared" si="253"/>
        <v>57.400682931473561</v>
      </c>
    </row>
    <row r="275" spans="14:65" x14ac:dyDescent="0.35">
      <c r="N275" s="9">
        <v>57</v>
      </c>
      <c r="O275" s="35">
        <f t="shared" si="254"/>
        <v>3715.352290971724</v>
      </c>
      <c r="P275" s="34" t="str">
        <f t="shared" ref="P275:P338" si="257">COMPLEX(Adc,0)</f>
        <v>16.3709677419355</v>
      </c>
      <c r="Q275" s="4" t="str">
        <f t="shared" ref="Q275:Q338" si="258">IMSUM(COMPLEX(1,0),IMDIV(COMPLEX(0,2*PI()*O275),COMPLEX(wp_lf,0)))</f>
        <v>1+3.43386341873777i</v>
      </c>
      <c r="R275" s="4">
        <f t="shared" si="218"/>
        <v>3.5765091889362517</v>
      </c>
      <c r="S275" s="4">
        <f t="shared" si="219"/>
        <v>1.2874165202517343</v>
      </c>
      <c r="T275" s="4" t="str">
        <f t="shared" ref="T275:T338" si="259">IMSUM(COMPLEX(1,0),IMDIV(COMPLEX(0,2*PI()*O275),COMPLEX(wz_esr,0)))</f>
        <v>1+0.00373507950810074i</v>
      </c>
      <c r="U275" s="4">
        <f t="shared" si="220"/>
        <v>1.0000069753851379</v>
      </c>
      <c r="V275" s="4">
        <f t="shared" si="221"/>
        <v>3.7350621391068223E-3</v>
      </c>
      <c r="W275" t="str">
        <f t="shared" ref="W275:W338" si="260">IMSUB(COMPLEX(1,0),IMDIV(COMPLEX(0,2*PI()*O275),COMPLEX(wz_rhp,0)))</f>
        <v>1-0.048879994583053i</v>
      </c>
      <c r="X275" s="4">
        <f t="shared" si="222"/>
        <v>1.0011939142196378</v>
      </c>
      <c r="Y275" s="4">
        <f t="shared" si="223"/>
        <v>-4.8841121389197391E-2</v>
      </c>
      <c r="Z275" t="str">
        <f t="shared" ref="Z275:Z338" si="261">IMSUM(COMPLEX(1,0),IMDIV(COMPLEX(0,2*PI()*O275),COMPLEX(Q*(wsl/2),0)),IMDIV(IMPOWER(COMPLEX(0,2*PI()*O275),2),IMPOWER(COMPLEX(wsl/2,0),2)))</f>
        <v>0.999988055084784+0.00962638024240774i</v>
      </c>
      <c r="AA275" s="4">
        <f t="shared" si="224"/>
        <v>1.0000343881631373</v>
      </c>
      <c r="AB275" s="4">
        <f t="shared" si="225"/>
        <v>9.6261978860639544E-3</v>
      </c>
      <c r="AC275" s="48" t="str">
        <f t="shared" si="226"/>
        <v>1.03871668386029-4.46342860866303i</v>
      </c>
      <c r="AD275" s="20">
        <f t="shared" si="227"/>
        <v>13.22242607324725</v>
      </c>
      <c r="AE275" s="44">
        <f t="shared" si="228"/>
        <v>-76.899460422969526</v>
      </c>
      <c r="AF275" t="str">
        <f t="shared" si="229"/>
        <v>45.9520231294187</v>
      </c>
      <c r="AG275" t="str">
        <f t="shared" ref="AG275:AG338" si="262">IMSUM(COMPLEX(1,0),IMDIV(COMPLEX(0,2*PI()*O275),COMPLEX(wp_lf_DCM,0)))</f>
        <v>1+1.64782919475032i</v>
      </c>
      <c r="AH275">
        <f t="shared" si="230"/>
        <v>1.9275219985959924</v>
      </c>
      <c r="AI275">
        <f t="shared" si="231"/>
        <v>1.0253486918574393</v>
      </c>
      <c r="AJ275" t="str">
        <f t="shared" ref="AJ275:AJ338" si="263">IMSUM(COMPLEX(1,0),IMDIV(COMPLEX(0,2*PI()*O275),COMPLEX(wz1_dcm,0)))</f>
        <v>1+0.00373507950810074i</v>
      </c>
      <c r="AK275">
        <f t="shared" si="232"/>
        <v>1.0000069753851379</v>
      </c>
      <c r="AL275">
        <f t="shared" si="233"/>
        <v>3.7350621391068223E-3</v>
      </c>
      <c r="AM275" t="str">
        <f t="shared" ref="AM275:AM338" si="264">IMSUB(COMPLEX(1,0),IMDIV(COMPLEX(0,2*PI()*O275),COMPLEX(wz2_dcm,0)))</f>
        <v>1-0.00835659746130977i</v>
      </c>
      <c r="AN275">
        <f t="shared" si="234"/>
        <v>1.0000349157510104</v>
      </c>
      <c r="AO275">
        <f t="shared" si="235"/>
        <v>-8.3564029481463641E-3</v>
      </c>
      <c r="AP275" s="42" t="str">
        <f t="shared" si="236"/>
        <v>12.2743808384018-20.4384511928812i</v>
      </c>
      <c r="AQ275">
        <f t="shared" si="237"/>
        <v>27.546469726620401</v>
      </c>
      <c r="AR275" s="44">
        <f t="shared" si="238"/>
        <v>-59.012935896740672</v>
      </c>
      <c r="AS275" t="str">
        <f t="shared" ref="AS275:AS338" si="265">COMPLEX(Adc_ea,0)</f>
        <v>-0.000166666666666667</v>
      </c>
      <c r="AT275" t="str">
        <f t="shared" ref="AT275:AT338" si="266">COMPLEX(0,2*PI()*O275*wp0_ea)</f>
        <v>0.000294604396201445i</v>
      </c>
      <c r="AU275">
        <f t="shared" si="239"/>
        <v>2.9460439620144498E-4</v>
      </c>
      <c r="AV275">
        <f t="shared" si="240"/>
        <v>1.5707963267948966</v>
      </c>
      <c r="AW275" t="str">
        <f t="shared" ref="AW275:AW338" si="267">IMSUM(COMPLEX(1,0),IMDIV(COMPLEX(0,2*PI()*O275),COMPLEX(wp1_ea,0)))</f>
        <v>1+0.053673270110465i</v>
      </c>
      <c r="AX275">
        <f t="shared" si="241"/>
        <v>1.0014393740633283</v>
      </c>
      <c r="AY275">
        <f t="shared" si="242"/>
        <v>5.3621818007127765E-2</v>
      </c>
      <c r="AZ275" t="str">
        <f t="shared" ref="AZ275:AZ338" si="268">IMSUM(COMPLEX(1,0),IMDIV(COMPLEX(0,2*PI()*O275),COMPLEX(wz_ea,0)))</f>
        <v>1+1.09251075611946i</v>
      </c>
      <c r="BA275">
        <f t="shared" si="243"/>
        <v>1.4810738510407624</v>
      </c>
      <c r="BB275">
        <f t="shared" si="244"/>
        <v>0.82957980204317006</v>
      </c>
      <c r="BC275" s="42" t="str">
        <f t="shared" si="245"/>
        <v>-0.586013759645266+0.597183687579098i</v>
      </c>
      <c r="BD275">
        <f t="shared" si="246"/>
        <v>-1.5487684409461342</v>
      </c>
      <c r="BE275" s="44">
        <f t="shared" si="247"/>
        <v>134.45911756474493</v>
      </c>
      <c r="BF275" s="42" t="str">
        <f t="shared" si="248"/>
        <v>2.0567844866522+3.23593523948848i</v>
      </c>
      <c r="BG275" s="20">
        <f t="shared" si="249"/>
        <v>11.673657632301119</v>
      </c>
      <c r="BH275" s="44">
        <f t="shared" si="250"/>
        <v>57.559657141775403</v>
      </c>
      <c r="BI275" s="42" t="str">
        <f t="shared" si="255"/>
        <v>5.01255358934056+19.3072736366936i</v>
      </c>
      <c r="BJ275" s="20">
        <f t="shared" si="251"/>
        <v>25.997701285674275</v>
      </c>
      <c r="BK275" s="44">
        <f t="shared" si="256"/>
        <v>75.446181668004286</v>
      </c>
      <c r="BL275">
        <f t="shared" si="252"/>
        <v>11.673657632301119</v>
      </c>
      <c r="BM275" s="44">
        <f t="shared" si="253"/>
        <v>57.559657141775403</v>
      </c>
    </row>
    <row r="276" spans="14:65" x14ac:dyDescent="0.35">
      <c r="N276" s="9">
        <v>58</v>
      </c>
      <c r="O276" s="35">
        <f t="shared" si="254"/>
        <v>3801.8939632056172</v>
      </c>
      <c r="P276" s="34" t="str">
        <f t="shared" si="257"/>
        <v>16.3709677419355</v>
      </c>
      <c r="Q276" s="4" t="str">
        <f t="shared" si="258"/>
        <v>1+3.51384837284359i</v>
      </c>
      <c r="R276" s="4">
        <f t="shared" ref="R276:R339" si="269">IMABS(Q276)</f>
        <v>3.6533724676434987</v>
      </c>
      <c r="S276" s="4">
        <f t="shared" ref="S276:S339" si="270">IMARGUMENT(Q276)</f>
        <v>1.2935380183031602</v>
      </c>
      <c r="T276" s="4" t="str">
        <f t="shared" si="259"/>
        <v>1+0.00382208068625093i</v>
      </c>
      <c r="U276" s="4">
        <f t="shared" ref="U276:U339" si="271">IMABS(T276)</f>
        <v>1.000007304123711</v>
      </c>
      <c r="V276" s="4">
        <f t="shared" ref="V276:V339" si="272">IMARGUMENT(T276)</f>
        <v>3.8220620750459766E-3</v>
      </c>
      <c r="W276" t="str">
        <f t="shared" si="260"/>
        <v>1-0.0500185559195593i</v>
      </c>
      <c r="X276" s="4">
        <f t="shared" ref="X276:X339" si="273">IMABS(W276)</f>
        <v>1.0012501465349597</v>
      </c>
      <c r="Y276" s="4">
        <f t="shared" ref="Y276:Y339" si="274">IMARGUMENT(W276)</f>
        <v>-4.9976905350256007E-2</v>
      </c>
      <c r="Z276" t="str">
        <f t="shared" si="261"/>
        <v>0.999987492138274+0.00985060744308574i</v>
      </c>
      <c r="AA276" s="4">
        <f t="shared" ref="AA276:AA339" si="275">IMABS(Z276)</f>
        <v>1.0000360088016791</v>
      </c>
      <c r="AB276" s="4">
        <f t="shared" ref="AB276:AB339" si="276">IMARGUMENT(Z276)</f>
        <v>9.8504120451090599E-3</v>
      </c>
      <c r="AC276" s="48" t="str">
        <f t="shared" ref="AC276:AC339" si="277">(IMDIV(IMPRODUCT(P276,T276,W276),IMPRODUCT(Q276,Z276)))</f>
        <v>0.984579230849929-4.37716240359737i</v>
      </c>
      <c r="AD276" s="20">
        <f t="shared" ref="AD276:AD339" si="278">20*LOG(IMABS(AC276))</f>
        <v>13.038210556939259</v>
      </c>
      <c r="AE276" s="44">
        <f t="shared" ref="AE276:AE339" si="279">(180/PI())*IMARGUMENT(AC276)</f>
        <v>-77.323133848894187</v>
      </c>
      <c r="AF276" t="str">
        <f t="shared" ref="AF276:AF339" si="280">COMPLEX($B$68,0)</f>
        <v>45.9520231294187</v>
      </c>
      <c r="AG276" t="str">
        <f t="shared" si="262"/>
        <v>1+1.68621206746364i</v>
      </c>
      <c r="AH276">
        <f t="shared" ref="AH276:AH339" si="281">IMABS(AG276)</f>
        <v>1.9604364658055113</v>
      </c>
      <c r="AI276">
        <f t="shared" ref="AI276:AI339" si="282">IMARGUMENT(AG276)</f>
        <v>1.0355063321331119</v>
      </c>
      <c r="AJ276" t="str">
        <f t="shared" si="263"/>
        <v>1+0.00382208068625093i</v>
      </c>
      <c r="AK276">
        <f t="shared" ref="AK276:AK339" si="283">IMABS(AJ276)</f>
        <v>1.000007304123711</v>
      </c>
      <c r="AL276">
        <f t="shared" ref="AL276:AL339" si="284">IMARGUMENT(AJ276)</f>
        <v>3.8220620750459766E-3</v>
      </c>
      <c r="AM276" t="str">
        <f t="shared" si="264"/>
        <v>1-0.00855124762146942i</v>
      </c>
      <c r="AN276">
        <f t="shared" ref="AN276:AN339" si="285">IMABS(AM276)</f>
        <v>1.0000365612495794</v>
      </c>
      <c r="AO276">
        <f t="shared" ref="AO276:AO339" si="286">IMARGUMENT(AM276)</f>
        <v>-8.551039197271253E-3</v>
      </c>
      <c r="AP276" s="42" t="str">
        <f t="shared" ref="AP276:AP339" si="287">(IMDIV(IMPRODUCT(AF276,AJ276,AM276),IMPRODUCT(AG276)))</f>
        <v>11.8614092296511-20.2181661685524i</v>
      </c>
      <c r="AQ276">
        <f t="shared" ref="AQ276:AQ339" si="288">20*LOG(IMABS(AP276))</f>
        <v>27.399418296884029</v>
      </c>
      <c r="AR276" s="44">
        <f t="shared" ref="AR276:AR339" si="289">(180/PI())*IMARGUMENT(AP276)</f>
        <v>-59.601092920816889</v>
      </c>
      <c r="AS276" t="str">
        <f t="shared" si="265"/>
        <v>-0.000166666666666667</v>
      </c>
      <c r="AT276" t="str">
        <f t="shared" si="266"/>
        <v>0.000301466614128042i</v>
      </c>
      <c r="AU276">
        <f t="shared" ref="AU276:AU339" si="290">IMABS(AT276)</f>
        <v>3.01466614128042E-4</v>
      </c>
      <c r="AV276">
        <f t="shared" ref="AV276:AV339" si="291">IMARGUMENT(AT276)</f>
        <v>1.5707963267948966</v>
      </c>
      <c r="AW276" t="str">
        <f t="shared" si="267"/>
        <v>1+0.0549234811768309i</v>
      </c>
      <c r="AX276">
        <f t="shared" ref="AX276:AX339" si="292">IMABS(AW276)</f>
        <v>1.0015071586287247</v>
      </c>
      <c r="AY276">
        <f t="shared" ref="AY276:AY339" si="293">IMARGUMENT(AW276)</f>
        <v>5.486835373480297E-2</v>
      </c>
      <c r="AZ276" t="str">
        <f t="shared" si="268"/>
        <v>1+1.11795860072839i</v>
      </c>
      <c r="BA276">
        <f t="shared" ref="BA276:BA339" si="294">IMABS(AZ276)</f>
        <v>1.4999438099284186</v>
      </c>
      <c r="BB276">
        <f t="shared" ref="BB276:BB339" si="295">IMARGUMENT(AZ276)</f>
        <v>0.84103516352541308</v>
      </c>
      <c r="BC276" s="42" t="str">
        <f t="shared" ref="BC276:BC339" si="296">IMPRODUCT(AS276,IMDIV(AZ276,IMPRODUCT(AT276,AW276)))</f>
        <v>-0.585934436510316+0.585034375379296i</v>
      </c>
      <c r="BD276">
        <f t="shared" ref="BD276:BD339" si="297">20*LOG(IMABS(BC276))</f>
        <v>-1.6393908301187903</v>
      </c>
      <c r="BE276" s="44">
        <f t="shared" ref="BE276:BE339" si="298">(180/PI())*IMARGUMENT(BC276)</f>
        <v>135.04404019426605</v>
      </c>
      <c r="BF276" s="42" t="str">
        <f t="shared" ref="BF276:BF339" si="299">IMPRODUCT(AC276,BC276)</f>
        <v>1.98389159589451+3.14074288179768i</v>
      </c>
      <c r="BG276" s="20">
        <f t="shared" ref="BG276:BG339" si="300">20*LOG(IMABS(BF276))</f>
        <v>11.398819726820463</v>
      </c>
      <c r="BH276" s="44">
        <f t="shared" ref="BH276:BH339" si="301">(180/PI())*IMARGUMENT(BF276)</f>
        <v>57.720906345371894</v>
      </c>
      <c r="BI276" s="42" t="str">
        <f t="shared" si="255"/>
        <v>4.87831408253999+18.7858519410298i</v>
      </c>
      <c r="BJ276" s="20">
        <f t="shared" ref="BJ276:BJ339" si="302">20*LOG(IMABS(BI276))</f>
        <v>25.760027466765223</v>
      </c>
      <c r="BK276" s="44">
        <f t="shared" si="256"/>
        <v>75.44294727344915</v>
      </c>
      <c r="BL276">
        <f t="shared" ref="BL276:BL339" si="303">IF($B$31=0,BJ276,BG276)</f>
        <v>11.398819726820463</v>
      </c>
      <c r="BM276" s="44">
        <f t="shared" ref="BM276:BM339" si="304">IF($B$31=0,BK276,BH276)</f>
        <v>57.720906345371894</v>
      </c>
    </row>
    <row r="277" spans="14:65" x14ac:dyDescent="0.35">
      <c r="N277" s="9">
        <v>59</v>
      </c>
      <c r="O277" s="35">
        <f t="shared" si="254"/>
        <v>3890.451449942811</v>
      </c>
      <c r="P277" s="34" t="str">
        <f t="shared" si="257"/>
        <v>16.3709677419355</v>
      </c>
      <c r="Q277" s="4" t="str">
        <f t="shared" si="258"/>
        <v>1+3.59569641586798i</v>
      </c>
      <c r="R277" s="4">
        <f t="shared" si="269"/>
        <v>3.7321619358068903</v>
      </c>
      <c r="S277" s="4">
        <f t="shared" si="270"/>
        <v>1.299540854289668</v>
      </c>
      <c r="T277" s="4" t="str">
        <f t="shared" si="259"/>
        <v>1+0.00391110838217219i</v>
      </c>
      <c r="U277" s="4">
        <f t="shared" si="271"/>
        <v>1.0000076483551399</v>
      </c>
      <c r="V277" s="4">
        <f t="shared" si="272"/>
        <v>3.9110884399150255E-3</v>
      </c>
      <c r="W277" t="str">
        <f t="shared" si="260"/>
        <v>1-0.0511836377564881i</v>
      </c>
      <c r="X277" s="4">
        <f t="shared" si="273"/>
        <v>1.001309025612966</v>
      </c>
      <c r="Y277" s="4">
        <f t="shared" si="274"/>
        <v>-5.1139011517929968E-2</v>
      </c>
      <c r="Z277" t="str">
        <f t="shared" si="261"/>
        <v>0.999986902660911+0.0100800575662183i</v>
      </c>
      <c r="AA277" s="4">
        <f t="shared" si="275"/>
        <v>1.0000377058160859</v>
      </c>
      <c r="AB277" s="4">
        <f t="shared" si="276"/>
        <v>1.0079848193924882E-2</v>
      </c>
      <c r="AC277" s="48" t="str">
        <f t="shared" si="277"/>
        <v>0.932520312265481-4.29192939080055i</v>
      </c>
      <c r="AD277" s="20">
        <f t="shared" si="278"/>
        <v>12.853379017667814</v>
      </c>
      <c r="AE277" s="44">
        <f t="shared" si="279"/>
        <v>-77.741699682806669</v>
      </c>
      <c r="AF277" t="str">
        <f t="shared" si="280"/>
        <v>45.9520231294187</v>
      </c>
      <c r="AG277" t="str">
        <f t="shared" si="262"/>
        <v>1+1.72548899213479i</v>
      </c>
      <c r="AH277">
        <f t="shared" si="281"/>
        <v>1.9943199998942829</v>
      </c>
      <c r="AI277">
        <f t="shared" si="282"/>
        <v>1.0455524244380288</v>
      </c>
      <c r="AJ277" t="str">
        <f t="shared" si="263"/>
        <v>1+0.00391110838217219i</v>
      </c>
      <c r="AK277">
        <f t="shared" si="283"/>
        <v>1.0000076483551399</v>
      </c>
      <c r="AL277">
        <f t="shared" si="284"/>
        <v>3.9110884399150255E-3</v>
      </c>
      <c r="AM277" t="str">
        <f t="shared" si="264"/>
        <v>1-0.00875043176630713i</v>
      </c>
      <c r="AN277">
        <f t="shared" si="285"/>
        <v>1.0000382842952047</v>
      </c>
      <c r="AO277">
        <f t="shared" si="286"/>
        <v>-8.7502084362168723E-3</v>
      </c>
      <c r="AP277" s="42" t="str">
        <f t="shared" si="287"/>
        <v>11.4574577595543-19.9920939420389i</v>
      </c>
      <c r="AQ277">
        <f t="shared" si="288"/>
        <v>27.250594804449978</v>
      </c>
      <c r="AR277" s="44">
        <f t="shared" si="289"/>
        <v>-60.183002332315574</v>
      </c>
      <c r="AS277" t="str">
        <f t="shared" si="265"/>
        <v>-0.000166666666666667</v>
      </c>
      <c r="AT277" t="str">
        <f t="shared" si="266"/>
        <v>0.000308488673643832i</v>
      </c>
      <c r="AU277">
        <f t="shared" si="290"/>
        <v>3.0848867364383201E-4</v>
      </c>
      <c r="AV277">
        <f t="shared" si="291"/>
        <v>1.5707963267948966</v>
      </c>
      <c r="AW277" t="str">
        <f t="shared" si="267"/>
        <v>1+0.056202813399915i</v>
      </c>
      <c r="AX277">
        <f t="shared" si="292"/>
        <v>1.0015781328653623</v>
      </c>
      <c r="AY277">
        <f t="shared" si="293"/>
        <v>5.6143748307173433E-2</v>
      </c>
      <c r="AZ277" t="str">
        <f t="shared" si="268"/>
        <v>1+1.14399920178536i</v>
      </c>
      <c r="BA277">
        <f t="shared" si="294"/>
        <v>1.5194519320088873</v>
      </c>
      <c r="BB277">
        <f t="shared" si="295"/>
        <v>0.85246127609633515</v>
      </c>
      <c r="BC277" s="42" t="str">
        <f t="shared" si="296"/>
        <v>-0.585851398004311+0.573194846683555i</v>
      </c>
      <c r="BD277">
        <f t="shared" si="297"/>
        <v>-1.7277668423397683</v>
      </c>
      <c r="BE277" s="44">
        <f t="shared" si="298"/>
        <v>135.62563349461058</v>
      </c>
      <c r="BF277" s="42" t="str">
        <f t="shared" si="299"/>
        <v>1.91379348052842+3.04894867115461i</v>
      </c>
      <c r="BG277" s="20">
        <f t="shared" si="300"/>
        <v>11.125612175328058</v>
      </c>
      <c r="BH277" s="44">
        <f t="shared" si="301"/>
        <v>57.883933811803907</v>
      </c>
      <c r="BI277" s="42" t="str">
        <f t="shared" si="255"/>
        <v>4.74699757597999+18.279751928848i</v>
      </c>
      <c r="BJ277" s="20">
        <f t="shared" si="302"/>
        <v>25.522827962110192</v>
      </c>
      <c r="BK277" s="44">
        <f t="shared" si="256"/>
        <v>75.442631162294987</v>
      </c>
      <c r="BL277">
        <f t="shared" si="303"/>
        <v>11.125612175328058</v>
      </c>
      <c r="BM277" s="44">
        <f t="shared" si="304"/>
        <v>57.883933811803907</v>
      </c>
    </row>
    <row r="278" spans="14:65" x14ac:dyDescent="0.35">
      <c r="N278" s="9">
        <v>60</v>
      </c>
      <c r="O278" s="35">
        <f t="shared" si="254"/>
        <v>3981.0717055349769</v>
      </c>
      <c r="P278" s="34" t="str">
        <f t="shared" si="257"/>
        <v>16.3709677419355</v>
      </c>
      <c r="Q278" s="4" t="str">
        <f t="shared" si="258"/>
        <v>1+3.67945094472672i</v>
      </c>
      <c r="R278" s="4">
        <f t="shared" si="269"/>
        <v>3.8129200430444845</v>
      </c>
      <c r="S278" s="4">
        <f t="shared" si="270"/>
        <v>1.30542647986076</v>
      </c>
      <c r="T278" s="4" t="str">
        <f t="shared" si="259"/>
        <v>1+0.00400220979952731i</v>
      </c>
      <c r="U278" s="4">
        <f t="shared" si="271"/>
        <v>1.0000080088095693</v>
      </c>
      <c r="V278" s="4">
        <f t="shared" si="272"/>
        <v>4.0021884310230118E-3</v>
      </c>
      <c r="W278" t="str">
        <f t="shared" si="260"/>
        <v>1-0.0523758578356508i</v>
      </c>
      <c r="X278" s="4">
        <f t="shared" si="273"/>
        <v>1.0013706758658456</v>
      </c>
      <c r="Y278" s="4">
        <f t="shared" si="274"/>
        <v>-5.2328043493854282E-2</v>
      </c>
      <c r="Z278" t="str">
        <f t="shared" si="261"/>
        <v>0.999986285402337+0.0103148522692977i</v>
      </c>
      <c r="AA278" s="4">
        <f t="shared" si="275"/>
        <v>1.000039482805605</v>
      </c>
      <c r="AB278" s="4">
        <f t="shared" si="276"/>
        <v>1.0314627923304232E-2</v>
      </c>
      <c r="AC278" s="48" t="str">
        <f t="shared" si="277"/>
        <v>0.882474562330549-4.20775807701133i</v>
      </c>
      <c r="AD278" s="20">
        <f t="shared" si="278"/>
        <v>12.667957105058921</v>
      </c>
      <c r="AE278" s="44">
        <f t="shared" si="279"/>
        <v>-78.155279944355584</v>
      </c>
      <c r="AF278" t="str">
        <f t="shared" si="280"/>
        <v>45.9520231294187</v>
      </c>
      <c r="AG278" t="str">
        <f t="shared" si="262"/>
        <v>1+1.7656807939091i</v>
      </c>
      <c r="AH278">
        <f t="shared" si="281"/>
        <v>2.0291940927322525</v>
      </c>
      <c r="AI278">
        <f t="shared" si="282"/>
        <v>1.0554841836457298</v>
      </c>
      <c r="AJ278" t="str">
        <f t="shared" si="263"/>
        <v>1+0.00400220979952731i</v>
      </c>
      <c r="AK278">
        <f t="shared" si="283"/>
        <v>1.0000080088095693</v>
      </c>
      <c r="AL278">
        <f t="shared" si="284"/>
        <v>4.0021884310230118E-3</v>
      </c>
      <c r="AM278" t="str">
        <f t="shared" si="264"/>
        <v>1-0.00895425550589297i</v>
      </c>
      <c r="AN278">
        <f t="shared" si="285"/>
        <v>1.0000400885422869</v>
      </c>
      <c r="AO278">
        <f t="shared" si="286"/>
        <v>-8.954016203907917E-3</v>
      </c>
      <c r="AP278" s="42" t="str">
        <f t="shared" si="287"/>
        <v>11.0626482919208-19.7606621376527i</v>
      </c>
      <c r="AQ278">
        <f t="shared" si="288"/>
        <v>27.100038710394195</v>
      </c>
      <c r="AR278" s="44">
        <f t="shared" si="289"/>
        <v>-60.758507897973367</v>
      </c>
      <c r="AS278" t="str">
        <f t="shared" si="265"/>
        <v>-0.000166666666666667</v>
      </c>
      <c r="AT278" t="str">
        <f t="shared" si="266"/>
        <v>0.000315674297937717i</v>
      </c>
      <c r="AU278">
        <f t="shared" si="290"/>
        <v>3.1567429793771698E-4</v>
      </c>
      <c r="AV278">
        <f t="shared" si="291"/>
        <v>1.5707963267948966</v>
      </c>
      <c r="AW278" t="str">
        <f t="shared" si="267"/>
        <v>1+0.0575119450985958i</v>
      </c>
      <c r="AX278">
        <f t="shared" si="292"/>
        <v>1.0016524466245884</v>
      </c>
      <c r="AY278">
        <f t="shared" si="293"/>
        <v>5.7448661349149319E-2</v>
      </c>
      <c r="AZ278" t="str">
        <f t="shared" si="268"/>
        <v>1+1.17064636636174i</v>
      </c>
      <c r="BA278">
        <f t="shared" si="294"/>
        <v>1.5396145345754388</v>
      </c>
      <c r="BB278">
        <f t="shared" si="295"/>
        <v>0.86385226498276868</v>
      </c>
      <c r="BC278" s="42" t="str">
        <f t="shared" si="296"/>
        <v>-0.58576447123674+0.561658794918996i</v>
      </c>
      <c r="BD278">
        <f t="shared" si="297"/>
        <v>-1.8139105492000875</v>
      </c>
      <c r="BE278" s="44">
        <f t="shared" si="298"/>
        <v>136.20352307234691</v>
      </c>
      <c r="BF278" s="42" t="str">
        <f t="shared" si="299"/>
        <v>1.84640208546143+2.96040478429791i</v>
      </c>
      <c r="BG278" s="20">
        <f t="shared" si="300"/>
        <v>10.854046555858838</v>
      </c>
      <c r="BH278" s="44">
        <f t="shared" si="301"/>
        <v>58.04824312799132</v>
      </c>
      <c r="BI278" s="42" t="str">
        <f t="shared" si="255"/>
        <v>4.61864335584043+17.7885275166029i</v>
      </c>
      <c r="BJ278" s="20">
        <f t="shared" si="302"/>
        <v>25.286128161194096</v>
      </c>
      <c r="BK278" s="44">
        <f t="shared" si="256"/>
        <v>75.445015174373552</v>
      </c>
      <c r="BL278">
        <f t="shared" si="303"/>
        <v>10.854046555858838</v>
      </c>
      <c r="BM278" s="44">
        <f t="shared" si="304"/>
        <v>58.04824312799132</v>
      </c>
    </row>
    <row r="279" spans="14:65" x14ac:dyDescent="0.35">
      <c r="N279" s="9">
        <v>61</v>
      </c>
      <c r="O279" s="35">
        <f t="shared" si="254"/>
        <v>4073.8027780411317</v>
      </c>
      <c r="P279" s="34" t="str">
        <f t="shared" si="257"/>
        <v>16.3709677419355</v>
      </c>
      <c r="Q279" s="4" t="str">
        <f t="shared" si="258"/>
        <v>1+3.76515636717966i</v>
      </c>
      <c r="R279" s="4">
        <f t="shared" si="269"/>
        <v>3.8956902429882101</v>
      </c>
      <c r="S279" s="4">
        <f t="shared" si="270"/>
        <v>1.3111963839464302</v>
      </c>
      <c r="T279" s="4" t="str">
        <f t="shared" si="259"/>
        <v>1+0.00409543324149366i</v>
      </c>
      <c r="U279" s="4">
        <f t="shared" si="271"/>
        <v>1.0000083862515532</v>
      </c>
      <c r="V279" s="4">
        <f t="shared" si="272"/>
        <v>4.0954103447391511E-3</v>
      </c>
      <c r="W279" t="str">
        <f t="shared" si="260"/>
        <v>1-0.0535958482879145i</v>
      </c>
      <c r="X279" s="4">
        <f t="shared" si="273"/>
        <v>1.001435227537808</v>
      </c>
      <c r="Y279" s="4">
        <f t="shared" si="274"/>
        <v>-5.3544618262491392E-2</v>
      </c>
      <c r="Z279" t="str">
        <f t="shared" si="261"/>
        <v>0.999985639053262+0.0105551160435836i</v>
      </c>
      <c r="AA279" s="4">
        <f t="shared" si="275"/>
        <v>1.0000413435390829</v>
      </c>
      <c r="AB279" s="4">
        <f t="shared" si="276"/>
        <v>1.0554875653037704E-2</v>
      </c>
      <c r="AC279" s="48" t="str">
        <f t="shared" si="277"/>
        <v>0.83437746851539-4.12467379911824i</v>
      </c>
      <c r="AD279" s="20">
        <f t="shared" si="278"/>
        <v>12.481969736698797</v>
      </c>
      <c r="AE279" s="44">
        <f t="shared" si="279"/>
        <v>-78.563999655102023</v>
      </c>
      <c r="AF279" t="str">
        <f t="shared" si="280"/>
        <v>45.9520231294187</v>
      </c>
      <c r="AG279" t="str">
        <f t="shared" si="262"/>
        <v>1+1.80680878301191i</v>
      </c>
      <c r="AH279">
        <f t="shared" si="281"/>
        <v>2.0650806227285607</v>
      </c>
      <c r="AI279">
        <f t="shared" si="282"/>
        <v>1.065299037733451</v>
      </c>
      <c r="AJ279" t="str">
        <f t="shared" si="263"/>
        <v>1+0.00409543324149366i</v>
      </c>
      <c r="AK279">
        <f t="shared" si="283"/>
        <v>1.0000083862515532</v>
      </c>
      <c r="AL279">
        <f t="shared" si="284"/>
        <v>4.0954103447391511E-3</v>
      </c>
      <c r="AM279" t="str">
        <f t="shared" si="264"/>
        <v>1-0.00916282691027164i</v>
      </c>
      <c r="AN279">
        <f t="shared" si="285"/>
        <v>1.0000419778174252</v>
      </c>
      <c r="AO279">
        <f t="shared" si="286"/>
        <v>-9.1625704941561883E-3</v>
      </c>
      <c r="AP279" s="42" t="str">
        <f t="shared" si="287"/>
        <v>10.6770783015875-19.5242958432878i</v>
      </c>
      <c r="AQ279">
        <f t="shared" si="288"/>
        <v>26.947789953321596</v>
      </c>
      <c r="AR279" s="44">
        <f t="shared" si="289"/>
        <v>-61.327465672153124</v>
      </c>
      <c r="AS279" t="str">
        <f t="shared" si="265"/>
        <v>-0.000166666666666667</v>
      </c>
      <c r="AT279" t="str">
        <f t="shared" si="266"/>
        <v>0.000323027296922813i</v>
      </c>
      <c r="AU279">
        <f t="shared" si="290"/>
        <v>3.2302729692281298E-4</v>
      </c>
      <c r="AV279">
        <f t="shared" si="291"/>
        <v>1.5707963267948966</v>
      </c>
      <c r="AW279" t="str">
        <f t="shared" si="267"/>
        <v>1+0.0588515703918286i</v>
      </c>
      <c r="AX279">
        <f t="shared" si="292"/>
        <v>1.0017302567745392</v>
      </c>
      <c r="AY279">
        <f t="shared" si="293"/>
        <v>5.8783766956810382E-2</v>
      </c>
      <c r="AZ279" t="str">
        <f t="shared" si="268"/>
        <v>1+1.19791422313689i</v>
      </c>
      <c r="BA279">
        <f t="shared" si="294"/>
        <v>1.5604481683137248</v>
      </c>
      <c r="BB279">
        <f t="shared" si="295"/>
        <v>0.87520234644921002</v>
      </c>
      <c r="BC279" s="42" t="str">
        <f t="shared" si="296"/>
        <v>-0.585673475380585+0.550420072361798i</v>
      </c>
      <c r="BD279">
        <f t="shared" si="297"/>
        <v>-1.8978383503072926</v>
      </c>
      <c r="BE279" s="44">
        <f t="shared" si="298"/>
        <v>136.77733892098041</v>
      </c>
      <c r="BF279" s="42" t="str">
        <f t="shared" si="299"/>
        <v>1.78163049921481+2.87497014533812i</v>
      </c>
      <c r="BG279" s="20">
        <f t="shared" si="300"/>
        <v>10.584131386391514</v>
      </c>
      <c r="BH279" s="44">
        <f t="shared" si="301"/>
        <v>58.21333926587846</v>
      </c>
      <c r="BI279" s="42" t="str">
        <f t="shared" si="255"/>
        <v>4.49328277507424+17.3117404122695i</v>
      </c>
      <c r="BJ279" s="20">
        <f t="shared" si="302"/>
        <v>25.049951603014332</v>
      </c>
      <c r="BK279" s="44">
        <f t="shared" si="256"/>
        <v>75.44987324882733</v>
      </c>
      <c r="BL279">
        <f t="shared" si="303"/>
        <v>10.584131386391514</v>
      </c>
      <c r="BM279" s="44">
        <f t="shared" si="304"/>
        <v>58.21333926587846</v>
      </c>
    </row>
    <row r="280" spans="14:65" x14ac:dyDescent="0.35">
      <c r="N280" s="9">
        <v>62</v>
      </c>
      <c r="O280" s="35">
        <f t="shared" si="254"/>
        <v>4168.6938347033583</v>
      </c>
      <c r="P280" s="34" t="str">
        <f t="shared" si="257"/>
        <v>16.3709677419355</v>
      </c>
      <c r="Q280" s="4" t="str">
        <f t="shared" si="258"/>
        <v>1+3.85285812537621i</v>
      </c>
      <c r="R280" s="4">
        <f t="shared" si="269"/>
        <v>3.9805170184634915</v>
      </c>
      <c r="S280" s="4">
        <f t="shared" si="270"/>
        <v>1.3168520884757136</v>
      </c>
      <c r="T280" s="4" t="str">
        <f t="shared" si="259"/>
        <v>1+0.00419082813637413i</v>
      </c>
      <c r="U280" s="4">
        <f t="shared" si="271"/>
        <v>1.0000087814816772</v>
      </c>
      <c r="V280" s="4">
        <f t="shared" si="272"/>
        <v>4.1908036020712816E-3</v>
      </c>
      <c r="W280" t="str">
        <f t="shared" si="260"/>
        <v>1-0.0548442559683655i</v>
      </c>
      <c r="X280" s="4">
        <f t="shared" si="273"/>
        <v>1.0015028169769287</v>
      </c>
      <c r="Y280" s="4">
        <f t="shared" si="274"/>
        <v>-5.4789366454945615E-2</v>
      </c>
      <c r="Z280" t="str">
        <f t="shared" si="261"/>
        <v>0.999984962242693+0.0108009762801093i</v>
      </c>
      <c r="AA280" s="4">
        <f t="shared" si="275"/>
        <v>1.0000432919629647</v>
      </c>
      <c r="AB280" s="4">
        <f t="shared" si="276"/>
        <v>1.0800718697578838E-2</v>
      </c>
      <c r="AC280" s="48" t="str">
        <f t="shared" si="277"/>
        <v>0.788165472476934-4.04269887736497i</v>
      </c>
      <c r="AD280" s="20">
        <f t="shared" si="278"/>
        <v>12.29544111126723</v>
      </c>
      <c r="AE280" s="44">
        <f t="shared" si="279"/>
        <v>-78.967986610622901</v>
      </c>
      <c r="AF280" t="str">
        <f t="shared" si="280"/>
        <v>45.9520231294187</v>
      </c>
      <c r="AG280" t="str">
        <f t="shared" si="262"/>
        <v>1+1.8488947660474i</v>
      </c>
      <c r="AH280">
        <f t="shared" si="281"/>
        <v>2.1020018686760178</v>
      </c>
      <c r="AI280">
        <f t="shared" si="282"/>
        <v>1.0749946261398595</v>
      </c>
      <c r="AJ280" t="str">
        <f t="shared" si="263"/>
        <v>1+0.00419082813637413i</v>
      </c>
      <c r="AK280">
        <f t="shared" si="283"/>
        <v>1.0000087814816772</v>
      </c>
      <c r="AL280">
        <f t="shared" si="284"/>
        <v>4.1908036020712816E-3</v>
      </c>
      <c r="AM280" t="str">
        <f t="shared" si="264"/>
        <v>1-0.0093762565667625i</v>
      </c>
      <c r="AN280">
        <f t="shared" si="285"/>
        <v>1.0000439561275323</v>
      </c>
      <c r="AO280">
        <f t="shared" si="286"/>
        <v>-9.3759818125968598E-3</v>
      </c>
      <c r="AP280" s="42" t="str">
        <f t="shared" si="287"/>
        <v>10.3008216314257-19.2834161275i</v>
      </c>
      <c r="AQ280">
        <f t="shared" si="288"/>
        <v>26.793888845205611</v>
      </c>
      <c r="AR280" s="44">
        <f t="shared" si="289"/>
        <v>-61.889743904544112</v>
      </c>
      <c r="AS280" t="str">
        <f t="shared" si="265"/>
        <v>-0.000166666666666667</v>
      </c>
      <c r="AT280" t="str">
        <f t="shared" si="266"/>
        <v>0.000330551569256509i</v>
      </c>
      <c r="AU280">
        <f t="shared" si="290"/>
        <v>3.3055156925650901E-4</v>
      </c>
      <c r="AV280">
        <f t="shared" si="291"/>
        <v>1.5707963267948966</v>
      </c>
      <c r="AW280" t="str">
        <f t="shared" si="267"/>
        <v>1+0.0602223995666758i</v>
      </c>
      <c r="AX280">
        <f t="shared" si="292"/>
        <v>1.0018117275264691</v>
      </c>
      <c r="AY280">
        <f t="shared" si="293"/>
        <v>6.0149753971373406E-2</v>
      </c>
      <c r="AZ280" t="str">
        <f t="shared" si="268"/>
        <v>1+1.22581722988943i</v>
      </c>
      <c r="BA280">
        <f t="shared" si="294"/>
        <v>1.5819696207872629</v>
      </c>
      <c r="BB280">
        <f t="shared" si="295"/>
        <v>0.88650584194000859</v>
      </c>
      <c r="BC280" s="42" t="str">
        <f t="shared" si="296"/>
        <v>-0.585578221318513+0.539472686733135i</v>
      </c>
      <c r="BD280">
        <f t="shared" si="297"/>
        <v>-1.9795689143206021</v>
      </c>
      <c r="BE280" s="44">
        <f t="shared" si="298"/>
        <v>137.34671621554415</v>
      </c>
      <c r="BF280" s="42" t="str">
        <f t="shared" si="299"/>
        <v>1.7193930895474+2.79251016296115i</v>
      </c>
      <c r="BG280" s="20">
        <f t="shared" si="300"/>
        <v>10.315872196946625</v>
      </c>
      <c r="BH280" s="44">
        <f t="shared" si="301"/>
        <v>58.378729604921254</v>
      </c>
      <c r="BI280" s="42" t="str">
        <f t="shared" si="255"/>
        <v>4.37093949864597+16.8489604379502i</v>
      </c>
      <c r="BJ280" s="20">
        <f t="shared" si="302"/>
        <v>24.814319930885013</v>
      </c>
      <c r="BK280" s="44">
        <f t="shared" si="256"/>
        <v>75.456972311000058</v>
      </c>
      <c r="BL280">
        <f t="shared" si="303"/>
        <v>10.315872196946625</v>
      </c>
      <c r="BM280" s="44">
        <f t="shared" si="304"/>
        <v>58.378729604921254</v>
      </c>
    </row>
    <row r="281" spans="14:65" x14ac:dyDescent="0.35">
      <c r="N281" s="9">
        <v>63</v>
      </c>
      <c r="O281" s="35">
        <f t="shared" si="254"/>
        <v>4265.7951880159299</v>
      </c>
      <c r="P281" s="34" t="str">
        <f t="shared" si="257"/>
        <v>16.3709677419355</v>
      </c>
      <c r="Q281" s="4" t="str">
        <f t="shared" si="258"/>
        <v>1+3.94260271994944i</v>
      </c>
      <c r="R281" s="4">
        <f t="shared" si="269"/>
        <v>4.0674459071206748</v>
      </c>
      <c r="S281" s="4">
        <f t="shared" si="270"/>
        <v>1.322395144306316</v>
      </c>
      <c r="T281" s="4" t="str">
        <f t="shared" si="259"/>
        <v>1+0.00428844506380466i</v>
      </c>
      <c r="U281" s="4">
        <f t="shared" si="271"/>
        <v>1.0000091953382555</v>
      </c>
      <c r="V281" s="4">
        <f t="shared" si="272"/>
        <v>4.2884187748385731E-3</v>
      </c>
      <c r="W281" t="str">
        <f t="shared" si="260"/>
        <v>1-0.0561217427992803i</v>
      </c>
      <c r="X281" s="4">
        <f t="shared" si="273"/>
        <v>1.0015735869195177</v>
      </c>
      <c r="Y281" s="4">
        <f t="shared" si="274"/>
        <v>-5.606293261555665E-2</v>
      </c>
      <c r="Z281" t="str">
        <f t="shared" si="261"/>
        <v>0.999984253535026+0.0110525633372265i</v>
      </c>
      <c r="AA281" s="4">
        <f t="shared" si="275"/>
        <v>1.0000453322096585</v>
      </c>
      <c r="AB281" s="4">
        <f t="shared" si="276"/>
        <v>1.105228733322346E-2</v>
      </c>
      <c r="AC281" s="48" t="str">
        <f t="shared" si="277"/>
        <v>0.743776059027234-3.96185276694665i</v>
      </c>
      <c r="AD281" s="20">
        <f t="shared" si="278"/>
        <v>12.1083947229135</v>
      </c>
      <c r="AE281" s="44">
        <f t="shared" si="279"/>
        <v>-79.367371164919788</v>
      </c>
      <c r="AF281" t="str">
        <f t="shared" si="280"/>
        <v>45.9520231294187</v>
      </c>
      <c r="AG281" t="str">
        <f t="shared" si="262"/>
        <v>1+1.89196105756087i</v>
      </c>
      <c r="AH281">
        <f t="shared" si="281"/>
        <v>2.1399805240531622</v>
      </c>
      <c r="AI281">
        <f t="shared" si="282"/>
        <v>1.0845687974073694</v>
      </c>
      <c r="AJ281" t="str">
        <f t="shared" si="263"/>
        <v>1+0.00428844506380466i</v>
      </c>
      <c r="AK281">
        <f t="shared" si="283"/>
        <v>1.0000091953382555</v>
      </c>
      <c r="AL281">
        <f t="shared" si="284"/>
        <v>4.2884187748385731E-3</v>
      </c>
      <c r="AM281" t="str">
        <f t="shared" si="264"/>
        <v>1-0.00959465763859447i</v>
      </c>
      <c r="AN281">
        <f t="shared" si="285"/>
        <v>1.0000460276683278</v>
      </c>
      <c r="AO281">
        <f t="shared" si="286"/>
        <v>-9.5943632349336158E-3</v>
      </c>
      <c r="AP281" s="42" t="str">
        <f t="shared" si="287"/>
        <v>9.93392933825787-19.0384386595117i</v>
      </c>
      <c r="AQ281">
        <f t="shared" si="288"/>
        <v>26.638375970713316</v>
      </c>
      <c r="AR281" s="44">
        <f t="shared" si="289"/>
        <v>-62.445222906915802</v>
      </c>
      <c r="AS281" t="str">
        <f t="shared" si="265"/>
        <v>-0.000166666666666667</v>
      </c>
      <c r="AT281" t="str">
        <f t="shared" si="266"/>
        <v>0.000338251104407592i</v>
      </c>
      <c r="AU281">
        <f t="shared" si="290"/>
        <v>3.3825110440759203E-4</v>
      </c>
      <c r="AV281">
        <f t="shared" si="291"/>
        <v>1.5707963267948966</v>
      </c>
      <c r="AW281" t="str">
        <f t="shared" si="267"/>
        <v>1+0.0616251594549108i</v>
      </c>
      <c r="AX281">
        <f t="shared" si="292"/>
        <v>1.0018970307760389</v>
      </c>
      <c r="AY281">
        <f t="shared" si="293"/>
        <v>6.1547326255124636E-2</v>
      </c>
      <c r="AZ281" t="str">
        <f t="shared" si="268"/>
        <v>1+1.25437018116286i</v>
      </c>
      <c r="BA281">
        <f t="shared" si="294"/>
        <v>1.6041959205129985</v>
      </c>
      <c r="BB281">
        <f t="shared" si="295"/>
        <v>0.8977571915714786</v>
      </c>
      <c r="BC281" s="42" t="str">
        <f t="shared" si="296"/>
        <v>-0.585478511274201+0.528810797867501i</v>
      </c>
      <c r="BD281">
        <f t="shared" si="297"/>
        <v>-2.0591231118274482</v>
      </c>
      <c r="BE281" s="44">
        <f t="shared" si="298"/>
        <v>137.91129606983012</v>
      </c>
      <c r="BF281" s="42" t="str">
        <f t="shared" si="299"/>
        <v>1.65960562296197+2.71289647108844i</v>
      </c>
      <c r="BG281" s="20">
        <f t="shared" si="300"/>
        <v>10.049271611086068</v>
      </c>
      <c r="BH281" s="44">
        <f t="shared" si="301"/>
        <v>58.543924904910327</v>
      </c>
      <c r="BI281" s="42" t="str">
        <f t="shared" si="255"/>
        <v>4.25162977762153+16.3997658226796i</v>
      </c>
      <c r="BJ281" s="20">
        <f t="shared" si="302"/>
        <v>24.579252858885855</v>
      </c>
      <c r="BK281" s="44">
        <f t="shared" si="256"/>
        <v>75.466073162914299</v>
      </c>
      <c r="BL281">
        <f t="shared" si="303"/>
        <v>10.049271611086068</v>
      </c>
      <c r="BM281" s="44">
        <f t="shared" si="304"/>
        <v>58.543924904910327</v>
      </c>
    </row>
    <row r="282" spans="14:65" x14ac:dyDescent="0.35">
      <c r="N282" s="9">
        <v>64</v>
      </c>
      <c r="O282" s="35">
        <f t="shared" si="254"/>
        <v>4365.1583224016631</v>
      </c>
      <c r="P282" s="34" t="str">
        <f t="shared" si="257"/>
        <v>16.3709677419355</v>
      </c>
      <c r="Q282" s="4" t="str">
        <f t="shared" si="258"/>
        <v>1+4.0344377346713i</v>
      </c>
      <c r="R282" s="4">
        <f t="shared" si="269"/>
        <v>4.1565235275335191</v>
      </c>
      <c r="S282" s="4">
        <f t="shared" si="270"/>
        <v>1.327827127362653</v>
      </c>
      <c r="T282" s="4" t="str">
        <f t="shared" si="259"/>
        <v>1+0.00438833578157229i</v>
      </c>
      <c r="U282" s="4">
        <f t="shared" si="271"/>
        <v>1.00000962869911</v>
      </c>
      <c r="V282" s="4">
        <f t="shared" si="272"/>
        <v>4.3883076124522627E-3</v>
      </c>
      <c r="W282" t="str">
        <f t="shared" si="260"/>
        <v>1-0.0574289861210863i</v>
      </c>
      <c r="X282" s="4">
        <f t="shared" si="273"/>
        <v>1.001647686787573</v>
      </c>
      <c r="Y282" s="4">
        <f t="shared" si="274"/>
        <v>-5.7365975471104176E-2</v>
      </c>
      <c r="Z282" t="str">
        <f t="shared" si="261"/>
        <v>0.999983511426994+0.011310010609723i</v>
      </c>
      <c r="AA282" s="4">
        <f t="shared" si="275"/>
        <v>1.0000474686062921</v>
      </c>
      <c r="AB282" s="4">
        <f t="shared" si="276"/>
        <v>1.1309714866835918E-2</v>
      </c>
      <c r="AC282" s="48" t="str">
        <f t="shared" si="277"/>
        <v>0.701147833832844-3.88215220738927i</v>
      </c>
      <c r="AD282" s="20">
        <f t="shared" si="278"/>
        <v>11.920853376738997</v>
      </c>
      <c r="AE282" s="44">
        <f t="shared" si="279"/>
        <v>-79.762286026972745</v>
      </c>
      <c r="AF282" t="str">
        <f t="shared" si="280"/>
        <v>45.9520231294187</v>
      </c>
      <c r="AG282" t="str">
        <f t="shared" si="262"/>
        <v>1+1.93603049187012i</v>
      </c>
      <c r="AH282">
        <f t="shared" si="281"/>
        <v>2.179039711765451</v>
      </c>
      <c r="AI282">
        <f t="shared" si="282"/>
        <v>1.0940196061614078</v>
      </c>
      <c r="AJ282" t="str">
        <f t="shared" si="263"/>
        <v>1+0.00438833578157229i</v>
      </c>
      <c r="AK282">
        <f t="shared" si="283"/>
        <v>1.00000962869911</v>
      </c>
      <c r="AL282">
        <f t="shared" si="284"/>
        <v>4.3883076124522627E-3</v>
      </c>
      <c r="AM282" t="str">
        <f t="shared" si="264"/>
        <v>1-0.00981814592490671i</v>
      </c>
      <c r="AN282">
        <f t="shared" si="285"/>
        <v>1.000048196833234</v>
      </c>
      <c r="AO282">
        <f t="shared" si="286"/>
        <v>-9.8178304665216855E-3</v>
      </c>
      <c r="AP282" s="42" t="str">
        <f t="shared" si="287"/>
        <v>9.57643061546656-18.7897724361166i</v>
      </c>
      <c r="AQ282">
        <f t="shared" si="288"/>
        <v>26.481292090378155</v>
      </c>
      <c r="AR282" s="44">
        <f t="shared" si="289"/>
        <v>-62.993794881921112</v>
      </c>
      <c r="AS282" t="str">
        <f t="shared" si="265"/>
        <v>-0.000166666666666667</v>
      </c>
      <c r="AT282" t="str">
        <f t="shared" si="266"/>
        <v>0.000346129984771515i</v>
      </c>
      <c r="AU282">
        <f t="shared" si="290"/>
        <v>3.4612998477151502E-4</v>
      </c>
      <c r="AV282">
        <f t="shared" si="291"/>
        <v>1.5707963267948966</v>
      </c>
      <c r="AW282" t="str">
        <f t="shared" si="267"/>
        <v>1+0.0630605938183942i</v>
      </c>
      <c r="AX282">
        <f t="shared" si="292"/>
        <v>1.0019863464602341</v>
      </c>
      <c r="AY282">
        <f t="shared" si="293"/>
        <v>6.2977202969057428E-2</v>
      </c>
      <c r="AZ282" t="str">
        <f t="shared" si="268"/>
        <v>1+1.28358821610989i</v>
      </c>
      <c r="BA282">
        <f t="shared" si="294"/>
        <v>1.6271443416415672</v>
      </c>
      <c r="BB282">
        <f t="shared" si="295"/>
        <v>0.9089509669007434</v>
      </c>
      <c r="BC282" s="42" t="str">
        <f t="shared" si="296"/>
        <v>-0.585374138428471+0.518428714451034i</v>
      </c>
      <c r="BD282">
        <f t="shared" si="297"/>
        <v>-2.1365239406581149</v>
      </c>
      <c r="BE282" s="44">
        <f t="shared" si="298"/>
        <v>138.47072625208219</v>
      </c>
      <c r="BF282" s="42" t="str">
        <f t="shared" si="299"/>
        <v>1.60218536903917+2.63600667378277i</v>
      </c>
      <c r="BG282" s="20">
        <f t="shared" si="300"/>
        <v>9.7843294360808777</v>
      </c>
      <c r="BH282" s="44">
        <f t="shared" si="301"/>
        <v>58.708440225109513</v>
      </c>
      <c r="BI282" s="42" t="str">
        <f t="shared" si="255"/>
        <v>4.13536274813463+15.9637434640646i</v>
      </c>
      <c r="BJ282" s="20">
        <f t="shared" si="302"/>
        <v>24.344768149720018</v>
      </c>
      <c r="BK282" s="44">
        <f t="shared" si="256"/>
        <v>75.476931370161068</v>
      </c>
      <c r="BL282">
        <f t="shared" si="303"/>
        <v>9.7843294360808777</v>
      </c>
      <c r="BM282" s="44">
        <f t="shared" si="304"/>
        <v>58.708440225109513</v>
      </c>
    </row>
    <row r="283" spans="14:65" x14ac:dyDescent="0.35">
      <c r="N283" s="9">
        <v>65</v>
      </c>
      <c r="O283" s="35">
        <f t="shared" si="254"/>
        <v>4466.8359215096343</v>
      </c>
      <c r="P283" s="34" t="str">
        <f t="shared" si="257"/>
        <v>16.3709677419355</v>
      </c>
      <c r="Q283" s="4" t="str">
        <f t="shared" si="258"/>
        <v>1+4.12841186168218i</v>
      </c>
      <c r="R283" s="4">
        <f t="shared" si="269"/>
        <v>4.2477976057809208</v>
      </c>
      <c r="S283" s="4">
        <f t="shared" si="270"/>
        <v>1.3331496349788621</v>
      </c>
      <c r="T283" s="4" t="str">
        <f t="shared" si="259"/>
        <v>1+0.00449055325305781i</v>
      </c>
      <c r="U283" s="4">
        <f t="shared" si="271"/>
        <v>1.000010082483431</v>
      </c>
      <c r="V283" s="4">
        <f t="shared" si="272"/>
        <v>4.490523069318326E-3</v>
      </c>
      <c r="W283" t="str">
        <f t="shared" si="260"/>
        <v>1-0.0587666790514963i</v>
      </c>
      <c r="X283" s="4">
        <f t="shared" si="273"/>
        <v>1.0017252729999087</v>
      </c>
      <c r="Y283" s="4">
        <f t="shared" si="274"/>
        <v>-5.8699168202432719E-2</v>
      </c>
      <c r="Z283" t="str">
        <f t="shared" si="261"/>
        <v>0.999982734344489+0.0115734545995506i</v>
      </c>
      <c r="AA283" s="4">
        <f t="shared" si="275"/>
        <v>1.0000497056838968</v>
      </c>
      <c r="AB283" s="4">
        <f t="shared" si="276"/>
        <v>1.1573137706157319E-2</v>
      </c>
      <c r="AC283" s="48" t="str">
        <f t="shared" si="277"/>
        <v>0.660220590546003-3.80361136918577i</v>
      </c>
      <c r="AD283" s="20">
        <f t="shared" si="278"/>
        <v>11.732839205260099</v>
      </c>
      <c r="AE283" s="44">
        <f t="shared" si="279"/>
        <v>-80.152866069231436</v>
      </c>
      <c r="AF283" t="str">
        <f t="shared" si="280"/>
        <v>45.9520231294187</v>
      </c>
      <c r="AG283" t="str">
        <f t="shared" si="262"/>
        <v>1+1.98112643517256i</v>
      </c>
      <c r="AH283">
        <f t="shared" si="281"/>
        <v>2.2192029993084308</v>
      </c>
      <c r="AI283">
        <f t="shared" si="282"/>
        <v>1.1033453094808325</v>
      </c>
      <c r="AJ283" t="str">
        <f t="shared" si="263"/>
        <v>1+0.00449055325305781i</v>
      </c>
      <c r="AK283">
        <f t="shared" si="283"/>
        <v>1.000010082483431</v>
      </c>
      <c r="AL283">
        <f t="shared" si="284"/>
        <v>4.490523069318326E-3</v>
      </c>
      <c r="AM283" t="str">
        <f t="shared" si="264"/>
        <v>1-0.0100468399221469i</v>
      </c>
      <c r="AN283">
        <f t="shared" si="285"/>
        <v>1.0000504682226898</v>
      </c>
      <c r="AO283">
        <f t="shared" si="286"/>
        <v>-1.0046501903318647E-2</v>
      </c>
      <c r="AP283" s="42" t="str">
        <f t="shared" si="287"/>
        <v>9.22833378019807-18.537818618078i</v>
      </c>
      <c r="AQ283">
        <f t="shared" si="288"/>
        <v>26.322678047925415</v>
      </c>
      <c r="AR283" s="44">
        <f t="shared" si="289"/>
        <v>-63.535363717059617</v>
      </c>
      <c r="AS283" t="str">
        <f t="shared" si="265"/>
        <v>-0.000166666666666667</v>
      </c>
      <c r="AT283" t="str">
        <f t="shared" si="266"/>
        <v>0.000354192387834935i</v>
      </c>
      <c r="AU283">
        <f t="shared" si="290"/>
        <v>3.5419238783493498E-4</v>
      </c>
      <c r="AV283">
        <f t="shared" si="291"/>
        <v>1.5707963267948966</v>
      </c>
      <c r="AW283" t="str">
        <f t="shared" si="267"/>
        <v>1+0.0645294637434258i</v>
      </c>
      <c r="AX283">
        <f t="shared" si="292"/>
        <v>1.002079862930602</v>
      </c>
      <c r="AY283">
        <f t="shared" si="293"/>
        <v>6.4440118851929351E-2</v>
      </c>
      <c r="AZ283" t="str">
        <f t="shared" si="268"/>
        <v>1+1.31348682651941i</v>
      </c>
      <c r="BA283">
        <f t="shared" si="294"/>
        <v>1.6508324092529898</v>
      </c>
      <c r="BB283">
        <f t="shared" si="295"/>
        <v>0.92008188290594561</v>
      </c>
      <c r="BC283" s="42" t="str">
        <f t="shared" si="296"/>
        <v>-0.585264886519595+0.508320890827354i</v>
      </c>
      <c r="BD283">
        <f t="shared" si="297"/>
        <v>-2.2117964442920872</v>
      </c>
      <c r="BE283" s="44">
        <f t="shared" si="298"/>
        <v>139.02466185542372</v>
      </c>
      <c r="BF283" s="42" t="str">
        <f t="shared" si="299"/>
        <v>1.54705119054176+2.56172409508006i</v>
      </c>
      <c r="BG283" s="20">
        <f t="shared" si="300"/>
        <v>9.5210427609680277</v>
      </c>
      <c r="BH283" s="44">
        <f t="shared" si="301"/>
        <v>58.871795786192251</v>
      </c>
      <c r="BI283" s="42" t="str">
        <f t="shared" si="255"/>
        <v>4.02214075130475+15.5404891578327i</v>
      </c>
      <c r="BJ283" s="20">
        <f t="shared" si="302"/>
        <v>24.110881603633327</v>
      </c>
      <c r="BK283" s="44">
        <f t="shared" si="256"/>
        <v>75.489298138364106</v>
      </c>
      <c r="BL283">
        <f t="shared" si="303"/>
        <v>9.5210427609680277</v>
      </c>
      <c r="BM283" s="44">
        <f t="shared" si="304"/>
        <v>58.871795786192251</v>
      </c>
    </row>
    <row r="284" spans="14:65" x14ac:dyDescent="0.35">
      <c r="N284" s="9">
        <v>66</v>
      </c>
      <c r="O284" s="35">
        <f t="shared" ref="O284:O318" si="305">10^(3+(N284/100))</f>
        <v>4570.8818961487532</v>
      </c>
      <c r="P284" s="34" t="str">
        <f t="shared" si="257"/>
        <v>16.3709677419355</v>
      </c>
      <c r="Q284" s="4" t="str">
        <f t="shared" si="258"/>
        <v>1+4.22457492730812i</v>
      </c>
      <c r="R284" s="4">
        <f t="shared" si="269"/>
        <v>4.3413170025281964</v>
      </c>
      <c r="S284" s="4">
        <f t="shared" si="270"/>
        <v>1.3383642824426674</v>
      </c>
      <c r="T284" s="4" t="str">
        <f t="shared" si="259"/>
        <v>1+0.0045951516753176i</v>
      </c>
      <c r="U284" s="4">
        <f t="shared" si="271"/>
        <v>1.0000105576537275</v>
      </c>
      <c r="V284" s="4">
        <f t="shared" si="272"/>
        <v>4.5951193328764798E-3</v>
      </c>
      <c r="W284" t="str">
        <f t="shared" si="260"/>
        <v>1-0.0601355308530083i</v>
      </c>
      <c r="X284" s="4">
        <f t="shared" si="273"/>
        <v>1.0018065092975654</v>
      </c>
      <c r="Y284" s="4">
        <f t="shared" si="274"/>
        <v>-6.0063198718288378E-2</v>
      </c>
      <c r="Z284" t="str">
        <f t="shared" si="261"/>
        <v>0.999981920639214+0.0118430349881995i</v>
      </c>
      <c r="AA284" s="4">
        <f t="shared" si="275"/>
        <v>1.0000520481870045</v>
      </c>
      <c r="AB284" s="4">
        <f t="shared" si="276"/>
        <v>1.1842695431730513E-2</v>
      </c>
      <c r="AC284" s="48" t="str">
        <f t="shared" si="277"/>
        <v>0.620935368060789-3.72624199723744i</v>
      </c>
      <c r="AD284" s="20">
        <f t="shared" si="278"/>
        <v>11.54437368573287</v>
      </c>
      <c r="AE284" s="44">
        <f t="shared" si="279"/>
        <v>-80.539248147797423</v>
      </c>
      <c r="AF284" t="str">
        <f t="shared" si="280"/>
        <v>45.9520231294187</v>
      </c>
      <c r="AG284" t="str">
        <f t="shared" si="262"/>
        <v>1+2.02727279793423i</v>
      </c>
      <c r="AH284">
        <f t="shared" si="281"/>
        <v>2.2604944143359615</v>
      </c>
      <c r="AI284">
        <f t="shared" si="282"/>
        <v>1.1125443627145422</v>
      </c>
      <c r="AJ284" t="str">
        <f t="shared" si="263"/>
        <v>1+0.0045951516753176i</v>
      </c>
      <c r="AK284">
        <f t="shared" si="283"/>
        <v>1.0000105576537275</v>
      </c>
      <c r="AL284">
        <f t="shared" si="284"/>
        <v>4.5951193328764798E-3</v>
      </c>
      <c r="AM284" t="str">
        <f t="shared" si="264"/>
        <v>1-0.0102808608868994i</v>
      </c>
      <c r="AN284">
        <f t="shared" si="285"/>
        <v>1.0000528466539036</v>
      </c>
      <c r="AO284">
        <f t="shared" si="286"/>
        <v>-1.0280498694233099E-2</v>
      </c>
      <c r="AP284" s="42" t="str">
        <f t="shared" si="287"/>
        <v>8.88962731334849-18.2829694773223i</v>
      </c>
      <c r="AQ284">
        <f t="shared" si="288"/>
        <v>26.162574682005655</v>
      </c>
      <c r="AR284" s="44">
        <f t="shared" si="289"/>
        <v>-64.069844746951603</v>
      </c>
      <c r="AS284" t="str">
        <f t="shared" si="265"/>
        <v>-0.000166666666666667</v>
      </c>
      <c r="AT284" t="str">
        <f t="shared" si="266"/>
        <v>0.000362442588390676i</v>
      </c>
      <c r="AU284">
        <f t="shared" si="290"/>
        <v>3.6244258839067601E-4</v>
      </c>
      <c r="AV284">
        <f t="shared" si="291"/>
        <v>1.5707963267948966</v>
      </c>
      <c r="AW284" t="str">
        <f t="shared" si="267"/>
        <v>1+0.0660325480442827i</v>
      </c>
      <c r="AX284">
        <f t="shared" si="292"/>
        <v>1.0021777773435312</v>
      </c>
      <c r="AY284">
        <f t="shared" si="293"/>
        <v>6.5936824500426455E-2</v>
      </c>
      <c r="AZ284" t="str">
        <f t="shared" si="268"/>
        <v>1+1.3440818650304i</v>
      </c>
      <c r="BA284">
        <f t="shared" si="294"/>
        <v>1.6752779052753006</v>
      </c>
      <c r="BB284">
        <f t="shared" si="295"/>
        <v>0.9311448091211435</v>
      </c>
      <c r="BC284" s="42" t="str">
        <f t="shared" si="296"/>
        <v>-0.585150529427215+0.498481923868464i</v>
      </c>
      <c r="BD284">
        <f t="shared" si="297"/>
        <v>-2.2849676240537606</v>
      </c>
      <c r="BE284" s="44">
        <f t="shared" si="298"/>
        <v>139.57276591978697</v>
      </c>
      <c r="BF284" s="42" t="str">
        <f t="shared" si="299"/>
        <v>1.49412362022153+2.48993753432633i</v>
      </c>
      <c r="BG284" s="20">
        <f t="shared" si="300"/>
        <v>9.2594060616791136</v>
      </c>
      <c r="BH284" s="44">
        <f t="shared" si="301"/>
        <v>59.033517771989686</v>
      </c>
      <c r="BI284" s="42" t="str">
        <f t="shared" si="255"/>
        <v>3.91195967026753+15.1296077947884i</v>
      </c>
      <c r="BJ284" s="20">
        <f t="shared" si="302"/>
        <v>23.877607057951916</v>
      </c>
      <c r="BK284" s="44">
        <f t="shared" si="256"/>
        <v>75.502921172835428</v>
      </c>
      <c r="BL284">
        <f t="shared" si="303"/>
        <v>9.2594060616791136</v>
      </c>
      <c r="BM284" s="44">
        <f t="shared" si="304"/>
        <v>59.033517771989686</v>
      </c>
    </row>
    <row r="285" spans="14:65" x14ac:dyDescent="0.35">
      <c r="N285" s="9">
        <v>67</v>
      </c>
      <c r="O285" s="35">
        <f t="shared" si="305"/>
        <v>4677.3514128719844</v>
      </c>
      <c r="P285" s="34" t="str">
        <f t="shared" si="257"/>
        <v>16.3709677419355</v>
      </c>
      <c r="Q285" s="4" t="str">
        <f t="shared" si="258"/>
        <v>1+4.32297791847937i</v>
      </c>
      <c r="R285" s="4">
        <f t="shared" si="269"/>
        <v>4.4371317406248174</v>
      </c>
      <c r="S285" s="4">
        <f t="shared" si="270"/>
        <v>1.3434726997354023</v>
      </c>
      <c r="T285" s="4" t="str">
        <f t="shared" si="259"/>
        <v>1+0.00470218650781966i</v>
      </c>
      <c r="U285" s="4">
        <f t="shared" si="271"/>
        <v>1.0000110552178683</v>
      </c>
      <c r="V285" s="4">
        <f t="shared" si="272"/>
        <v>4.7021518522903129E-3</v>
      </c>
      <c r="W285" t="str">
        <f t="shared" si="260"/>
        <v>1-0.0615362673089665i</v>
      </c>
      <c r="X285" s="4">
        <f t="shared" si="273"/>
        <v>1.0018915670841433</v>
      </c>
      <c r="Y285" s="4">
        <f t="shared" si="274"/>
        <v>-6.1458769931135769E-2</v>
      </c>
      <c r="Z285" t="str">
        <f t="shared" si="261"/>
        <v>0.99998106858519+0.0121188947107604i</v>
      </c>
      <c r="AA285" s="4">
        <f t="shared" si="275"/>
        <v>1.0000545010837103</v>
      </c>
      <c r="AB285" s="4">
        <f t="shared" si="276"/>
        <v>1.2118530870480492E-2</v>
      </c>
      <c r="AC285" s="48" t="str">
        <f t="shared" si="277"/>
        <v>0.583234498575237-3.65005355071924i</v>
      </c>
      <c r="AD285" s="20">
        <f t="shared" si="278"/>
        <v>11.355477658229498</v>
      </c>
      <c r="AE285" s="44">
        <f t="shared" si="279"/>
        <v>-80.92157093401633</v>
      </c>
      <c r="AF285" t="str">
        <f t="shared" si="280"/>
        <v>45.9520231294187</v>
      </c>
      <c r="AG285" t="str">
        <f t="shared" si="262"/>
        <v>1+2.07449404756749i</v>
      </c>
      <c r="AH285">
        <f t="shared" si="281"/>
        <v>2.3029384606178573</v>
      </c>
      <c r="AI285">
        <f t="shared" si="282"/>
        <v>1.1216154147997495</v>
      </c>
      <c r="AJ285" t="str">
        <f t="shared" si="263"/>
        <v>1+0.00470218650781966i</v>
      </c>
      <c r="AK285">
        <f t="shared" si="283"/>
        <v>1.0000110552178683</v>
      </c>
      <c r="AL285">
        <f t="shared" si="284"/>
        <v>4.7021518522903129E-3</v>
      </c>
      <c r="AM285" t="str">
        <f t="shared" si="264"/>
        <v>1-0.0105203329001775i</v>
      </c>
      <c r="AN285">
        <f t="shared" si="285"/>
        <v>1.0000553371710639</v>
      </c>
      <c r="AO285">
        <f t="shared" si="286"/>
        <v>-1.0519944804903173E-2</v>
      </c>
      <c r="AP285" s="42" t="str">
        <f t="shared" si="287"/>
        <v>8.56028094091863-18.0256074550331i</v>
      </c>
      <c r="AQ285">
        <f t="shared" si="288"/>
        <v>26.001022742540666</v>
      </c>
      <c r="AR285" s="44">
        <f t="shared" si="289"/>
        <v>-64.597164487106483</v>
      </c>
      <c r="AS285" t="str">
        <f t="shared" si="265"/>
        <v>-0.000166666666666667</v>
      </c>
      <c r="AT285" t="str">
        <f t="shared" si="266"/>
        <v>0.000370884960804276i</v>
      </c>
      <c r="AU285">
        <f t="shared" si="290"/>
        <v>3.7088496080427602E-4</v>
      </c>
      <c r="AV285">
        <f t="shared" si="291"/>
        <v>1.5707963267948966</v>
      </c>
      <c r="AW285" t="str">
        <f t="shared" si="267"/>
        <v>1+0.0675706436761566i</v>
      </c>
      <c r="AX285">
        <f t="shared" si="292"/>
        <v>1.0022802960683255</v>
      </c>
      <c r="AY285">
        <f t="shared" si="293"/>
        <v>6.7468086650090228E-2</v>
      </c>
      <c r="AZ285" t="str">
        <f t="shared" si="268"/>
        <v>1+1.37538955353725i</v>
      </c>
      <c r="BA285">
        <f t="shared" si="294"/>
        <v>1.7004988750303234</v>
      </c>
      <c r="BB285">
        <f t="shared" si="295"/>
        <v>0.94213477987820571</v>
      </c>
      <c r="BC285" s="42" t="str">
        <f t="shared" si="296"/>
        <v>-0.585030830739473+0.488906549908268i</v>
      </c>
      <c r="BD285">
        <f t="shared" si="297"/>
        <v>-2.3560663458291713</v>
      </c>
      <c r="BE285" s="44">
        <f t="shared" si="298"/>
        <v>140.11471000263492</v>
      </c>
      <c r="BF285" s="42" t="str">
        <f t="shared" si="299"/>
        <v>1.44332492524518+2.42054102750674i</v>
      </c>
      <c r="BG285" s="20">
        <f t="shared" si="300"/>
        <v>8.999411312400337</v>
      </c>
      <c r="BH285" s="44">
        <f t="shared" si="301"/>
        <v>59.193139068618521</v>
      </c>
      <c r="BI285" s="42" t="str">
        <f t="shared" si="255"/>
        <v>3.80480928061208+14.7307135250717i</v>
      </c>
      <c r="BJ285" s="20">
        <f t="shared" si="302"/>
        <v>23.6449563967115</v>
      </c>
      <c r="BK285" s="44">
        <f t="shared" si="256"/>
        <v>75.51754551552844</v>
      </c>
      <c r="BL285">
        <f t="shared" si="303"/>
        <v>8.999411312400337</v>
      </c>
      <c r="BM285" s="44">
        <f t="shared" si="304"/>
        <v>59.193139068618521</v>
      </c>
    </row>
    <row r="286" spans="14:65" x14ac:dyDescent="0.35">
      <c r="N286" s="9">
        <v>68</v>
      </c>
      <c r="O286" s="35">
        <f t="shared" si="305"/>
        <v>4786.3009232263848</v>
      </c>
      <c r="P286" s="34" t="str">
        <f t="shared" si="257"/>
        <v>16.3709677419355</v>
      </c>
      <c r="Q286" s="4" t="str">
        <f t="shared" si="258"/>
        <v>1+4.42367300976438i</v>
      </c>
      <c r="R286" s="4">
        <f t="shared" si="269"/>
        <v>4.5352930332358738</v>
      </c>
      <c r="S286" s="4">
        <f t="shared" si="270"/>
        <v>1.3484765284630196</v>
      </c>
      <c r="T286" s="4" t="str">
        <f t="shared" si="259"/>
        <v>1+0.00481171450184898i</v>
      </c>
      <c r="U286" s="4">
        <f t="shared" si="271"/>
        <v>1.0000115762312192</v>
      </c>
      <c r="V286" s="4">
        <f t="shared" si="272"/>
        <v>4.8116773678034677E-3</v>
      </c>
      <c r="W286" t="str">
        <f t="shared" si="260"/>
        <v>1-0.0629696311083807i</v>
      </c>
      <c r="X286" s="4">
        <f t="shared" si="273"/>
        <v>1.0019806257817192</v>
      </c>
      <c r="Y286" s="4">
        <f t="shared" si="274"/>
        <v>-6.2886600034696011E-2</v>
      </c>
      <c r="Z286" t="str">
        <f t="shared" si="261"/>
        <v>0.999980176375098+0.0124011800317094i</v>
      </c>
      <c r="AA286" s="4">
        <f t="shared" si="275"/>
        <v>1.0000570695762072</v>
      </c>
      <c r="AB286" s="4">
        <f t="shared" si="276"/>
        <v>1.2400790170983165E-2</v>
      </c>
      <c r="AC286" s="48" t="str">
        <f t="shared" si="277"/>
        <v>0.547061647123988-3.57505333905237i</v>
      </c>
      <c r="AD286" s="20">
        <f t="shared" si="278"/>
        <v>11.166171344365432</v>
      </c>
      <c r="AE286" s="44">
        <f t="shared" si="279"/>
        <v>-81.299974757170077</v>
      </c>
      <c r="AF286" t="str">
        <f t="shared" si="280"/>
        <v>45.9520231294187</v>
      </c>
      <c r="AG286" t="str">
        <f t="shared" si="262"/>
        <v>1+2.12281522140395i</v>
      </c>
      <c r="AH286">
        <f t="shared" si="281"/>
        <v>2.3465601343720772</v>
      </c>
      <c r="AI286">
        <f t="shared" si="282"/>
        <v>1.1305573031371057</v>
      </c>
      <c r="AJ286" t="str">
        <f t="shared" si="263"/>
        <v>1+0.00481171450184898i</v>
      </c>
      <c r="AK286">
        <f t="shared" si="283"/>
        <v>1.0000115762312192</v>
      </c>
      <c r="AL286">
        <f t="shared" si="284"/>
        <v>4.8116773678034677E-3</v>
      </c>
      <c r="AM286" t="str">
        <f t="shared" si="264"/>
        <v>1-0.0107653829332123i</v>
      </c>
      <c r="AN286">
        <f t="shared" si="285"/>
        <v>1.0000579450560345</v>
      </c>
      <c r="AO286">
        <f t="shared" si="286"/>
        <v>-1.0764967082934927E-2</v>
      </c>
      <c r="AP286" s="42" t="str">
        <f t="shared" si="287"/>
        <v>8.2402467458393-17.7661043296549i</v>
      </c>
      <c r="AQ286">
        <f t="shared" si="288"/>
        <v>25.838062811837798</v>
      </c>
      <c r="AR286" s="44">
        <f t="shared" si="289"/>
        <v>-65.117260342344224</v>
      </c>
      <c r="AS286" t="str">
        <f t="shared" si="265"/>
        <v>-0.000166666666666667</v>
      </c>
      <c r="AT286" t="str">
        <f t="shared" si="266"/>
        <v>0.000379523981333338i</v>
      </c>
      <c r="AU286">
        <f t="shared" si="290"/>
        <v>3.7952398133333799E-4</v>
      </c>
      <c r="AV286">
        <f t="shared" si="291"/>
        <v>1.5707963267948966</v>
      </c>
      <c r="AW286" t="str">
        <f t="shared" si="267"/>
        <v>1+0.069144566157711i</v>
      </c>
      <c r="AX286">
        <f t="shared" si="292"/>
        <v>1.0023876351138505</v>
      </c>
      <c r="AY286">
        <f t="shared" si="293"/>
        <v>6.903468845663259E-2</v>
      </c>
      <c r="AZ286" t="str">
        <f t="shared" si="268"/>
        <v>1+1.40742649179082i</v>
      </c>
      <c r="BA286">
        <f t="shared" si="294"/>
        <v>1.7265136344073899</v>
      </c>
      <c r="BB286">
        <f t="shared" si="295"/>
        <v>0.9530470036171339</v>
      </c>
      <c r="BC286" s="42" t="str">
        <f t="shared" si="296"/>
        <v>-0.584905543302683+0.479589641736163i</v>
      </c>
      <c r="BD286">
        <f t="shared" si="297"/>
        <v>-2.4251232420641062</v>
      </c>
      <c r="BE286" s="44">
        <f t="shared" si="298"/>
        <v>140.65017469628549</v>
      </c>
      <c r="BF286" s="42" t="str">
        <f t="shared" si="299"/>
        <v>1.39457916013268+2.35343361496629i</v>
      </c>
      <c r="BG286" s="20">
        <f t="shared" si="300"/>
        <v>8.7410481023013347</v>
      </c>
      <c r="BH286" s="44">
        <f t="shared" si="301"/>
        <v>59.350199939115491</v>
      </c>
      <c r="BI286" s="42" t="str">
        <f t="shared" si="255"/>
        <v>3.70067361068319+14.3434298899636i</v>
      </c>
      <c r="BJ286" s="20">
        <f t="shared" si="302"/>
        <v>23.412939569773688</v>
      </c>
      <c r="BK286" s="44">
        <f t="shared" si="256"/>
        <v>75.532914353941251</v>
      </c>
      <c r="BL286">
        <f t="shared" si="303"/>
        <v>8.7410481023013347</v>
      </c>
      <c r="BM286" s="44">
        <f t="shared" si="304"/>
        <v>59.350199939115491</v>
      </c>
    </row>
    <row r="287" spans="14:65" x14ac:dyDescent="0.35">
      <c r="N287" s="9">
        <v>69</v>
      </c>
      <c r="O287" s="35">
        <f t="shared" si="305"/>
        <v>4897.7881936844633</v>
      </c>
      <c r="P287" s="34" t="str">
        <f t="shared" si="257"/>
        <v>16.3709677419355</v>
      </c>
      <c r="Q287" s="4" t="str">
        <f t="shared" si="258"/>
        <v>1+4.52671359103341i</v>
      </c>
      <c r="R287" s="4">
        <f t="shared" si="269"/>
        <v>4.6358533125247376</v>
      </c>
      <c r="S287" s="4">
        <f t="shared" si="270"/>
        <v>1.3533774189725052</v>
      </c>
      <c r="T287" s="4" t="str">
        <f t="shared" si="259"/>
        <v>1+0.00492379373059774i</v>
      </c>
      <c r="U287" s="4">
        <f t="shared" si="271"/>
        <v>1.0000121217988818</v>
      </c>
      <c r="V287" s="4">
        <f t="shared" si="272"/>
        <v>4.9237539407771423E-3</v>
      </c>
      <c r="W287" t="str">
        <f t="shared" si="260"/>
        <v>1-0.0644363822397102i</v>
      </c>
      <c r="X287" s="4">
        <f t="shared" si="273"/>
        <v>1.0020738732030399</v>
      </c>
      <c r="Y287" s="4">
        <f t="shared" si="274"/>
        <v>-6.4347422782924352E-2</v>
      </c>
      <c r="Z287" t="str">
        <f t="shared" si="261"/>
        <v>0.999979242116439+0.0126900406224603i</v>
      </c>
      <c r="AA287" s="4">
        <f t="shared" si="275"/>
        <v>1.0000597591118079</v>
      </c>
      <c r="AB287" s="4">
        <f t="shared" si="276"/>
        <v>1.2689622880464759E-2</v>
      </c>
      <c r="AC287" s="48" t="str">
        <f t="shared" si="277"/>
        <v>0.512361843226335-3.50124665372614i</v>
      </c>
      <c r="AD287" s="20">
        <f t="shared" si="278"/>
        <v>10.976474366583211</v>
      </c>
      <c r="AE287" s="44">
        <f t="shared" si="279"/>
        <v>-81.674601457934457</v>
      </c>
      <c r="AF287" t="str">
        <f t="shared" si="280"/>
        <v>45.9520231294187</v>
      </c>
      <c r="AG287" t="str">
        <f t="shared" si="262"/>
        <v>1+2.17226193996959i</v>
      </c>
      <c r="AH287">
        <f t="shared" si="281"/>
        <v>2.3913849409579475</v>
      </c>
      <c r="AI287">
        <f t="shared" si="282"/>
        <v>1.1393690480771492</v>
      </c>
      <c r="AJ287" t="str">
        <f t="shared" si="263"/>
        <v>1+0.00492379373059774i</v>
      </c>
      <c r="AK287">
        <f t="shared" si="283"/>
        <v>1.0000121217988818</v>
      </c>
      <c r="AL287">
        <f t="shared" si="284"/>
        <v>4.9237539407771423E-3</v>
      </c>
      <c r="AM287" t="str">
        <f t="shared" si="264"/>
        <v>1-0.011016140914775i</v>
      </c>
      <c r="AN287">
        <f t="shared" si="285"/>
        <v>1.0000606758395483</v>
      </c>
      <c r="AO287">
        <f t="shared" si="286"/>
        <v>-1.1015695324634825E-2</v>
      </c>
      <c r="AP287" s="42" t="str">
        <f t="shared" si="287"/>
        <v>7.9294602999658-17.5048204928353i</v>
      </c>
      <c r="AQ287">
        <f t="shared" si="288"/>
        <v>25.673735230582324</v>
      </c>
      <c r="AR287" s="44">
        <f t="shared" si="289"/>
        <v>-65.630080292994933</v>
      </c>
      <c r="AS287" t="str">
        <f t="shared" si="265"/>
        <v>-0.000166666666666667</v>
      </c>
      <c r="AT287" t="str">
        <f t="shared" si="266"/>
        <v>0.000388364230500897i</v>
      </c>
      <c r="AU287">
        <f t="shared" si="290"/>
        <v>3.88364230500897E-4</v>
      </c>
      <c r="AV287">
        <f t="shared" si="291"/>
        <v>1.5707963267948966</v>
      </c>
      <c r="AW287" t="str">
        <f t="shared" si="267"/>
        <v>1+0.0707551500034787i</v>
      </c>
      <c r="AX287">
        <f t="shared" si="292"/>
        <v>1.0025000205745707</v>
      </c>
      <c r="AY287">
        <f t="shared" si="293"/>
        <v>7.0637429777224661E-2</v>
      </c>
      <c r="AZ287" t="str">
        <f t="shared" si="268"/>
        <v>1+1.44020966619984i</v>
      </c>
      <c r="BA287">
        <f t="shared" si="294"/>
        <v>1.7533407776628751</v>
      </c>
      <c r="BB287">
        <f t="shared" si="295"/>
        <v>0.96387687123562238</v>
      </c>
      <c r="BC287" s="42" t="str">
        <f t="shared" si="296"/>
        <v>-0.584774408753056+0.470526205648243i</v>
      </c>
      <c r="BD287">
        <f t="shared" si="297"/>
        <v>-2.492170609818058</v>
      </c>
      <c r="BE287" s="44">
        <f t="shared" si="298"/>
        <v>141.1788500901892</v>
      </c>
      <c r="BF287" s="42" t="str">
        <f t="shared" si="299"/>
        <v>1.34781220907606+2.28851911584355i</v>
      </c>
      <c r="BG287" s="20">
        <f t="shared" si="300"/>
        <v>8.4843037567651596</v>
      </c>
      <c r="BH287" s="44">
        <f t="shared" si="301"/>
        <v>59.504248632254821</v>
      </c>
      <c r="BI287" s="42" t="str">
        <f t="shared" si="255"/>
        <v>3.59953130840407+13.9673899218074i</v>
      </c>
      <c r="BJ287" s="20">
        <f t="shared" si="302"/>
        <v>23.181564620764249</v>
      </c>
      <c r="BK287" s="44">
        <f t="shared" si="256"/>
        <v>75.548769797194225</v>
      </c>
      <c r="BL287">
        <f t="shared" si="303"/>
        <v>8.4843037567651596</v>
      </c>
      <c r="BM287" s="44">
        <f t="shared" si="304"/>
        <v>59.504248632254821</v>
      </c>
    </row>
    <row r="288" spans="14:65" x14ac:dyDescent="0.35">
      <c r="N288" s="9">
        <v>70</v>
      </c>
      <c r="O288" s="35">
        <f t="shared" si="305"/>
        <v>5011.8723362727324</v>
      </c>
      <c r="P288" s="34" t="str">
        <f t="shared" si="257"/>
        <v>16.3709677419355</v>
      </c>
      <c r="Q288" s="4" t="str">
        <f t="shared" si="258"/>
        <v>1+4.63215429576654i</v>
      </c>
      <c r="R288" s="4">
        <f t="shared" si="269"/>
        <v>4.7388662589050154</v>
      </c>
      <c r="S288" s="4">
        <f t="shared" si="270"/>
        <v>1.3581770276478091</v>
      </c>
      <c r="T288" s="4" t="str">
        <f t="shared" si="259"/>
        <v>1+0.00503848361995659i</v>
      </c>
      <c r="U288" s="4">
        <f t="shared" si="271"/>
        <v>1.0000126930780373</v>
      </c>
      <c r="V288" s="4">
        <f t="shared" si="272"/>
        <v>5.0384409844248957E-3</v>
      </c>
      <c r="W288" t="str">
        <f t="shared" si="260"/>
        <v>1-0.0659372983938196i</v>
      </c>
      <c r="X288" s="4">
        <f t="shared" si="273"/>
        <v>1.0021715059407126</v>
      </c>
      <c r="Y288" s="4">
        <f t="shared" si="274"/>
        <v>-6.5841987770114699E-2</v>
      </c>
      <c r="Z288" t="str">
        <f t="shared" si="261"/>
        <v>0.999978263827526+0.0129856296407217i</v>
      </c>
      <c r="AA288" s="4">
        <f t="shared" si="275"/>
        <v>1.0000625753944996</v>
      </c>
      <c r="AB288" s="4">
        <f t="shared" si="276"/>
        <v>1.2985182023566331E-2</v>
      </c>
      <c r="AC288" s="48" t="str">
        <f t="shared" si="277"/>
        <v>0.479081505272131-3.42863689576524i</v>
      </c>
      <c r="AD288" s="20">
        <f t="shared" si="278"/>
        <v>10.786405767907269</v>
      </c>
      <c r="AE288" s="44">
        <f t="shared" si="279"/>
        <v>-82.045594252248165</v>
      </c>
      <c r="AF288" t="str">
        <f t="shared" si="280"/>
        <v>45.9520231294187</v>
      </c>
      <c r="AG288" t="str">
        <f t="shared" si="262"/>
        <v>1+2.22286042056908i</v>
      </c>
      <c r="AH288">
        <f t="shared" si="281"/>
        <v>2.4374389119181115</v>
      </c>
      <c r="AI288">
        <f t="shared" si="282"/>
        <v>1.1480498470713421</v>
      </c>
      <c r="AJ288" t="str">
        <f t="shared" si="263"/>
        <v>1+0.00503848361995659i</v>
      </c>
      <c r="AK288">
        <f t="shared" si="283"/>
        <v>1.0000126930780373</v>
      </c>
      <c r="AL288">
        <f t="shared" si="284"/>
        <v>5.0384409844248957E-3</v>
      </c>
      <c r="AM288" t="str">
        <f t="shared" si="264"/>
        <v>1-0.0112727398000665i</v>
      </c>
      <c r="AN288">
        <f t="shared" si="285"/>
        <v>1.0000635353129321</v>
      </c>
      <c r="AO288">
        <f t="shared" si="286"/>
        <v>-1.1272262343267345E-2</v>
      </c>
      <c r="AP288" s="42" t="str">
        <f t="shared" si="287"/>
        <v>7.62784180661418-17.2421043304679i</v>
      </c>
      <c r="AQ288">
        <f t="shared" si="288"/>
        <v>25.508080028774856</v>
      </c>
      <c r="AR288" s="44">
        <f t="shared" si="289"/>
        <v>-66.135582561927635</v>
      </c>
      <c r="AS288" t="str">
        <f t="shared" si="265"/>
        <v>-0.000166666666666667</v>
      </c>
      <c r="AT288" t="str">
        <f t="shared" si="266"/>
        <v>0.000397410395524076i</v>
      </c>
      <c r="AU288">
        <f t="shared" si="290"/>
        <v>3.9741039552407601E-4</v>
      </c>
      <c r="AV288">
        <f t="shared" si="291"/>
        <v>1.5707963267948966</v>
      </c>
      <c r="AW288" t="str">
        <f t="shared" si="267"/>
        <v>1+0.0724032491663335i</v>
      </c>
      <c r="AX288">
        <f t="shared" si="292"/>
        <v>1.0026176890968173</v>
      </c>
      <c r="AY288">
        <f t="shared" si="293"/>
        <v>7.2277127451315287E-2</v>
      </c>
      <c r="AZ288" t="str">
        <f t="shared" si="268"/>
        <v>1+1.4737564588373i</v>
      </c>
      <c r="BA288">
        <f t="shared" si="294"/>
        <v>1.7809991858405378</v>
      </c>
      <c r="BB288">
        <f t="shared" si="295"/>
        <v>0.9746199634579098</v>
      </c>
      <c r="BC288" s="42" t="str">
        <f t="shared" si="296"/>
        <v>-0.58463715702992+0.461711378553543i</v>
      </c>
      <c r="BD288">
        <f t="shared" si="297"/>
        <v>-2.5572423056566902</v>
      </c>
      <c r="BE288" s="44">
        <f t="shared" si="298"/>
        <v>141.70043617704323</v>
      </c>
      <c r="BF288" s="42" t="str">
        <f t="shared" si="299"/>
        <v>1.3029518184754+2.22570590946678i</v>
      </c>
      <c r="BG288" s="20">
        <f t="shared" si="300"/>
        <v>8.2291634622505772</v>
      </c>
      <c r="BH288" s="44">
        <f t="shared" si="301"/>
        <v>59.654841924794972</v>
      </c>
      <c r="BI288" s="42" t="str">
        <f t="shared" si="255"/>
        <v>3.50135601149146+13.6022362128982i</v>
      </c>
      <c r="BJ288" s="20">
        <f t="shared" si="302"/>
        <v>22.950837723118163</v>
      </c>
      <c r="BK288" s="44">
        <f t="shared" si="256"/>
        <v>75.564853615115609</v>
      </c>
      <c r="BL288">
        <f t="shared" si="303"/>
        <v>8.2291634622505772</v>
      </c>
      <c r="BM288" s="44">
        <f t="shared" si="304"/>
        <v>59.654841924794972</v>
      </c>
    </row>
    <row r="289" spans="14:65" x14ac:dyDescent="0.35">
      <c r="N289" s="9">
        <v>71</v>
      </c>
      <c r="O289" s="35">
        <f t="shared" si="305"/>
        <v>5128.6138399136489</v>
      </c>
      <c r="P289" s="34" t="str">
        <f t="shared" si="257"/>
        <v>16.3709677419355</v>
      </c>
      <c r="Q289" s="4" t="str">
        <f t="shared" si="258"/>
        <v>1+4.74005103002108i</v>
      </c>
      <c r="R289" s="4">
        <f t="shared" si="269"/>
        <v>4.8443868308800351</v>
      </c>
      <c r="S289" s="4">
        <f t="shared" si="270"/>
        <v>1.3628770143791546</v>
      </c>
      <c r="T289" s="4" t="str">
        <f t="shared" si="259"/>
        <v>1+0.00515584498002293i</v>
      </c>
      <c r="U289" s="4">
        <f t="shared" si="271"/>
        <v>1.0000132912803998</v>
      </c>
      <c r="V289" s="4">
        <f t="shared" si="272"/>
        <v>5.1557992952604237E-3</v>
      </c>
      <c r="W289" t="str">
        <f t="shared" si="260"/>
        <v>1-0.0674731753763204i</v>
      </c>
      <c r="X289" s="4">
        <f t="shared" si="273"/>
        <v>1.0022737297741389</v>
      </c>
      <c r="Y289" s="4">
        <f t="shared" si="274"/>
        <v>-6.7371060711789374E-2</v>
      </c>
      <c r="Z289" t="str">
        <f t="shared" si="261"/>
        <v>0.999977239433277+0.0132881038117037i</v>
      </c>
      <c r="AA289" s="4">
        <f t="shared" si="275"/>
        <v>1.0000655243970307</v>
      </c>
      <c r="AB289" s="4">
        <f t="shared" si="276"/>
        <v>1.3287624182915648E-2</v>
      </c>
      <c r="AC289" s="48" t="str">
        <f t="shared" si="277"/>
        <v>0.447168458243519-3.35722569868747i</v>
      </c>
      <c r="AD289" s="20">
        <f t="shared" si="278"/>
        <v>10.595984032091771</v>
      </c>
      <c r="AE289" s="44">
        <f t="shared" si="279"/>
        <v>-82.413097605223214</v>
      </c>
      <c r="AF289" t="str">
        <f t="shared" si="280"/>
        <v>45.9520231294187</v>
      </c>
      <c r="AG289" t="str">
        <f t="shared" si="262"/>
        <v>1+2.27463749118658i</v>
      </c>
      <c r="AH289">
        <f t="shared" si="281"/>
        <v>2.4847486223583219</v>
      </c>
      <c r="AI289">
        <f t="shared" si="282"/>
        <v>1.1565990685393506</v>
      </c>
      <c r="AJ289" t="str">
        <f t="shared" si="263"/>
        <v>1+0.00515584498002293i</v>
      </c>
      <c r="AK289">
        <f t="shared" si="283"/>
        <v>1.0000132912803998</v>
      </c>
      <c r="AL289">
        <f t="shared" si="284"/>
        <v>5.1557992952604237E-3</v>
      </c>
      <c r="AM289" t="str">
        <f t="shared" si="264"/>
        <v>1-0.0115353156412124i</v>
      </c>
      <c r="AN289">
        <f t="shared" si="285"/>
        <v>1.0000665295403812</v>
      </c>
      <c r="AO289">
        <f t="shared" si="286"/>
        <v>-1.1534804038872838E-2</v>
      </c>
      <c r="AP289" s="42" t="str">
        <f t="shared" si="287"/>
        <v>7.33529724473471-16.9782917052476i</v>
      </c>
      <c r="AQ289">
        <f t="shared" si="288"/>
        <v>25.341136861639832</v>
      </c>
      <c r="AR289" s="44">
        <f t="shared" si="289"/>
        <v>-66.633735265369907</v>
      </c>
      <c r="AS289" t="str">
        <f t="shared" si="265"/>
        <v>-0.000166666666666667</v>
      </c>
      <c r="AT289" t="str">
        <f t="shared" si="266"/>
        <v>0.000406667272799309i</v>
      </c>
      <c r="AU289">
        <f t="shared" si="290"/>
        <v>4.0666727279930901E-4</v>
      </c>
      <c r="AV289">
        <f t="shared" si="291"/>
        <v>1.5707963267948966</v>
      </c>
      <c r="AW289" t="str">
        <f t="shared" si="267"/>
        <v>1+0.0740897374902661i</v>
      </c>
      <c r="AX289">
        <f t="shared" si="292"/>
        <v>1.0027408883661704</v>
      </c>
      <c r="AY289">
        <f t="shared" si="293"/>
        <v>7.3954615580487229E-2</v>
      </c>
      <c r="AZ289" t="str">
        <f t="shared" si="268"/>
        <v>1+1.5080846566567i</v>
      </c>
      <c r="BA289">
        <f t="shared" si="294"/>
        <v>1.809508035805135</v>
      </c>
      <c r="BB289">
        <f t="shared" si="295"/>
        <v>0.98527205721211431</v>
      </c>
      <c r="BC289" s="42" t="str">
        <f t="shared" si="296"/>
        <v>-0.584493505869948+0.453140425132751i</v>
      </c>
      <c r="BD289">
        <f t="shared" si="297"/>
        <v>-2.6203736381624978</v>
      </c>
      <c r="BE289" s="44">
        <f t="shared" si="298"/>
        <v>142.21464320215202</v>
      </c>
      <c r="BF289" s="42" t="str">
        <f t="shared" si="299"/>
        <v>1.25992762049662+2.16490672389695i</v>
      </c>
      <c r="BG289" s="20">
        <f t="shared" si="300"/>
        <v>7.9756103939292657</v>
      </c>
      <c r="BH289" s="44">
        <f t="shared" si="301"/>
        <v>59.801545596928868</v>
      </c>
      <c r="BI289" s="42" t="str">
        <f t="shared" si="255"/>
        <v>3.4061167181706+13.247620954437i</v>
      </c>
      <c r="BJ289" s="20">
        <f t="shared" si="302"/>
        <v>22.720763223477327</v>
      </c>
      <c r="BK289" s="44">
        <f t="shared" si="256"/>
        <v>75.580907936782083</v>
      </c>
      <c r="BL289">
        <f t="shared" si="303"/>
        <v>7.9756103939292657</v>
      </c>
      <c r="BM289" s="44">
        <f t="shared" si="304"/>
        <v>59.801545596928868</v>
      </c>
    </row>
    <row r="290" spans="14:65" x14ac:dyDescent="0.35">
      <c r="N290" s="9">
        <v>72</v>
      </c>
      <c r="O290" s="35">
        <f t="shared" si="305"/>
        <v>5248.0746024977261</v>
      </c>
      <c r="P290" s="34" t="str">
        <f t="shared" si="257"/>
        <v>16.3709677419355</v>
      </c>
      <c r="Q290" s="4" t="str">
        <f t="shared" si="258"/>
        <v>1+4.85046100207375i</v>
      </c>
      <c r="R290" s="4">
        <f t="shared" si="269"/>
        <v>4.952471295488575</v>
      </c>
      <c r="S290" s="4">
        <f t="shared" si="270"/>
        <v>1.3674790401993977</v>
      </c>
      <c r="T290" s="4" t="str">
        <f t="shared" si="259"/>
        <v>1+0.00527594003734338i</v>
      </c>
      <c r="U290" s="4">
        <f t="shared" si="271"/>
        <v>1.000013917674788</v>
      </c>
      <c r="V290" s="4">
        <f t="shared" si="272"/>
        <v>5.2758910852751953E-3</v>
      </c>
      <c r="W290" t="str">
        <f t="shared" si="260"/>
        <v>1-0.0690448275295191i</v>
      </c>
      <c r="X290" s="4">
        <f t="shared" si="273"/>
        <v>1.0023807600949757</v>
      </c>
      <c r="Y290" s="4">
        <f t="shared" si="274"/>
        <v>-6.8935423726001921E-2</v>
      </c>
      <c r="Z290" t="str">
        <f t="shared" si="261"/>
        <v>0.999976166760815+0.0135976235112156i</v>
      </c>
      <c r="AA290" s="4">
        <f t="shared" si="275"/>
        <v>1.000068612373574</v>
      </c>
      <c r="AB290" s="4">
        <f t="shared" si="276"/>
        <v>1.3597109581544649E-2</v>
      </c>
      <c r="AC290" s="48" t="str">
        <f t="shared" si="277"/>
        <v>0.416571945344317-3.28701304684064i</v>
      </c>
      <c r="AD290" s="20">
        <f t="shared" si="278"/>
        <v>10.40522710408996</v>
      </c>
      <c r="AE290" s="44">
        <f t="shared" si="279"/>
        <v>-82.777257114714487</v>
      </c>
      <c r="AF290" t="str">
        <f t="shared" si="280"/>
        <v>45.9520231294187</v>
      </c>
      <c r="AG290" t="str">
        <f t="shared" si="262"/>
        <v>1+2.32762060471031i</v>
      </c>
      <c r="AH290">
        <f t="shared" si="281"/>
        <v>2.5333412086554761</v>
      </c>
      <c r="AI290">
        <f t="shared" si="282"/>
        <v>1.1650162455022504</v>
      </c>
      <c r="AJ290" t="str">
        <f t="shared" si="263"/>
        <v>1+0.00527594003734338i</v>
      </c>
      <c r="AK290">
        <f t="shared" si="283"/>
        <v>1.000013917674788</v>
      </c>
      <c r="AL290">
        <f t="shared" si="284"/>
        <v>5.2758910852751953E-3</v>
      </c>
      <c r="AM290" t="str">
        <f t="shared" si="264"/>
        <v>1-0.0118040076593992i</v>
      </c>
      <c r="AN290">
        <f t="shared" si="285"/>
        <v>1.0000696648718144</v>
      </c>
      <c r="AO290">
        <f t="shared" si="286"/>
        <v>-1.1803459469678174E-2</v>
      </c>
      <c r="AP290" s="42" t="str">
        <f t="shared" si="287"/>
        <v>7.0517195065814-16.7137055365156i</v>
      </c>
      <c r="AQ290">
        <f t="shared" si="288"/>
        <v>25.172944950494653</v>
      </c>
      <c r="AR290" s="44">
        <f t="shared" si="289"/>
        <v>-67.124516050365244</v>
      </c>
      <c r="AS290" t="str">
        <f t="shared" si="265"/>
        <v>-0.000166666666666667</v>
      </c>
      <c r="AT290" t="str">
        <f t="shared" si="266"/>
        <v>0.000416139770445458i</v>
      </c>
      <c r="AU290">
        <f t="shared" si="290"/>
        <v>4.1613977044545802E-4</v>
      </c>
      <c r="AV290">
        <f t="shared" si="291"/>
        <v>1.5707963267948966</v>
      </c>
      <c r="AW290" t="str">
        <f t="shared" si="267"/>
        <v>1+0.0758155091737101i</v>
      </c>
      <c r="AX290">
        <f t="shared" si="292"/>
        <v>1.0028698776168665</v>
      </c>
      <c r="AY290">
        <f t="shared" si="293"/>
        <v>7.5670745806826326E-2</v>
      </c>
      <c r="AZ290" t="str">
        <f t="shared" si="268"/>
        <v>1+1.54321246092294i</v>
      </c>
      <c r="BA290">
        <f t="shared" si="294"/>
        <v>1.838886809879237</v>
      </c>
      <c r="BB290">
        <f t="shared" si="295"/>
        <v>0.99582913101397563</v>
      </c>
      <c r="BC290" s="42" t="str">
        <f t="shared" si="296"/>
        <v>-0.58434316028178+0.444808735046798i</v>
      </c>
      <c r="BD290">
        <f t="shared" si="297"/>
        <v>-2.6816012588337417</v>
      </c>
      <c r="BE290" s="44">
        <f t="shared" si="298"/>
        <v>142.72119195594271</v>
      </c>
      <c r="BF290" s="42" t="str">
        <f t="shared" si="299"/>
        <v>1.21867114842028+2.10603843174289i</v>
      </c>
      <c r="BG290" s="20">
        <f t="shared" si="300"/>
        <v>7.7236258452562137</v>
      </c>
      <c r="BH290" s="44">
        <f t="shared" si="301"/>
        <v>59.943934841228199</v>
      </c>
      <c r="BI290" s="42" t="str">
        <f t="shared" si="255"/>
        <v>3.31377815574572+12.9032059468539i</v>
      </c>
      <c r="BJ290" s="20">
        <f t="shared" si="302"/>
        <v>22.491343691660902</v>
      </c>
      <c r="BK290" s="44">
        <f t="shared" si="256"/>
        <v>75.596675905577456</v>
      </c>
      <c r="BL290">
        <f t="shared" si="303"/>
        <v>7.7236258452562137</v>
      </c>
      <c r="BM290" s="44">
        <f t="shared" si="304"/>
        <v>59.943934841228199</v>
      </c>
    </row>
    <row r="291" spans="14:65" x14ac:dyDescent="0.35">
      <c r="N291" s="9">
        <v>73</v>
      </c>
      <c r="O291" s="35">
        <f t="shared" si="305"/>
        <v>5370.3179637025269</v>
      </c>
      <c r="P291" s="34" t="str">
        <f t="shared" si="257"/>
        <v>16.3709677419355</v>
      </c>
      <c r="Q291" s="4" t="str">
        <f t="shared" si="258"/>
        <v>1+4.96344275275314i</v>
      </c>
      <c r="R291" s="4">
        <f t="shared" si="269"/>
        <v>5.0631772593755464</v>
      </c>
      <c r="S291" s="4">
        <f t="shared" si="270"/>
        <v>1.3719847650809809</v>
      </c>
      <c r="T291" s="4" t="str">
        <f t="shared" si="259"/>
        <v>1+0.00539883246790693i</v>
      </c>
      <c r="U291" s="4">
        <f t="shared" si="271"/>
        <v>1.0000145735898134</v>
      </c>
      <c r="V291" s="4">
        <f t="shared" si="272"/>
        <v>5.3987800148621243E-3</v>
      </c>
      <c r="W291" t="str">
        <f t="shared" si="260"/>
        <v>1-0.0706530881641901i</v>
      </c>
      <c r="X291" s="4">
        <f t="shared" si="273"/>
        <v>1.0024928223519292</v>
      </c>
      <c r="Y291" s="4">
        <f t="shared" si="274"/>
        <v>-7.0535875614639365E-2</v>
      </c>
      <c r="Z291" t="str">
        <f t="shared" si="261"/>
        <v>0.999975043534857+0.0139143528506989i</v>
      </c>
      <c r="AA291" s="4">
        <f t="shared" si="275"/>
        <v>1.0000718458729818</v>
      </c>
      <c r="AB291" s="4">
        <f t="shared" si="276"/>
        <v>1.3913802167193602E-2</v>
      </c>
      <c r="AC291" s="48" t="str">
        <f t="shared" si="277"/>
        <v>0.387242634081836-3.21799738904741i</v>
      </c>
      <c r="AD291" s="20">
        <f t="shared" si="278"/>
        <v>10.214152410781949</v>
      </c>
      <c r="AE291" s="44">
        <f t="shared" si="279"/>
        <v>-83.138219404155478</v>
      </c>
      <c r="AF291" t="str">
        <f t="shared" si="280"/>
        <v>45.9520231294187</v>
      </c>
      <c r="AG291" t="str">
        <f t="shared" si="262"/>
        <v>1+2.38183785348834i</v>
      </c>
      <c r="AH291">
        <f t="shared" si="281"/>
        <v>2.583244386485712</v>
      </c>
      <c r="AI291">
        <f t="shared" si="282"/>
        <v>1.1733010690290964</v>
      </c>
      <c r="AJ291" t="str">
        <f t="shared" si="263"/>
        <v>1+0.00539883246790693i</v>
      </c>
      <c r="AK291">
        <f t="shared" si="283"/>
        <v>1.0000145735898134</v>
      </c>
      <c r="AL291">
        <f t="shared" si="284"/>
        <v>5.3987800148621243E-3</v>
      </c>
      <c r="AM291" t="str">
        <f t="shared" si="264"/>
        <v>1-0.0120789583186916i</v>
      </c>
      <c r="AN291">
        <f t="shared" si="285"/>
        <v>1.0000729479563302</v>
      </c>
      <c r="AO291">
        <f t="shared" si="286"/>
        <v>-1.2078370925136639E-2</v>
      </c>
      <c r="AP291" s="42" t="str">
        <f t="shared" si="287"/>
        <v>6.776989521519-16.4486554726505i</v>
      </c>
      <c r="AQ291">
        <f t="shared" si="288"/>
        <v>25.003543028535823</v>
      </c>
      <c r="AR291" s="44">
        <f t="shared" si="289"/>
        <v>-67.607911721587612</v>
      </c>
      <c r="AS291" t="str">
        <f t="shared" si="265"/>
        <v>-0.000166666666666667</v>
      </c>
      <c r="AT291" t="str">
        <f t="shared" si="266"/>
        <v>0.000425832910906159i</v>
      </c>
      <c r="AU291">
        <f t="shared" si="290"/>
        <v>4.25832910906159E-4</v>
      </c>
      <c r="AV291">
        <f t="shared" si="291"/>
        <v>1.5707963267948966</v>
      </c>
      <c r="AW291" t="str">
        <f t="shared" si="267"/>
        <v>1+0.0775814792436547i</v>
      </c>
      <c r="AX291">
        <f t="shared" si="292"/>
        <v>1.0030049281641809</v>
      </c>
      <c r="AY291">
        <f t="shared" si="293"/>
        <v>7.7426387589218798E-2</v>
      </c>
      <c r="AZ291" t="str">
        <f t="shared" si="268"/>
        <v>1+1.57915849686277i</v>
      </c>
      <c r="BA291">
        <f t="shared" si="294"/>
        <v>1.8691553060711366</v>
      </c>
      <c r="BB291">
        <f t="shared" si="295"/>
        <v>1.0062873693633363</v>
      </c>
      <c r="BC291" s="42" t="str">
        <f t="shared" si="296"/>
        <v>-0.584185812000528+0.436711820192649i</v>
      </c>
      <c r="BD291">
        <f t="shared" si="297"/>
        <v>-2.740963052122662</v>
      </c>
      <c r="BE291" s="44">
        <f t="shared" si="298"/>
        <v>143.21981401003507</v>
      </c>
      <c r="BF291" s="42" t="str">
        <f t="shared" si="299"/>
        <v>1.17911584451377+2.04902185332231i</v>
      </c>
      <c r="BG291" s="20">
        <f t="shared" si="300"/>
        <v>7.4731893586592788</v>
      </c>
      <c r="BH291" s="44">
        <f t="shared" si="301"/>
        <v>60.081594605879431</v>
      </c>
      <c r="BI291" s="42" t="str">
        <f t="shared" si="255"/>
        <v>3.22430114463533+12.5686625829763i</v>
      </c>
      <c r="BJ291" s="20">
        <f t="shared" si="302"/>
        <v>22.262579976413136</v>
      </c>
      <c r="BK291" s="44">
        <f t="shared" si="256"/>
        <v>75.611902288447411</v>
      </c>
      <c r="BL291">
        <f t="shared" si="303"/>
        <v>7.4731893586592788</v>
      </c>
      <c r="BM291" s="44">
        <f t="shared" si="304"/>
        <v>60.081594605879431</v>
      </c>
    </row>
    <row r="292" spans="14:65" x14ac:dyDescent="0.35">
      <c r="N292" s="9">
        <v>74</v>
      </c>
      <c r="O292" s="35">
        <f t="shared" si="305"/>
        <v>5495.4087385762541</v>
      </c>
      <c r="P292" s="34" t="str">
        <f t="shared" si="257"/>
        <v>16.3709677419355</v>
      </c>
      <c r="Q292" s="4" t="str">
        <f t="shared" si="258"/>
        <v>1+5.07905618647899i</v>
      </c>
      <c r="R292" s="4">
        <f t="shared" si="269"/>
        <v>5.1765637005073639</v>
      </c>
      <c r="S292" s="4">
        <f t="shared" si="270"/>
        <v>1.3763958458869758</v>
      </c>
      <c r="T292" s="4" t="str">
        <f t="shared" si="259"/>
        <v>1+0.00552458743090698i</v>
      </c>
      <c r="U292" s="4">
        <f t="shared" si="271"/>
        <v>1.0000152604167007</v>
      </c>
      <c r="V292" s="4">
        <f t="shared" si="272"/>
        <v>5.5245312265031748E-3</v>
      </c>
      <c r="W292" t="str">
        <f t="shared" si="260"/>
        <v>1-0.0722988100014101i</v>
      </c>
      <c r="X292" s="4">
        <f t="shared" si="273"/>
        <v>1.0026101525157323</v>
      </c>
      <c r="Y292" s="4">
        <f t="shared" si="274"/>
        <v>-7.2173232144285157E-2</v>
      </c>
      <c r="Z292" t="str">
        <f t="shared" si="261"/>
        <v>0.99997386737289+0.014238459764242i</v>
      </c>
      <c r="AA292" s="4">
        <f t="shared" si="275"/>
        <v>1.0000752317526678</v>
      </c>
      <c r="AB292" s="4">
        <f t="shared" si="276"/>
        <v>1.4237869698544839E-2</v>
      </c>
      <c r="AC292" s="48" t="str">
        <f t="shared" si="277"/>
        <v>0.359132617317599-3.15017574752073i</v>
      </c>
      <c r="AD292" s="20">
        <f t="shared" si="278"/>
        <v>10.022776881901361</v>
      </c>
      <c r="AE292" s="44">
        <f t="shared" si="279"/>
        <v>-83.496132024265052</v>
      </c>
      <c r="AF292" t="str">
        <f t="shared" si="280"/>
        <v>45.9520231294187</v>
      </c>
      <c r="AG292" t="str">
        <f t="shared" si="262"/>
        <v>1+2.43731798422366i</v>
      </c>
      <c r="AH292">
        <f t="shared" si="281"/>
        <v>2.6344864691662555</v>
      </c>
      <c r="AI292">
        <f t="shared" si="282"/>
        <v>1.1814533815418728</v>
      </c>
      <c r="AJ292" t="str">
        <f t="shared" si="263"/>
        <v>1+0.00552458743090698i</v>
      </c>
      <c r="AK292">
        <f t="shared" si="283"/>
        <v>1.0000152604167007</v>
      </c>
      <c r="AL292">
        <f t="shared" si="284"/>
        <v>5.5245312265031748E-3</v>
      </c>
      <c r="AM292" t="str">
        <f t="shared" si="264"/>
        <v>1-0.0123603134015684i</v>
      </c>
      <c r="AN292">
        <f t="shared" si="285"/>
        <v>1.0000763857563006</v>
      </c>
      <c r="AO292">
        <f t="shared" si="286"/>
        <v>-1.235968400063087E-2</v>
      </c>
      <c r="AP292" s="42" t="str">
        <f t="shared" si="287"/>
        <v>6.51097735939801-16.183437650844i</v>
      </c>
      <c r="AQ292">
        <f t="shared" si="288"/>
        <v>24.832969291466224</v>
      </c>
      <c r="AR292" s="44">
        <f t="shared" si="289"/>
        <v>-68.083917860093266</v>
      </c>
      <c r="AS292" t="str">
        <f t="shared" si="265"/>
        <v>-0.000166666666666667</v>
      </c>
      <c r="AT292" t="str">
        <f t="shared" si="266"/>
        <v>0.000435751833612788i</v>
      </c>
      <c r="AU292">
        <f t="shared" si="290"/>
        <v>4.3575183361278802E-4</v>
      </c>
      <c r="AV292">
        <f t="shared" si="291"/>
        <v>1.5707963267948966</v>
      </c>
      <c r="AW292" t="str">
        <f t="shared" si="267"/>
        <v>1+0.0793885840408067i</v>
      </c>
      <c r="AX292">
        <f t="shared" si="292"/>
        <v>1.0031463239607692</v>
      </c>
      <c r="AY292">
        <f t="shared" si="293"/>
        <v>7.9222428476964382E-2</v>
      </c>
      <c r="AZ292" t="str">
        <f t="shared" si="268"/>
        <v>1+1.61594182354029i</v>
      </c>
      <c r="BA292">
        <f t="shared" si="294"/>
        <v>1.9003336488803007</v>
      </c>
      <c r="BB292">
        <f t="shared" si="295"/>
        <v>1.0166431661677211</v>
      </c>
      <c r="BC292" s="42" t="str">
        <f t="shared" si="296"/>
        <v>-0.584021138921756+0.428845312003638i</v>
      </c>
      <c r="BD292">
        <f t="shared" si="297"/>
        <v>-2.7984980253366616</v>
      </c>
      <c r="BE292" s="44">
        <f t="shared" si="298"/>
        <v>143.7102518977205</v>
      </c>
      <c r="BF292" s="42" t="str">
        <f t="shared" si="299"/>
        <v>1.14119706112205+1.993781567195i</v>
      </c>
      <c r="BG292" s="20">
        <f t="shared" si="300"/>
        <v>7.2242788565647054</v>
      </c>
      <c r="BH292" s="44">
        <f t="shared" si="301"/>
        <v>60.214119873455374</v>
      </c>
      <c r="BI292" s="42" t="str">
        <f t="shared" si="255"/>
        <v>3.13764295573822+12.2436718056548i</v>
      </c>
      <c r="BJ292" s="20">
        <f t="shared" si="302"/>
        <v>22.034471266129565</v>
      </c>
      <c r="BK292" s="44">
        <f t="shared" si="256"/>
        <v>75.626334037627259</v>
      </c>
      <c r="BL292">
        <f t="shared" si="303"/>
        <v>7.2242788565647054</v>
      </c>
      <c r="BM292" s="44">
        <f t="shared" si="304"/>
        <v>60.214119873455374</v>
      </c>
    </row>
    <row r="293" spans="14:65" x14ac:dyDescent="0.35">
      <c r="N293" s="9">
        <v>75</v>
      </c>
      <c r="O293" s="35">
        <f t="shared" si="305"/>
        <v>5623.4132519034993</v>
      </c>
      <c r="P293" s="34" t="str">
        <f t="shared" si="257"/>
        <v>16.3709677419355</v>
      </c>
      <c r="Q293" s="4" t="str">
        <f t="shared" si="258"/>
        <v>1+5.19736260302416i</v>
      </c>
      <c r="R293" s="4">
        <f t="shared" si="269"/>
        <v>5.2926910005510504</v>
      </c>
      <c r="S293" s="4">
        <f t="shared" si="270"/>
        <v>1.380713934469634</v>
      </c>
      <c r="T293" s="4" t="str">
        <f t="shared" si="259"/>
        <v>1+0.00565327160328944i</v>
      </c>
      <c r="U293" s="4">
        <f t="shared" si="271"/>
        <v>1.0000159796122363</v>
      </c>
      <c r="V293" s="4">
        <f t="shared" si="272"/>
        <v>5.6532113792376977E-3</v>
      </c>
      <c r="W293" t="str">
        <f t="shared" si="260"/>
        <v>1-0.0739828656246806i</v>
      </c>
      <c r="X293" s="4">
        <f t="shared" si="273"/>
        <v>1.0027329975651742</v>
      </c>
      <c r="Y293" s="4">
        <f t="shared" si="274"/>
        <v>-7.3848326326150404E-2</v>
      </c>
      <c r="Z293" t="str">
        <f t="shared" si="261"/>
        <v>0.999972635780118+0.0145701160976203i</v>
      </c>
      <c r="AA293" s="4">
        <f t="shared" si="275"/>
        <v>1.0000787771931443</v>
      </c>
      <c r="AB293" s="4">
        <f t="shared" si="276"/>
        <v>1.4569483833426081E-2</v>
      </c>
      <c r="AC293" s="48" t="str">
        <f t="shared" si="277"/>
        <v>0.332195409775716-3.0835438220453i</v>
      </c>
      <c r="AD293" s="20">
        <f t="shared" si="278"/>
        <v>9.8311169711120403</v>
      </c>
      <c r="AE293" s="44">
        <f t="shared" si="279"/>
        <v>-83.851143363219535</v>
      </c>
      <c r="AF293" t="str">
        <f t="shared" si="280"/>
        <v>45.9520231294187</v>
      </c>
      <c r="AG293" t="str">
        <f t="shared" si="262"/>
        <v>1+2.49409041321592i</v>
      </c>
      <c r="AH293">
        <f t="shared" si="281"/>
        <v>2.6870963863054036</v>
      </c>
      <c r="AI293">
        <f t="shared" si="282"/>
        <v>1.1894731700210615</v>
      </c>
      <c r="AJ293" t="str">
        <f t="shared" si="263"/>
        <v>1+0.00565327160328944i</v>
      </c>
      <c r="AK293">
        <f t="shared" si="283"/>
        <v>1.0000159796122363</v>
      </c>
      <c r="AL293">
        <f t="shared" si="284"/>
        <v>5.6532113792376977E-3</v>
      </c>
      <c r="AM293" t="str">
        <f t="shared" si="264"/>
        <v>1-0.0126482220862188i</v>
      </c>
      <c r="AN293">
        <f t="shared" si="285"/>
        <v>1.0000799855621261</v>
      </c>
      <c r="AO293">
        <f t="shared" si="286"/>
        <v>-1.2647547673876663E-2</v>
      </c>
      <c r="AP293" s="42" t="str">
        <f t="shared" si="287"/>
        <v>6.253543307719-15.9183345387932i</v>
      </c>
      <c r="AQ293">
        <f t="shared" si="288"/>
        <v>24.661261352864589</v>
      </c>
      <c r="AR293" s="44">
        <f t="shared" si="289"/>
        <v>-68.552538436431746</v>
      </c>
      <c r="AS293" t="str">
        <f t="shared" si="265"/>
        <v>-0.000166666666666667</v>
      </c>
      <c r="AT293" t="str">
        <f t="shared" si="266"/>
        <v>0.000445901797709455i</v>
      </c>
      <c r="AU293">
        <f t="shared" si="290"/>
        <v>4.4590179770945498E-4</v>
      </c>
      <c r="AV293">
        <f t="shared" si="291"/>
        <v>1.5707963267948966</v>
      </c>
      <c r="AW293" t="str">
        <f t="shared" si="267"/>
        <v>1+0.0812377817160492i</v>
      </c>
      <c r="AX293">
        <f t="shared" si="292"/>
        <v>1.0032943621779924</v>
      </c>
      <c r="AY293">
        <f t="shared" si="293"/>
        <v>8.10597743800196E-2</v>
      </c>
      <c r="AZ293" t="str">
        <f t="shared" si="268"/>
        <v>1+1.65358194396216i</v>
      </c>
      <c r="BA293">
        <f t="shared" si="294"/>
        <v>1.9324423006645441</v>
      </c>
      <c r="BB293">
        <f t="shared" si="295"/>
        <v>1.0268931272143973</v>
      </c>
      <c r="BC293" s="42" t="str">
        <f t="shared" si="296"/>
        <v>-0.583848804514238+0.421204958791553i</v>
      </c>
      <c r="BD293">
        <f t="shared" si="297"/>
        <v>-2.854246199097326</v>
      </c>
      <c r="BE293" s="44">
        <f t="shared" si="298"/>
        <v>144.19225924011786</v>
      </c>
      <c r="BF293" s="42" t="str">
        <f t="shared" si="299"/>
        <v>1.10485205563387+1.94024572805374i</v>
      </c>
      <c r="BG293" s="20">
        <f t="shared" si="300"/>
        <v>6.9768707720147303</v>
      </c>
      <c r="BH293" s="44">
        <f t="shared" si="301"/>
        <v>60.341115876898371</v>
      </c>
      <c r="BI293" s="42" t="str">
        <f t="shared" si="255"/>
        <v>3.05375765925279+11.9279240415611i</v>
      </c>
      <c r="BJ293" s="20">
        <f t="shared" si="302"/>
        <v>21.807015153767271</v>
      </c>
      <c r="BK293" s="44">
        <f t="shared" si="256"/>
        <v>75.63972080368616</v>
      </c>
      <c r="BL293">
        <f t="shared" si="303"/>
        <v>6.9768707720147303</v>
      </c>
      <c r="BM293" s="44">
        <f t="shared" si="304"/>
        <v>60.341115876898371</v>
      </c>
    </row>
    <row r="294" spans="14:65" x14ac:dyDescent="0.35">
      <c r="N294" s="9">
        <v>76</v>
      </c>
      <c r="O294" s="35">
        <f t="shared" si="305"/>
        <v>5754.399373371567</v>
      </c>
      <c r="P294" s="34" t="str">
        <f t="shared" si="257"/>
        <v>16.3709677419355</v>
      </c>
      <c r="Q294" s="4" t="str">
        <f t="shared" si="258"/>
        <v>1+5.31842473001667i</v>
      </c>
      <c r="R294" s="4">
        <f t="shared" si="269"/>
        <v>5.4116209779374689</v>
      </c>
      <c r="S294" s="4">
        <f t="shared" si="270"/>
        <v>1.3849406759099294</v>
      </c>
      <c r="T294" s="4" t="str">
        <f t="shared" si="259"/>
        <v>1+0.00578495321510586i</v>
      </c>
      <c r="U294" s="4">
        <f t="shared" si="271"/>
        <v>1.0000167327018588</v>
      </c>
      <c r="V294" s="4">
        <f t="shared" si="272"/>
        <v>5.7848886839300959E-3</v>
      </c>
      <c r="W294" t="str">
        <f t="shared" si="260"/>
        <v>1-0.0757061479425842i</v>
      </c>
      <c r="X294" s="4">
        <f t="shared" si="273"/>
        <v>1.0028616159951005</v>
      </c>
      <c r="Y294" s="4">
        <f t="shared" si="274"/>
        <v>-7.55620086945515E-2</v>
      </c>
      <c r="Z294" t="str">
        <f t="shared" si="261"/>
        <v>0.999971346144166+0.0149094976994118i</v>
      </c>
      <c r="AA294" s="4">
        <f t="shared" si="275"/>
        <v>1.0000824897132359</v>
      </c>
      <c r="AB294" s="4">
        <f t="shared" si="276"/>
        <v>1.4908820219029541E-2</v>
      </c>
      <c r="AC294" s="48" t="str">
        <f t="shared" si="277"/>
        <v>0.306385940468683-3.01809608944591i</v>
      </c>
      <c r="AD294" s="20">
        <f t="shared" si="278"/>
        <v>9.6391886771871924</v>
      </c>
      <c r="AE294" s="44">
        <f t="shared" si="279"/>
        <v>-84.203402564890638</v>
      </c>
      <c r="AF294" t="str">
        <f t="shared" si="280"/>
        <v>45.9520231294187</v>
      </c>
      <c r="AG294" t="str">
        <f t="shared" si="262"/>
        <v>1+2.55218524195846i</v>
      </c>
      <c r="AH294">
        <f t="shared" si="281"/>
        <v>2.7411037027574428</v>
      </c>
      <c r="AI294">
        <f t="shared" si="282"/>
        <v>1.1973605591514227</v>
      </c>
      <c r="AJ294" t="str">
        <f t="shared" si="263"/>
        <v>1+0.00578495321510586i</v>
      </c>
      <c r="AK294">
        <f t="shared" si="283"/>
        <v>1.0000167327018588</v>
      </c>
      <c r="AL294">
        <f t="shared" si="284"/>
        <v>5.7848886839300959E-3</v>
      </c>
      <c r="AM294" t="str">
        <f t="shared" si="264"/>
        <v>1-0.0129428370256384i</v>
      </c>
      <c r="AN294">
        <f t="shared" si="285"/>
        <v>1.0000837550076855</v>
      </c>
      <c r="AO294">
        <f t="shared" si="286"/>
        <v>-1.2942114383062696E-2</v>
      </c>
      <c r="AP294" s="42" t="str">
        <f t="shared" si="287"/>
        <v>6.00453891757328-15.653614852615i</v>
      </c>
      <c r="AQ294">
        <f t="shared" si="288"/>
        <v>24.488456204169758</v>
      </c>
      <c r="AR294" s="44">
        <f t="shared" si="289"/>
        <v>-69.013785420383712</v>
      </c>
      <c r="AS294" t="str">
        <f t="shared" si="265"/>
        <v>-0.000166666666666667</v>
      </c>
      <c r="AT294" t="str">
        <f t="shared" si="266"/>
        <v>0.000456288184841475i</v>
      </c>
      <c r="AU294">
        <f t="shared" si="290"/>
        <v>4.5628818484147498E-4</v>
      </c>
      <c r="AV294">
        <f t="shared" si="291"/>
        <v>1.5707963267948966</v>
      </c>
      <c r="AW294" t="str">
        <f t="shared" si="267"/>
        <v>1+0.0831300527384665i</v>
      </c>
      <c r="AX294">
        <f t="shared" si="292"/>
        <v>1.0034493538132854</v>
      </c>
      <c r="AY294">
        <f t="shared" si="293"/>
        <v>8.2939349835147502E-2</v>
      </c>
      <c r="AZ294" t="str">
        <f t="shared" si="268"/>
        <v>1+1.69209881541846i</v>
      </c>
      <c r="BA294">
        <f t="shared" si="294"/>
        <v>1.9655020735528506</v>
      </c>
      <c r="BB294">
        <f t="shared" si="295"/>
        <v>1.037034071719295</v>
      </c>
      <c r="BC294" s="42" t="str">
        <f t="shared" si="296"/>
        <v>-0.583668457211185+0.413786623127706i</v>
      </c>
      <c r="BD294">
        <f t="shared" si="297"/>
        <v>-2.9082484990101474</v>
      </c>
      <c r="BE294" s="44">
        <f t="shared" si="298"/>
        <v>144.66560081966975</v>
      </c>
      <c r="BF294" s="42" t="str">
        <f t="shared" si="299"/>
        <v>1.0700199799422+1.88834589192235i</v>
      </c>
      <c r="BG294" s="20">
        <f t="shared" si="300"/>
        <v>6.7309401781770459</v>
      </c>
      <c r="BH294" s="44">
        <f t="shared" si="301"/>
        <v>60.462198254779231</v>
      </c>
      <c r="BI294" s="42" t="str">
        <f t="shared" si="255"/>
        <v>2.97259646332075+11.6211191129454i</v>
      </c>
      <c r="BJ294" s="20">
        <f t="shared" si="302"/>
        <v>21.580207705159594</v>
      </c>
      <c r="BK294" s="44">
        <f t="shared" si="256"/>
        <v>75.651815399286008</v>
      </c>
      <c r="BL294">
        <f t="shared" si="303"/>
        <v>6.7309401781770459</v>
      </c>
      <c r="BM294" s="44">
        <f t="shared" si="304"/>
        <v>60.462198254779231</v>
      </c>
    </row>
    <row r="295" spans="14:65" x14ac:dyDescent="0.35">
      <c r="N295" s="9">
        <v>77</v>
      </c>
      <c r="O295" s="35">
        <f t="shared" si="305"/>
        <v>5888.4365535558973</v>
      </c>
      <c r="P295" s="34" t="str">
        <f t="shared" si="257"/>
        <v>16.3709677419355</v>
      </c>
      <c r="Q295" s="4" t="str">
        <f t="shared" si="258"/>
        <v>1+5.44230675619874i</v>
      </c>
      <c r="R295" s="4">
        <f t="shared" si="269"/>
        <v>5.5334169216286657</v>
      </c>
      <c r="S295" s="4">
        <f t="shared" si="270"/>
        <v>1.3890777068915832</v>
      </c>
      <c r="T295" s="4" t="str">
        <f t="shared" si="259"/>
        <v>1+0.00591970208568986i</v>
      </c>
      <c r="U295" s="4">
        <f t="shared" si="271"/>
        <v>1.0000175212828939</v>
      </c>
      <c r="V295" s="4">
        <f t="shared" si="272"/>
        <v>5.9196329393546715E-3</v>
      </c>
      <c r="W295" t="str">
        <f t="shared" si="260"/>
        <v>1-0.0774695706622167i</v>
      </c>
      <c r="X295" s="4">
        <f t="shared" si="273"/>
        <v>1.0029962783473267</v>
      </c>
      <c r="Y295" s="4">
        <f t="shared" si="274"/>
        <v>-7.7315147583358154E-2</v>
      </c>
      <c r="Z295" t="str">
        <f t="shared" si="261"/>
        <v>0.999969995729544+0.0152567845142342i</v>
      </c>
      <c r="AA295" s="4">
        <f t="shared" si="275"/>
        <v>1.0000863771860198</v>
      </c>
      <c r="AB295" s="4">
        <f t="shared" si="276"/>
        <v>1.5256058584188327E-2</v>
      </c>
      <c r="AC295" s="48" t="str">
        <f t="shared" si="277"/>
        <v>0.281660541472765-2.95382589838844i</v>
      </c>
      <c r="AD295" s="20">
        <f t="shared" si="278"/>
        <v>9.4470075652519281</v>
      </c>
      <c r="AE295" s="44">
        <f t="shared" si="279"/>
        <v>-84.553059454742353</v>
      </c>
      <c r="AF295" t="str">
        <f t="shared" si="280"/>
        <v>45.9520231294187</v>
      </c>
      <c r="AG295" t="str">
        <f t="shared" si="262"/>
        <v>1+2.61163327309846i</v>
      </c>
      <c r="AH295">
        <f t="shared" si="281"/>
        <v>2.7965386378798662</v>
      </c>
      <c r="AI295">
        <f t="shared" si="282"/>
        <v>1.2051158044445653</v>
      </c>
      <c r="AJ295" t="str">
        <f t="shared" si="263"/>
        <v>1+0.00591970208568986i</v>
      </c>
      <c r="AK295">
        <f t="shared" si="283"/>
        <v>1.0000175212828939</v>
      </c>
      <c r="AL295">
        <f t="shared" si="284"/>
        <v>5.9196329393546715E-3</v>
      </c>
      <c r="AM295" t="str">
        <f t="shared" si="264"/>
        <v>1-0.0132443144285677i</v>
      </c>
      <c r="AN295">
        <f t="shared" si="285"/>
        <v>1.0000877020865135</v>
      </c>
      <c r="AO295">
        <f t="shared" si="286"/>
        <v>-1.3243540106764418E-2</v>
      </c>
      <c r="AP295" s="42" t="str">
        <f t="shared" si="287"/>
        <v>5.7638080140991-15.3895335451667i</v>
      </c>
      <c r="AQ295">
        <f t="shared" si="288"/>
        <v>24.31459017913777</v>
      </c>
      <c r="AR295" s="44">
        <f t="shared" si="289"/>
        <v>-69.467678389424819</v>
      </c>
      <c r="AS295" t="str">
        <f t="shared" si="265"/>
        <v>-0.000166666666666667</v>
      </c>
      <c r="AT295" t="str">
        <f t="shared" si="266"/>
        <v>0.000466916502008788i</v>
      </c>
      <c r="AU295">
        <f t="shared" si="290"/>
        <v>4.66916502008788E-4</v>
      </c>
      <c r="AV295">
        <f t="shared" si="291"/>
        <v>1.5707963267948966</v>
      </c>
      <c r="AW295" t="str">
        <f t="shared" si="267"/>
        <v>1+0.0850664004152025i</v>
      </c>
      <c r="AX295">
        <f t="shared" si="292"/>
        <v>1.0036116243246687</v>
      </c>
      <c r="AY295">
        <f t="shared" si="293"/>
        <v>8.4862098267183106E-2</v>
      </c>
      <c r="AZ295" t="str">
        <f t="shared" si="268"/>
        <v>1+1.73151286006428i</v>
      </c>
      <c r="BA295">
        <f t="shared" si="294"/>
        <v>1.9995341418860502</v>
      </c>
      <c r="BB295">
        <f t="shared" si="295"/>
        <v>1.0470630329868431</v>
      </c>
      <c r="BC295" s="42" t="str">
        <f t="shared" si="296"/>
        <v>-0.583479729779395+0.406586279260111i</v>
      </c>
      <c r="BD295">
        <f t="shared" si="297"/>
        <v>-2.9605466491579091</v>
      </c>
      <c r="BE295" s="44">
        <f t="shared" si="298"/>
        <v>145.13005260297936</v>
      </c>
      <c r="BF295" s="42" t="str">
        <f t="shared" si="299"/>
        <v>1.03664186497986+1.83801684857887i</v>
      </c>
      <c r="BG295" s="20">
        <f t="shared" si="300"/>
        <v>6.4864609160940301</v>
      </c>
      <c r="BH295" s="44">
        <f t="shared" si="301"/>
        <v>60.576993148237158</v>
      </c>
      <c r="BI295" s="42" t="str">
        <f t="shared" si="255"/>
        <v>2.89410804111114+11.322966129187i</v>
      </c>
      <c r="BJ295" s="20">
        <f t="shared" si="302"/>
        <v>21.354043529979883</v>
      </c>
      <c r="BK295" s="44">
        <f t="shared" si="256"/>
        <v>75.662374213554585</v>
      </c>
      <c r="BL295">
        <f t="shared" si="303"/>
        <v>6.4864609160940301</v>
      </c>
      <c r="BM295" s="44">
        <f t="shared" si="304"/>
        <v>60.576993148237158</v>
      </c>
    </row>
    <row r="296" spans="14:65" x14ac:dyDescent="0.35">
      <c r="N296" s="9">
        <v>78</v>
      </c>
      <c r="O296" s="35">
        <f t="shared" si="305"/>
        <v>6025.595860743585</v>
      </c>
      <c r="P296" s="34" t="str">
        <f t="shared" si="257"/>
        <v>16.3709677419355</v>
      </c>
      <c r="Q296" s="4" t="str">
        <f t="shared" si="258"/>
        <v>1+5.56907436546037i</v>
      </c>
      <c r="R296" s="4">
        <f t="shared" si="269"/>
        <v>5.6581436256097124</v>
      </c>
      <c r="S296" s="4">
        <f t="shared" si="270"/>
        <v>1.3931266542031504</v>
      </c>
      <c r="T296" s="4" t="str">
        <f t="shared" si="259"/>
        <v>1+0.00605758966067619i</v>
      </c>
      <c r="U296" s="4">
        <f t="shared" si="271"/>
        <v>1.0000183470279418</v>
      </c>
      <c r="V296" s="4">
        <f t="shared" si="272"/>
        <v>6.0575155691165649E-3</v>
      </c>
      <c r="W296" t="str">
        <f t="shared" si="260"/>
        <v>1-0.079274068773645i</v>
      </c>
      <c r="X296" s="4">
        <f t="shared" si="273"/>
        <v>1.0031372677654482</v>
      </c>
      <c r="Y296" s="4">
        <f t="shared" si="274"/>
        <v>-7.9108629399790145E-2</v>
      </c>
      <c r="Z296" t="str">
        <f t="shared" si="261"/>
        <v>0.999968581671843+0.0156121606781534i</v>
      </c>
      <c r="AA296" s="4">
        <f t="shared" si="275"/>
        <v>1.0000904478555115</v>
      </c>
      <c r="AB296" s="4">
        <f t="shared" si="276"/>
        <v>1.5611382833755676E-2</v>
      </c>
      <c r="AC296" s="48" t="str">
        <f t="shared" si="277"/>
        <v>0.25797693345715-2.89072555957946i</v>
      </c>
      <c r="AD296" s="20">
        <f t="shared" si="278"/>
        <v>9.254588788054857</v>
      </c>
      <c r="AE296" s="44">
        <f t="shared" si="279"/>
        <v>-84.900264472986322</v>
      </c>
      <c r="AF296" t="str">
        <f t="shared" si="280"/>
        <v>45.9520231294187</v>
      </c>
      <c r="AG296" t="str">
        <f t="shared" si="262"/>
        <v>1+2.6724660267689i</v>
      </c>
      <c r="AH296">
        <f t="shared" si="281"/>
        <v>2.8534320850922579</v>
      </c>
      <c r="AI296">
        <f t="shared" si="282"/>
        <v>1.2127392853720482</v>
      </c>
      <c r="AJ296" t="str">
        <f t="shared" si="263"/>
        <v>1+0.00605758966067619i</v>
      </c>
      <c r="AK296">
        <f t="shared" si="283"/>
        <v>1.0000183470279418</v>
      </c>
      <c r="AL296">
        <f t="shared" si="284"/>
        <v>6.0575155691165649E-3</v>
      </c>
      <c r="AM296" t="str">
        <f t="shared" si="264"/>
        <v>1-0.0135528141423162i</v>
      </c>
      <c r="AN296">
        <f t="shared" si="285"/>
        <v>1.0000918351687389</v>
      </c>
      <c r="AO296">
        <f t="shared" si="286"/>
        <v>-1.355198444567033E-2</v>
      </c>
      <c r="AP296" s="42" t="str">
        <f t="shared" si="287"/>
        <v>5.5311876679038-15.1263318588965i</v>
      </c>
      <c r="AQ296">
        <f t="shared" si="288"/>
        <v>24.139698922608432</v>
      </c>
      <c r="AR296" s="44">
        <f t="shared" si="289"/>
        <v>-69.91424413784857</v>
      </c>
      <c r="AS296" t="str">
        <f t="shared" si="265"/>
        <v>-0.000166666666666667</v>
      </c>
      <c r="AT296" t="str">
        <f t="shared" si="266"/>
        <v>0.000477792384485835i</v>
      </c>
      <c r="AU296">
        <f t="shared" si="290"/>
        <v>4.7779238448583498E-4</v>
      </c>
      <c r="AV296">
        <f t="shared" si="291"/>
        <v>1.5707963267948966</v>
      </c>
      <c r="AW296" t="str">
        <f t="shared" si="267"/>
        <v>1+0.0870478514234254i</v>
      </c>
      <c r="AX296">
        <f t="shared" si="292"/>
        <v>1.0037815142935413</v>
      </c>
      <c r="AY296">
        <f t="shared" si="293"/>
        <v>8.6828982244561259E-2</v>
      </c>
      <c r="AZ296" t="str">
        <f t="shared" si="268"/>
        <v>1+1.77184497574778i</v>
      </c>
      <c r="BA296">
        <f t="shared" si="294"/>
        <v>2.0345600551673702</v>
      </c>
      <c r="BB296">
        <f t="shared" si="295"/>
        <v>1.056977258220152</v>
      </c>
      <c r="BC296" s="42" t="str">
        <f t="shared" si="296"/>
        <v>-0.583282238665901+0.399600010563839i</v>
      </c>
      <c r="BD296">
        <f t="shared" si="297"/>
        <v>-3.0111830679833957</v>
      </c>
      <c r="BE296" s="44">
        <f t="shared" si="298"/>
        <v>145.58540171529438</v>
      </c>
      <c r="BF296" s="42" t="str">
        <f t="shared" si="299"/>
        <v>1.00466060087406+1.78919646109495i</v>
      </c>
      <c r="BG296" s="20">
        <f t="shared" si="300"/>
        <v>6.2434057200714541</v>
      </c>
      <c r="BH296" s="44">
        <f t="shared" si="301"/>
        <v>60.685137242308066</v>
      </c>
      <c r="BI296" s="42" t="str">
        <f t="shared" si="255"/>
        <v>2.81823884519102+11.0331833599854i</v>
      </c>
      <c r="BJ296" s="20">
        <f t="shared" si="302"/>
        <v>21.128515854625014</v>
      </c>
      <c r="BK296" s="44">
        <f t="shared" si="256"/>
        <v>75.671157577445811</v>
      </c>
      <c r="BL296">
        <f t="shared" si="303"/>
        <v>6.2434057200714541</v>
      </c>
      <c r="BM296" s="44">
        <f t="shared" si="304"/>
        <v>60.685137242308066</v>
      </c>
    </row>
    <row r="297" spans="14:65" x14ac:dyDescent="0.35">
      <c r="N297" s="9">
        <v>79</v>
      </c>
      <c r="O297" s="35">
        <f t="shared" si="305"/>
        <v>6165.9500186148289</v>
      </c>
      <c r="P297" s="34" t="str">
        <f t="shared" si="257"/>
        <v>16.3709677419355</v>
      </c>
      <c r="Q297" s="4" t="str">
        <f t="shared" si="258"/>
        <v>1+5.69879477166599i</v>
      </c>
      <c r="R297" s="4">
        <f t="shared" si="269"/>
        <v>5.7858674241264483</v>
      </c>
      <c r="S297" s="4">
        <f t="shared" si="270"/>
        <v>1.397089133361874</v>
      </c>
      <c r="T297" s="4" t="str">
        <f t="shared" si="259"/>
        <v>1+0.0061986890498823i</v>
      </c>
      <c r="U297" s="4">
        <f t="shared" si="271"/>
        <v>1.0000192116884241</v>
      </c>
      <c r="V297" s="4">
        <f t="shared" si="272"/>
        <v>6.1986096594281804E-3</v>
      </c>
      <c r="W297" t="str">
        <f t="shared" si="260"/>
        <v>1-0.0811205990456536i</v>
      </c>
      <c r="X297" s="4">
        <f t="shared" si="273"/>
        <v>1.0032848805745682</v>
      </c>
      <c r="Y297" s="4">
        <f t="shared" si="274"/>
        <v>-8.0943358894896317E-2</v>
      </c>
      <c r="Z297" t="str">
        <f t="shared" si="261"/>
        <v>0.999967100971654+0.0159758146163155i</v>
      </c>
      <c r="AA297" s="4">
        <f t="shared" si="275"/>
        <v>1.0000947103541289</v>
      </c>
      <c r="AB297" s="4">
        <f t="shared" si="276"/>
        <v>1.5974981145134199E-2</v>
      </c>
      <c r="AC297" s="48" t="str">
        <f t="shared" si="277"/>
        <v>0.235294208343874-2.82878643144744i</v>
      </c>
      <c r="AD297" s="20">
        <f t="shared" si="278"/>
        <v>9.0619471072377173</v>
      </c>
      <c r="AE297" s="44">
        <f t="shared" si="279"/>
        <v>-85.24516861459847</v>
      </c>
      <c r="AF297" t="str">
        <f t="shared" si="280"/>
        <v>45.9520231294187</v>
      </c>
      <c r="AG297" t="str">
        <f t="shared" si="262"/>
        <v>1+2.73471575730101i</v>
      </c>
      <c r="AH297">
        <f t="shared" si="281"/>
        <v>2.911815631737428</v>
      </c>
      <c r="AI297">
        <f t="shared" si="282"/>
        <v>1.2202314985397995</v>
      </c>
      <c r="AJ297" t="str">
        <f t="shared" si="263"/>
        <v>1+0.0061986890498823i</v>
      </c>
      <c r="AK297">
        <f t="shared" si="283"/>
        <v>1.0000192116884241</v>
      </c>
      <c r="AL297">
        <f t="shared" si="284"/>
        <v>6.1986096594281804E-3</v>
      </c>
      <c r="AM297" t="str">
        <f t="shared" si="264"/>
        <v>1-0.0138684997375156i</v>
      </c>
      <c r="AN297">
        <f t="shared" si="285"/>
        <v>1.0000961630188216</v>
      </c>
      <c r="AO297">
        <f t="shared" si="286"/>
        <v>-1.3867610706158899E-2</v>
      </c>
      <c r="AP297" s="42" t="str">
        <f t="shared" si="287"/>
        <v>5.30650912458077-14.864237437369i</v>
      </c>
      <c r="AQ297">
        <f t="shared" si="288"/>
        <v>23.963817363406235</v>
      </c>
      <c r="AR297" s="44">
        <f t="shared" si="289"/>
        <v>-70.353516288313457</v>
      </c>
      <c r="AS297" t="str">
        <f t="shared" si="265"/>
        <v>-0.000166666666666667</v>
      </c>
      <c r="AT297" t="str">
        <f t="shared" si="266"/>
        <v>0.000488921598809467i</v>
      </c>
      <c r="AU297">
        <f t="shared" si="290"/>
        <v>4.8892159880946698E-4</v>
      </c>
      <c r="AV297">
        <f t="shared" si="291"/>
        <v>1.5707963267948966</v>
      </c>
      <c r="AW297" t="str">
        <f t="shared" si="267"/>
        <v>1+0.0890754563546875i</v>
      </c>
      <c r="AX297">
        <f t="shared" si="292"/>
        <v>1.0039593801169426</v>
      </c>
      <c r="AY297">
        <f t="shared" si="293"/>
        <v>8.8840983728196932E-2</v>
      </c>
      <c r="AZ297" t="str">
        <f t="shared" si="268"/>
        <v>1+1.81311654709057i</v>
      </c>
      <c r="BA297">
        <f t="shared" si="294"/>
        <v>2.070601751504531</v>
      </c>
      <c r="BB297">
        <f t="shared" si="295"/>
        <v>1.0667742075254312</v>
      </c>
      <c r="BC297" s="42" t="str">
        <f t="shared" si="296"/>
        <v>-0.583075583321741+0.392824007021549i</v>
      </c>
      <c r="BD297">
        <f t="shared" si="297"/>
        <v>-3.0602007670774576</v>
      </c>
      <c r="BE297" s="44">
        <f t="shared" si="298"/>
        <v>146.0314463692041</v>
      </c>
      <c r="BF297" s="42" t="str">
        <f t="shared" si="299"/>
        <v>0.97402091322704+1.74182551235945i</v>
      </c>
      <c r="BG297" s="20">
        <f t="shared" si="300"/>
        <v>6.0017463401602713</v>
      </c>
      <c r="BH297" s="44">
        <f t="shared" si="301"/>
        <v>60.786277754605706</v>
      </c>
      <c r="BI297" s="42" t="str">
        <f t="shared" si="255"/>
        <v>2.74493340824994+10.751498092041i</v>
      </c>
      <c r="BJ297" s="20">
        <f t="shared" si="302"/>
        <v>20.90361659632876</v>
      </c>
      <c r="BK297" s="44">
        <f t="shared" si="256"/>
        <v>75.677930080890619</v>
      </c>
      <c r="BL297">
        <f t="shared" si="303"/>
        <v>6.0017463401602713</v>
      </c>
      <c r="BM297" s="44">
        <f t="shared" si="304"/>
        <v>60.786277754605706</v>
      </c>
    </row>
    <row r="298" spans="14:65" x14ac:dyDescent="0.35">
      <c r="N298" s="9">
        <v>80</v>
      </c>
      <c r="O298" s="35">
        <f t="shared" si="305"/>
        <v>6309.5734448019384</v>
      </c>
      <c r="P298" s="34" t="str">
        <f t="shared" si="257"/>
        <v>16.3709677419355</v>
      </c>
      <c r="Q298" s="4" t="str">
        <f t="shared" si="258"/>
        <v>1+5.831536754292i</v>
      </c>
      <c r="R298" s="4">
        <f t="shared" si="269"/>
        <v>5.9166562276896295</v>
      </c>
      <c r="S298" s="4">
        <f t="shared" si="270"/>
        <v>1.4009667473530909</v>
      </c>
      <c r="T298" s="4" t="str">
        <f t="shared" si="259"/>
        <v>1+0.006343075066072i</v>
      </c>
      <c r="U298" s="4">
        <f t="shared" si="271"/>
        <v>1.0000201170982981</v>
      </c>
      <c r="V298" s="4">
        <f t="shared" si="272"/>
        <v>6.3429899977601846E-3</v>
      </c>
      <c r="W298" t="str">
        <f t="shared" si="260"/>
        <v>1-0.083010140533034i</v>
      </c>
      <c r="X298" s="4">
        <f t="shared" si="273"/>
        <v>1.0034394268870015</v>
      </c>
      <c r="Y298" s="4">
        <f t="shared" si="274"/>
        <v>-8.282025942998103E-2</v>
      </c>
      <c r="Z298" t="str">
        <f t="shared" si="261"/>
        <v>0.999965550488216+0.0163479391428521i</v>
      </c>
      <c r="AA298" s="4">
        <f t="shared" si="275"/>
        <v>1.0000991737209961</v>
      </c>
      <c r="AB298" s="4">
        <f t="shared" si="276"/>
        <v>1.6347046066999403E-2</v>
      </c>
      <c r="AC298" s="48" t="str">
        <f t="shared" si="277"/>
        <v>0.21357280944949-2.76799900140392i</v>
      </c>
      <c r="AD298" s="20">
        <f t="shared" si="278"/>
        <v>8.8690969145785044</v>
      </c>
      <c r="AE298" s="44">
        <f t="shared" si="279"/>
        <v>-85.587923375798923</v>
      </c>
      <c r="AF298" t="str">
        <f t="shared" si="280"/>
        <v>45.9520231294187</v>
      </c>
      <c r="AG298" t="str">
        <f t="shared" si="262"/>
        <v>1+2.79841547032588i</v>
      </c>
      <c r="AH298">
        <f t="shared" si="281"/>
        <v>2.9717215792464837</v>
      </c>
      <c r="AI298">
        <f t="shared" si="282"/>
        <v>1.2275930509316979</v>
      </c>
      <c r="AJ298" t="str">
        <f t="shared" si="263"/>
        <v>1+0.006343075066072i</v>
      </c>
      <c r="AK298">
        <f t="shared" si="283"/>
        <v>1.0000201170982981</v>
      </c>
      <c r="AL298">
        <f t="shared" si="284"/>
        <v>6.3429899977601846E-3</v>
      </c>
      <c r="AM298" t="str">
        <f t="shared" si="264"/>
        <v>1-0.0141915385948472i</v>
      </c>
      <c r="AN298">
        <f t="shared" si="285"/>
        <v>1.0001006948141218</v>
      </c>
      <c r="AO298">
        <f t="shared" si="286"/>
        <v>-1.4190585985765648E-2</v>
      </c>
      <c r="AP298" s="42" t="str">
        <f t="shared" si="287"/>
        <v>5.08959869008547-14.6034644896902i</v>
      </c>
      <c r="AQ298">
        <f t="shared" si="288"/>
        <v>23.786979691189639</v>
      </c>
      <c r="AR298" s="44">
        <f t="shared" si="289"/>
        <v>-70.785534907411133</v>
      </c>
      <c r="AS298" t="str">
        <f t="shared" si="265"/>
        <v>-0.000166666666666667</v>
      </c>
      <c r="AT298" t="str">
        <f t="shared" si="266"/>
        <v>0.000500310045836429i</v>
      </c>
      <c r="AU298">
        <f t="shared" si="290"/>
        <v>5.0031004583642896E-4</v>
      </c>
      <c r="AV298">
        <f t="shared" si="291"/>
        <v>1.5707963267948966</v>
      </c>
      <c r="AW298" t="str">
        <f t="shared" si="267"/>
        <v>1+0.0911502902719618i</v>
      </c>
      <c r="AX298">
        <f t="shared" si="292"/>
        <v>1.0041455947304967</v>
      </c>
      <c r="AY298">
        <f t="shared" si="293"/>
        <v>9.0899104312724688E-2</v>
      </c>
      <c r="AZ298" t="str">
        <f t="shared" si="268"/>
        <v>1+1.85534945682606i</v>
      </c>
      <c r="BA298">
        <f t="shared" si="294"/>
        <v>2.1076815715246826</v>
      </c>
      <c r="BB298">
        <f t="shared" si="295"/>
        <v>1.076451552158165</v>
      </c>
      <c r="BC298" s="42" t="str">
        <f t="shared" si="296"/>
        <v>-0.582859345502453+0.386254562731121i</v>
      </c>
      <c r="BD298">
        <f t="shared" si="297"/>
        <v>-3.1076432533376934</v>
      </c>
      <c r="BE298" s="44">
        <f t="shared" si="298"/>
        <v>146.46799575033091</v>
      </c>
      <c r="BF298" s="42" t="str">
        <f t="shared" si="299"/>
        <v>0.944669335994601+1.6958475584349i</v>
      </c>
      <c r="BG298" s="20">
        <f t="shared" si="300"/>
        <v>5.7614536612408003</v>
      </c>
      <c r="BH298" s="44">
        <f t="shared" si="301"/>
        <v>60.880072374531977</v>
      </c>
      <c r="BI298" s="42" t="str">
        <f t="shared" si="255"/>
        <v>2.67413462945138+10.477646471045i</v>
      </c>
      <c r="BJ298" s="20">
        <f t="shared" si="302"/>
        <v>20.679336437851951</v>
      </c>
      <c r="BK298" s="44">
        <f t="shared" si="256"/>
        <v>75.682460842919838</v>
      </c>
      <c r="BL298">
        <f t="shared" si="303"/>
        <v>5.7614536612408003</v>
      </c>
      <c r="BM298" s="44">
        <f t="shared" si="304"/>
        <v>60.880072374531977</v>
      </c>
    </row>
    <row r="299" spans="14:65" x14ac:dyDescent="0.35">
      <c r="N299" s="9">
        <v>81</v>
      </c>
      <c r="O299" s="35">
        <f t="shared" si="305"/>
        <v>6456.5422903465615</v>
      </c>
      <c r="P299" s="34" t="str">
        <f t="shared" si="257"/>
        <v>16.3709677419355</v>
      </c>
      <c r="Q299" s="4" t="str">
        <f t="shared" si="258"/>
        <v>1+5.96737069489467i</v>
      </c>
      <c r="R299" s="4">
        <f t="shared" si="269"/>
        <v>6.0505795598676073</v>
      </c>
      <c r="S299" s="4">
        <f t="shared" si="270"/>
        <v>1.4047610854791712</v>
      </c>
      <c r="T299" s="4" t="str">
        <f t="shared" si="259"/>
        <v>1+0.00649082426462227i</v>
      </c>
      <c r="U299" s="4">
        <f t="shared" si="271"/>
        <v>1.0000210651779462</v>
      </c>
      <c r="V299" s="4">
        <f t="shared" si="272"/>
        <v>6.4907331123875978E-3</v>
      </c>
      <c r="W299" t="str">
        <f t="shared" si="260"/>
        <v>1-0.0849436950956945i</v>
      </c>
      <c r="X299" s="4">
        <f t="shared" si="273"/>
        <v>1.0036012312350511</v>
      </c>
      <c r="Y299" s="4">
        <f t="shared" si="274"/>
        <v>-8.4740273238201366E-2</v>
      </c>
      <c r="Z299" t="str">
        <f t="shared" si="261"/>
        <v>0.999963926932745+0.0167287315631128i</v>
      </c>
      <c r="AA299" s="4">
        <f t="shared" si="275"/>
        <v>1.0001038474210902</v>
      </c>
      <c r="AB299" s="4">
        <f t="shared" si="276"/>
        <v>1.6727774620266263E-2</v>
      </c>
      <c r="AC299" s="48" t="str">
        <f t="shared" si="277"/>
        <v>0.192774509433653-2.70835296279507i</v>
      </c>
      <c r="AD299" s="20">
        <f t="shared" si="278"/>
        <v>8.6760522531870716</v>
      </c>
      <c r="AE299" s="44">
        <f t="shared" si="279"/>
        <v>-85.92868070660883</v>
      </c>
      <c r="AF299" t="str">
        <f t="shared" si="280"/>
        <v>45.9520231294187</v>
      </c>
      <c r="AG299" t="str">
        <f t="shared" si="262"/>
        <v>1+2.86359894027452i</v>
      </c>
      <c r="AH299">
        <f t="shared" si="281"/>
        <v>3.0331829636112215</v>
      </c>
      <c r="AI299">
        <f t="shared" si="282"/>
        <v>1.234824653247361</v>
      </c>
      <c r="AJ299" t="str">
        <f t="shared" si="263"/>
        <v>1+0.00649082426462227i</v>
      </c>
      <c r="AK299">
        <f t="shared" si="283"/>
        <v>1.0000210651779462</v>
      </c>
      <c r="AL299">
        <f t="shared" si="284"/>
        <v>6.4907331123875978E-3</v>
      </c>
      <c r="AM299" t="str">
        <f t="shared" si="264"/>
        <v>1-0.0145221019937891i</v>
      </c>
      <c r="AN299">
        <f t="shared" si="285"/>
        <v>1.0001054401643448</v>
      </c>
      <c r="AO299">
        <f t="shared" si="286"/>
        <v>-1.4521081260579979E-2</v>
      </c>
      <c r="AP299" s="42" t="str">
        <f t="shared" si="287"/>
        <v>4.88027857032118-14.3442140021856i</v>
      </c>
      <c r="AQ299">
        <f t="shared" si="288"/>
        <v>23.609219337052775</v>
      </c>
      <c r="AR299" s="44">
        <f t="shared" si="289"/>
        <v>-71.210346126691206</v>
      </c>
      <c r="AS299" t="str">
        <f t="shared" si="265"/>
        <v>-0.000166666666666667</v>
      </c>
      <c r="AT299" t="str">
        <f t="shared" si="266"/>
        <v>0.000511963763872081i</v>
      </c>
      <c r="AU299">
        <f t="shared" si="290"/>
        <v>5.1196376387208098E-4</v>
      </c>
      <c r="AV299">
        <f t="shared" si="291"/>
        <v>1.5707963267948966</v>
      </c>
      <c r="AW299" t="str">
        <f t="shared" si="267"/>
        <v>1+0.0932734532796553i</v>
      </c>
      <c r="AX299">
        <f t="shared" si="292"/>
        <v>1.004340548363309</v>
      </c>
      <c r="AY299">
        <f t="shared" si="293"/>
        <v>9.3004365459041158E-2</v>
      </c>
      <c r="AZ299" t="str">
        <f t="shared" si="268"/>
        <v>1+1.89856609740201i</v>
      </c>
      <c r="BA299">
        <f t="shared" si="294"/>
        <v>2.145822272744017</v>
      </c>
      <c r="BB299">
        <f t="shared" si="295"/>
        <v>1.0860071720616415</v>
      </c>
      <c r="BC299" s="42" t="str">
        <f t="shared" si="296"/>
        <v>-0.582633088545019+0.379888073437222i</v>
      </c>
      <c r="BD299">
        <f t="shared" si="297"/>
        <v>-3.1535544349098084</v>
      </c>
      <c r="BE299" s="44">
        <f t="shared" si="298"/>
        <v>146.89486986297456</v>
      </c>
      <c r="BF299" s="42" t="str">
        <f t="shared" si="299"/>
        <v>0.916554181400131+1.6512087885799i</v>
      </c>
      <c r="BG299" s="20">
        <f t="shared" si="300"/>
        <v>5.5224978182772597</v>
      </c>
      <c r="BH299" s="44">
        <f t="shared" si="301"/>
        <v>60.966189156365715</v>
      </c>
      <c r="BI299" s="42" t="str">
        <f t="shared" si="255"/>
        <v>2.60578404587521+10.2113733307604i</v>
      </c>
      <c r="BJ299" s="20">
        <f t="shared" si="302"/>
        <v>20.455664902142981</v>
      </c>
      <c r="BK299" s="44">
        <f t="shared" si="256"/>
        <v>75.684523736283396</v>
      </c>
      <c r="BL299">
        <f t="shared" si="303"/>
        <v>5.5224978182772597</v>
      </c>
      <c r="BM299" s="44">
        <f t="shared" si="304"/>
        <v>60.966189156365715</v>
      </c>
    </row>
    <row r="300" spans="14:65" x14ac:dyDescent="0.35">
      <c r="N300" s="9">
        <v>82</v>
      </c>
      <c r="O300" s="35">
        <f t="shared" si="305"/>
        <v>6606.9344800759654</v>
      </c>
      <c r="P300" s="34" t="str">
        <f t="shared" si="257"/>
        <v>16.3709677419355</v>
      </c>
      <c r="Q300" s="4" t="str">
        <f t="shared" si="258"/>
        <v>1+6.10636861442724i</v>
      </c>
      <c r="R300" s="4">
        <f t="shared" si="269"/>
        <v>6.1877085948889068</v>
      </c>
      <c r="S300" s="4">
        <f t="shared" si="270"/>
        <v>1.4084737223120878</v>
      </c>
      <c r="T300" s="4" t="str">
        <f t="shared" si="259"/>
        <v>1+0.00664201498411384i</v>
      </c>
      <c r="U300" s="4">
        <f t="shared" si="271"/>
        <v>1.0000220579382482</v>
      </c>
      <c r="V300" s="4">
        <f t="shared" si="272"/>
        <v>6.6419173128510279E-3</v>
      </c>
      <c r="W300" t="str">
        <f t="shared" si="260"/>
        <v>1-0.0869222879298571i</v>
      </c>
      <c r="X300" s="4">
        <f t="shared" si="273"/>
        <v>1.0037706332319953</v>
      </c>
      <c r="Y300" s="4">
        <f t="shared" si="274"/>
        <v>-8.6704361680480277E-2</v>
      </c>
      <c r="Z300" t="str">
        <f t="shared" si="261"/>
        <v>0.999962226861461+0.0171183937782792i</v>
      </c>
      <c r="AA300" s="4">
        <f t="shared" si="275"/>
        <v>1.0001087413652978</v>
      </c>
      <c r="AB300" s="4">
        <f t="shared" si="276"/>
        <v>1.7117368401346655E-2</v>
      </c>
      <c r="AC300" s="48" t="str">
        <f t="shared" si="277"/>
        <v>0.1728623863555-2.64983728766378i</v>
      </c>
      <c r="AD300" s="20">
        <f t="shared" si="278"/>
        <v>8.4828268386351233</v>
      </c>
      <c r="AE300" s="44">
        <f t="shared" si="279"/>
        <v>-86.267592969097606</v>
      </c>
      <c r="AF300" t="str">
        <f t="shared" si="280"/>
        <v>45.9520231294187</v>
      </c>
      <c r="AG300" t="str">
        <f t="shared" si="262"/>
        <v>1+2.93030072828551i</v>
      </c>
      <c r="AH300">
        <f t="shared" si="281"/>
        <v>3.0962335761680819</v>
      </c>
      <c r="AI300">
        <f t="shared" si="282"/>
        <v>1.2419271133563607</v>
      </c>
      <c r="AJ300" t="str">
        <f t="shared" si="263"/>
        <v>1+0.00664201498411384i</v>
      </c>
      <c r="AK300">
        <f t="shared" si="283"/>
        <v>1.0000220579382482</v>
      </c>
      <c r="AL300">
        <f t="shared" si="284"/>
        <v>6.6419173128510279E-3</v>
      </c>
      <c r="AM300" t="str">
        <f t="shared" si="264"/>
        <v>1-0.0148603652034307i</v>
      </c>
      <c r="AN300">
        <f t="shared" si="285"/>
        <v>1.0001104091319015</v>
      </c>
      <c r="AO300">
        <f t="shared" si="286"/>
        <v>-1.485927147461283E-2</v>
      </c>
      <c r="AP300" s="42" t="str">
        <f t="shared" si="287"/>
        <v>4.67836766382785-14.0866739918658i</v>
      </c>
      <c r="AQ300">
        <f t="shared" si="288"/>
        <v>23.430568957679721</v>
      </c>
      <c r="AR300" s="44">
        <f t="shared" si="289"/>
        <v>-71.62800177041801</v>
      </c>
      <c r="AS300" t="str">
        <f t="shared" si="265"/>
        <v>-0.000166666666666667</v>
      </c>
      <c r="AT300" t="str">
        <f t="shared" si="266"/>
        <v>0.000523888931871979i</v>
      </c>
      <c r="AU300">
        <f t="shared" si="290"/>
        <v>5.2388893187197902E-4</v>
      </c>
      <c r="AV300">
        <f t="shared" si="291"/>
        <v>1.5707963267948966</v>
      </c>
      <c r="AW300" t="str">
        <f t="shared" si="267"/>
        <v>1+0.0954460711068974i</v>
      </c>
      <c r="AX300">
        <f t="shared" si="292"/>
        <v>1.0045446493261228</v>
      </c>
      <c r="AY300">
        <f t="shared" si="293"/>
        <v>9.5157808717007186E-2</v>
      </c>
      <c r="AZ300" t="str">
        <f t="shared" si="268"/>
        <v>1+1.9427893828533i</v>
      </c>
      <c r="BA300">
        <f t="shared" si="294"/>
        <v>2.1850470443739893</v>
      </c>
      <c r="BB300">
        <f t="shared" si="295"/>
        <v>1.0954391527505747</v>
      </c>
      <c r="BC300" s="42" t="str">
        <f t="shared" si="296"/>
        <v>-0.582396356620981+0.373721034083564i</v>
      </c>
      <c r="BD300">
        <f t="shared" si="297"/>
        <v>-3.1979785312711244</v>
      </c>
      <c r="BE300" s="44">
        <f t="shared" si="298"/>
        <v>147.31189933879688</v>
      </c>
      <c r="BF300" s="42" t="str">
        <f t="shared" si="299"/>
        <v>0.889625507288643+1.60785789175674i</v>
      </c>
      <c r="BG300" s="20">
        <f t="shared" si="300"/>
        <v>5.2848483073640082</v>
      </c>
      <c r="BH300" s="44">
        <f t="shared" si="301"/>
        <v>61.044306369699314</v>
      </c>
      <c r="BI300" s="42" t="str">
        <f t="shared" si="255"/>
        <v>2.53982208869138+9.95243201091902i</v>
      </c>
      <c r="BJ300" s="20">
        <f t="shared" si="302"/>
        <v>20.232590426408592</v>
      </c>
      <c r="BK300" s="44">
        <f t="shared" si="256"/>
        <v>75.683897568378896</v>
      </c>
      <c r="BL300">
        <f t="shared" si="303"/>
        <v>5.2848483073640082</v>
      </c>
      <c r="BM300" s="44">
        <f t="shared" si="304"/>
        <v>61.044306369699314</v>
      </c>
    </row>
    <row r="301" spans="14:65" x14ac:dyDescent="0.35">
      <c r="N301" s="9">
        <v>83</v>
      </c>
      <c r="O301" s="35">
        <f t="shared" si="305"/>
        <v>6760.8297539198229</v>
      </c>
      <c r="P301" s="34" t="str">
        <f t="shared" si="257"/>
        <v>16.3709677419355</v>
      </c>
      <c r="Q301" s="4" t="str">
        <f t="shared" si="258"/>
        <v>1+6.24860421142653i</v>
      </c>
      <c r="R301" s="4">
        <f t="shared" si="269"/>
        <v>6.3281161960774215</v>
      </c>
      <c r="S301" s="4">
        <f t="shared" si="270"/>
        <v>1.4121062167439218</v>
      </c>
      <c r="T301" s="4" t="str">
        <f t="shared" si="259"/>
        <v>1+0.00679672738786746i</v>
      </c>
      <c r="U301" s="4">
        <f t="shared" si="271"/>
        <v>1.0000230974848456</v>
      </c>
      <c r="V301" s="4">
        <f t="shared" si="272"/>
        <v>6.796622731354343E-3</v>
      </c>
      <c r="W301" t="str">
        <f t="shared" si="260"/>
        <v>1-0.0889469681116327i</v>
      </c>
      <c r="X301" s="4">
        <f t="shared" si="273"/>
        <v>1.0039479882624656</v>
      </c>
      <c r="Y301" s="4">
        <f t="shared" si="274"/>
        <v>-8.8713505494832701E-2</v>
      </c>
      <c r="Z301" t="str">
        <f t="shared" si="261"/>
        <v>0.999960446668286+0.0175171323924155i</v>
      </c>
      <c r="AA301" s="4">
        <f t="shared" si="275"/>
        <v>1.0001138659314206</v>
      </c>
      <c r="AB301" s="4">
        <f t="shared" si="276"/>
        <v>1.7516033687746461E-2</v>
      </c>
      <c r="AC301" s="48" t="str">
        <f t="shared" si="277"/>
        <v>0.15380079811513-2.59244029545098i</v>
      </c>
      <c r="AD301" s="20">
        <f t="shared" si="278"/>
        <v>8.2894340800078314</v>
      </c>
      <c r="AE301" s="44">
        <f t="shared" si="279"/>
        <v>-86.604812900944708</v>
      </c>
      <c r="AF301" t="str">
        <f t="shared" si="280"/>
        <v>45.9520231294187</v>
      </c>
      <c r="AG301" t="str">
        <f t="shared" si="262"/>
        <v>1+2.99855620052975i</v>
      </c>
      <c r="AH301">
        <f t="shared" si="281"/>
        <v>3.1609079846992398</v>
      </c>
      <c r="AI301">
        <f t="shared" si="282"/>
        <v>1.2489013298884277</v>
      </c>
      <c r="AJ301" t="str">
        <f t="shared" si="263"/>
        <v>1+0.00679672738786746i</v>
      </c>
      <c r="AK301">
        <f t="shared" si="283"/>
        <v>1.0000230974848456</v>
      </c>
      <c r="AL301">
        <f t="shared" si="284"/>
        <v>6.796622731354343E-3</v>
      </c>
      <c r="AM301" t="str">
        <f t="shared" si="264"/>
        <v>1-0.0152065075754034i</v>
      </c>
      <c r="AN301">
        <f t="shared" si="285"/>
        <v>1.0001156122532238</v>
      </c>
      <c r="AO301">
        <f t="shared" si="286"/>
        <v>-1.520533563117716E-2</v>
      </c>
      <c r="AP301" s="42" t="str">
        <f t="shared" si="287"/>
        <v>4.48368230695742-13.8310197964237i</v>
      </c>
      <c r="AQ301">
        <f t="shared" si="288"/>
        <v>23.251060422845903</v>
      </c>
      <c r="AR301" s="44">
        <f t="shared" si="289"/>
        <v>-72.038558991179727</v>
      </c>
      <c r="AS301" t="str">
        <f t="shared" si="265"/>
        <v>-0.000166666666666667</v>
      </c>
      <c r="AT301" t="str">
        <f t="shared" si="266"/>
        <v>0.000536091872718046i</v>
      </c>
      <c r="AU301">
        <f t="shared" si="290"/>
        <v>5.3609187271804598E-4</v>
      </c>
      <c r="AV301">
        <f t="shared" si="291"/>
        <v>1.5707963267948966</v>
      </c>
      <c r="AW301" t="str">
        <f t="shared" si="267"/>
        <v>1+0.0976692957044187i</v>
      </c>
      <c r="AX301">
        <f t="shared" si="292"/>
        <v>1.0047583248340852</v>
      </c>
      <c r="AY301">
        <f t="shared" si="293"/>
        <v>9.7360495937093061E-2</v>
      </c>
      <c r="AZ301" t="str">
        <f t="shared" si="268"/>
        <v>1+1.98804276095123i</v>
      </c>
      <c r="BA301">
        <f t="shared" si="294"/>
        <v>2.2253795225467923</v>
      </c>
      <c r="BB301">
        <f t="shared" si="295"/>
        <v>1.1047457815941351</v>
      </c>
      <c r="BC301" s="42" t="str">
        <f t="shared" si="296"/>
        <v>-0.582148673965511+0.367750036382497i</v>
      </c>
      <c r="BD301">
        <f t="shared" si="297"/>
        <v>-3.2409599877632673</v>
      </c>
      <c r="BE301" s="44">
        <f t="shared" si="298"/>
        <v>147.71892521172938</v>
      </c>
      <c r="BF301" s="42" t="str">
        <f t="shared" si="299"/>
        <v>0.863835082293989+1.56574592943404i</v>
      </c>
      <c r="BG301" s="20">
        <f t="shared" si="300"/>
        <v>5.0484740922445583</v>
      </c>
      <c r="BH301" s="44">
        <f t="shared" si="301"/>
        <v>61.11411231078467</v>
      </c>
      <c r="BI301" s="42" t="str">
        <f t="shared" si="255"/>
        <v>2.47618832386397+9.70058416558994i</v>
      </c>
      <c r="BJ301" s="20">
        <f t="shared" si="302"/>
        <v>20.010100435082641</v>
      </c>
      <c r="BK301" s="44">
        <f t="shared" si="256"/>
        <v>75.680366220549672</v>
      </c>
      <c r="BL301">
        <f t="shared" si="303"/>
        <v>5.0484740922445583</v>
      </c>
      <c r="BM301" s="44">
        <f t="shared" si="304"/>
        <v>61.11411231078467</v>
      </c>
    </row>
    <row r="302" spans="14:65" x14ac:dyDescent="0.35">
      <c r="N302" s="9">
        <v>84</v>
      </c>
      <c r="O302" s="35">
        <f t="shared" si="305"/>
        <v>6918.3097091893687</v>
      </c>
      <c r="P302" s="34" t="str">
        <f t="shared" si="257"/>
        <v>16.3709677419355</v>
      </c>
      <c r="Q302" s="4" t="str">
        <f t="shared" si="258"/>
        <v>1+6.39415290108877i</v>
      </c>
      <c r="R302" s="4">
        <f t="shared" si="269"/>
        <v>6.4718769551422977</v>
      </c>
      <c r="S302" s="4">
        <f t="shared" si="270"/>
        <v>1.4156601111297598</v>
      </c>
      <c r="T302" s="4" t="str">
        <f t="shared" si="259"/>
        <v>1+0.00695504350644744i</v>
      </c>
      <c r="U302" s="4">
        <f t="shared" si="271"/>
        <v>1.0000241860226065</v>
      </c>
      <c r="V302" s="4">
        <f t="shared" si="272"/>
        <v>6.9549313651196976E-3</v>
      </c>
      <c r="W302" t="str">
        <f t="shared" si="260"/>
        <v>1-0.0910188091532534i</v>
      </c>
      <c r="X302" s="4">
        <f t="shared" si="273"/>
        <v>1.0041336682034301</v>
      </c>
      <c r="Y302" s="4">
        <f t="shared" si="274"/>
        <v>-9.0768705038113462E-2</v>
      </c>
      <c r="Z302" t="str">
        <f t="shared" si="261"/>
        <v>0.999958582577192+0.017925158822013i</v>
      </c>
      <c r="AA302" s="4">
        <f t="shared" si="275"/>
        <v>1.0001192319861574</v>
      </c>
      <c r="AB302" s="4">
        <f t="shared" si="276"/>
        <v>1.7923981546052837E-2</v>
      </c>
      <c r="AC302" s="48" t="str">
        <f t="shared" si="277"/>
        <v>0.135555355535216-2.5361497177706i</v>
      </c>
      <c r="AD302" s="20">
        <f t="shared" si="278"/>
        <v>8.0958871008660722</v>
      </c>
      <c r="AE302" s="44">
        <f t="shared" si="279"/>
        <v>-86.940493583942754</v>
      </c>
      <c r="AF302" t="str">
        <f t="shared" si="280"/>
        <v>45.9520231294187</v>
      </c>
      <c r="AG302" t="str">
        <f t="shared" si="262"/>
        <v>1+3.0684015469621i</v>
      </c>
      <c r="AH302">
        <f t="shared" si="281"/>
        <v>3.2272415548575553</v>
      </c>
      <c r="AI302">
        <f t="shared" si="282"/>
        <v>1.2557482859766431</v>
      </c>
      <c r="AJ302" t="str">
        <f t="shared" si="263"/>
        <v>1+0.00695504350644744i</v>
      </c>
      <c r="AK302">
        <f t="shared" si="283"/>
        <v>1.0000241860226065</v>
      </c>
      <c r="AL302">
        <f t="shared" si="284"/>
        <v>6.9549313651196976E-3</v>
      </c>
      <c r="AM302" t="str">
        <f t="shared" si="264"/>
        <v>1-0.0155607126389745i</v>
      </c>
      <c r="AN302">
        <f t="shared" si="285"/>
        <v>1.0001210605610866</v>
      </c>
      <c r="AO302">
        <f t="shared" si="286"/>
        <v>-1.5559456886320882E-2</v>
      </c>
      <c r="AP302" s="42" t="str">
        <f t="shared" si="287"/>
        <v>4.29603697136138-13.5774143957536i</v>
      </c>
      <c r="AQ302">
        <f t="shared" si="288"/>
        <v>23.070724806060593</v>
      </c>
      <c r="AR302" s="44">
        <f t="shared" si="289"/>
        <v>-72.442079914326172</v>
      </c>
      <c r="AS302" t="str">
        <f t="shared" si="265"/>
        <v>-0.000166666666666667</v>
      </c>
      <c r="AT302" t="str">
        <f t="shared" si="266"/>
        <v>0.000548579056571042i</v>
      </c>
      <c r="AU302">
        <f t="shared" si="290"/>
        <v>5.4857905657104201E-4</v>
      </c>
      <c r="AV302">
        <f t="shared" si="291"/>
        <v>1.5707963267948966</v>
      </c>
      <c r="AW302" t="str">
        <f t="shared" si="267"/>
        <v>1+0.0999443058553284i</v>
      </c>
      <c r="AX302">
        <f t="shared" si="292"/>
        <v>1.0049820218655174</v>
      </c>
      <c r="AY302">
        <f t="shared" si="293"/>
        <v>9.9613509469647685E-2</v>
      </c>
      <c r="AZ302" t="str">
        <f t="shared" si="268"/>
        <v>1+2.03435022563587i</v>
      </c>
      <c r="BA302">
        <f t="shared" si="294"/>
        <v>2.2668438059435663</v>
      </c>
      <c r="BB302">
        <f t="shared" si="295"/>
        <v>1.1139255435535869</v>
      </c>
      <c r="BC302" s="42" t="str">
        <f t="shared" si="296"/>
        <v>-0.581889544082336+0.361971766398516i</v>
      </c>
      <c r="BD302">
        <f t="shared" si="297"/>
        <v>-3.2825433948286316</v>
      </c>
      <c r="BE302" s="44">
        <f t="shared" si="298"/>
        <v>148.11579866233936</v>
      </c>
      <c r="BF302" s="42" t="str">
        <f t="shared" si="299"/>
        <v>0.839136349162216+1.52482621448594i</v>
      </c>
      <c r="BG302" s="20">
        <f t="shared" si="300"/>
        <v>4.8133437060374371</v>
      </c>
      <c r="BH302" s="44">
        <f t="shared" si="301"/>
        <v>61.175305078396612</v>
      </c>
      <c r="BI302" s="42" t="str">
        <f t="shared" si="255"/>
        <v>2.41482167732924+9.45559956359902i</v>
      </c>
      <c r="BJ302" s="20">
        <f t="shared" si="302"/>
        <v>19.78818141123196</v>
      </c>
      <c r="BK302" s="44">
        <f t="shared" si="256"/>
        <v>75.673718748013201</v>
      </c>
      <c r="BL302">
        <f t="shared" si="303"/>
        <v>4.8133437060374371</v>
      </c>
      <c r="BM302" s="44">
        <f t="shared" si="304"/>
        <v>61.175305078396612</v>
      </c>
    </row>
    <row r="303" spans="14:65" x14ac:dyDescent="0.35">
      <c r="N303" s="9">
        <v>85</v>
      </c>
      <c r="O303" s="35">
        <f t="shared" si="305"/>
        <v>7079.4578438413828</v>
      </c>
      <c r="P303" s="34" t="str">
        <f t="shared" si="257"/>
        <v>16.3709677419355</v>
      </c>
      <c r="Q303" s="4" t="str">
        <f t="shared" si="258"/>
        <v>1+6.54309185525579i</v>
      </c>
      <c r="R303" s="4">
        <f t="shared" si="269"/>
        <v>6.6190672323458575</v>
      </c>
      <c r="S303" s="4">
        <f t="shared" si="270"/>
        <v>1.4191369305176564</v>
      </c>
      <c r="T303" s="4" t="str">
        <f t="shared" si="259"/>
        <v>1+0.00711704728115542i</v>
      </c>
      <c r="U303" s="4">
        <f t="shared" si="271"/>
        <v>1.0000253258603016</v>
      </c>
      <c r="V303" s="4">
        <f t="shared" si="272"/>
        <v>7.1169271197221839E-3</v>
      </c>
      <c r="W303" t="str">
        <f t="shared" si="260"/>
        <v>1-0.0931389095722635i</v>
      </c>
      <c r="X303" s="4">
        <f t="shared" si="273"/>
        <v>1.004328062177051</v>
      </c>
      <c r="Y303" s="4">
        <f t="shared" si="274"/>
        <v>-9.2870980519137628E-2</v>
      </c>
      <c r="Z303" t="str">
        <f t="shared" si="261"/>
        <v>0.999956630634191+0.0183426894080854i</v>
      </c>
      <c r="AA303" s="4">
        <f t="shared" si="275"/>
        <v>1.0001248509081282</v>
      </c>
      <c r="AB303" s="4">
        <f t="shared" si="276"/>
        <v>1.8341427942361002E-2</v>
      </c>
      <c r="AC303" s="48" t="str">
        <f t="shared" si="277"/>
        <v>0.11809289431643-2.48095275939761i</v>
      </c>
      <c r="AD303" s="20">
        <f t="shared" si="278"/>
        <v>7.9021987601127384</v>
      </c>
      <c r="AE303" s="44">
        <f t="shared" si="279"/>
        <v>-87.274788417078668</v>
      </c>
      <c r="AF303" t="str">
        <f t="shared" si="280"/>
        <v>45.9520231294187</v>
      </c>
      <c r="AG303" t="str">
        <f t="shared" si="262"/>
        <v>1+3.13987380050974i</v>
      </c>
      <c r="AH303">
        <f t="shared" si="281"/>
        <v>3.2952704719229771</v>
      </c>
      <c r="AI303">
        <f t="shared" si="282"/>
        <v>1.2624690431681598</v>
      </c>
      <c r="AJ303" t="str">
        <f t="shared" si="263"/>
        <v>1+0.00711704728115542i</v>
      </c>
      <c r="AK303">
        <f t="shared" si="283"/>
        <v>1.0000253258603016</v>
      </c>
      <c r="AL303">
        <f t="shared" si="284"/>
        <v>7.1169271197221839E-3</v>
      </c>
      <c r="AM303" t="str">
        <f t="shared" si="264"/>
        <v>1-0.0159231681983571i</v>
      </c>
      <c r="AN303">
        <f t="shared" si="285"/>
        <v>1.0001267656079769</v>
      </c>
      <c r="AO303">
        <f t="shared" si="286"/>
        <v>-1.5921822644357167E-2</v>
      </c>
      <c r="AP303" s="42" t="str">
        <f t="shared" si="287"/>
        <v>4.11524491400996-13.3260087602485i</v>
      </c>
      <c r="AQ303">
        <f t="shared" si="288"/>
        <v>22.88959237814489</v>
      </c>
      <c r="AR303" s="44">
        <f t="shared" si="289"/>
        <v>-72.838631292070048</v>
      </c>
      <c r="AS303" t="str">
        <f t="shared" si="265"/>
        <v>-0.000166666666666667</v>
      </c>
      <c r="AT303" t="str">
        <f t="shared" si="266"/>
        <v>0.000561357104301135i</v>
      </c>
      <c r="AU303">
        <f t="shared" si="290"/>
        <v>5.6135710430113496E-4</v>
      </c>
      <c r="AV303">
        <f t="shared" si="291"/>
        <v>1.5707963267948966</v>
      </c>
      <c r="AW303" t="str">
        <f t="shared" si="267"/>
        <v>1+0.102272307800122i</v>
      </c>
      <c r="AX303">
        <f t="shared" si="292"/>
        <v>1.0052162080581286</v>
      </c>
      <c r="AY303">
        <f t="shared" si="293"/>
        <v>0.10191795235039552</v>
      </c>
      <c r="AZ303" t="str">
        <f t="shared" si="268"/>
        <v>1+2.08173632973796i</v>
      </c>
      <c r="BA303">
        <f t="shared" si="294"/>
        <v>2.3094644718096164</v>
      </c>
      <c r="BB303">
        <f t="shared" si="295"/>
        <v>1.1229771164299496</v>
      </c>
      <c r="BC303" s="42" t="str">
        <f t="shared" si="296"/>
        <v>-0.581618448924455+0.356383002142096i</v>
      </c>
      <c r="BD303">
        <f t="shared" si="297"/>
        <v>-3.3227734121559438</v>
      </c>
      <c r="BE303" s="44">
        <f t="shared" si="298"/>
        <v>148.5023807349142</v>
      </c>
      <c r="BF303" s="42" t="str">
        <f t="shared" si="299"/>
        <v>0.815484386545516+1.48505419598382i</v>
      </c>
      <c r="BG303" s="20">
        <f t="shared" si="300"/>
        <v>4.5794253479567821</v>
      </c>
      <c r="BH303" s="44">
        <f t="shared" si="301"/>
        <v>61.22759231783548</v>
      </c>
      <c r="BI303" s="42" t="str">
        <f t="shared" si="255"/>
        <v>2.35566064471851+9.21725588249429i</v>
      </c>
      <c r="BJ303" s="20">
        <f t="shared" si="302"/>
        <v>19.566818965988947</v>
      </c>
      <c r="BK303" s="44">
        <f t="shared" si="256"/>
        <v>75.663749442844122</v>
      </c>
      <c r="BL303">
        <f t="shared" si="303"/>
        <v>4.5794253479567821</v>
      </c>
      <c r="BM303" s="44">
        <f t="shared" si="304"/>
        <v>61.22759231783548</v>
      </c>
    </row>
    <row r="304" spans="14:65" x14ac:dyDescent="0.35">
      <c r="N304" s="9">
        <v>86</v>
      </c>
      <c r="O304" s="35">
        <f t="shared" si="305"/>
        <v>7244.3596007499036</v>
      </c>
      <c r="P304" s="34" t="str">
        <f t="shared" si="257"/>
        <v>16.3709677419355</v>
      </c>
      <c r="Q304" s="4" t="str">
        <f t="shared" si="258"/>
        <v>1+6.69550004333254i</v>
      </c>
      <c r="R304" s="4">
        <f t="shared" si="269"/>
        <v>6.7697651975726636</v>
      </c>
      <c r="S304" s="4">
        <f t="shared" si="270"/>
        <v>1.4225381819605107</v>
      </c>
      <c r="T304" s="4" t="str">
        <f t="shared" si="259"/>
        <v>1+0.00728282460853715i</v>
      </c>
      <c r="U304" s="4">
        <f t="shared" si="271"/>
        <v>1.0000265194154998</v>
      </c>
      <c r="V304" s="4">
        <f t="shared" si="272"/>
        <v>7.2826958534261011E-3</v>
      </c>
      <c r="W304" t="str">
        <f t="shared" si="260"/>
        <v>1-0.0953083934739683i</v>
      </c>
      <c r="X304" s="4">
        <f t="shared" si="273"/>
        <v>1.0045315773367149</v>
      </c>
      <c r="Y304" s="4">
        <f t="shared" si="274"/>
        <v>-9.5021372222036216E-2</v>
      </c>
      <c r="Z304" t="str">
        <f t="shared" si="261"/>
        <v>0.999954586698951+0.0187699455308763i</v>
      </c>
      <c r="AA304" s="4">
        <f t="shared" si="275"/>
        <v>1.0001307346119817</v>
      </c>
      <c r="AB304" s="4">
        <f t="shared" si="276"/>
        <v>1.8768593855193947E-2</v>
      </c>
      <c r="AC304" s="48" t="str">
        <f t="shared" si="277"/>
        <v>0.101381446080308-2.42683615561119i</v>
      </c>
      <c r="AD304" s="20">
        <f t="shared" si="278"/>
        <v>7.7083816727576515</v>
      </c>
      <c r="AE304" s="44">
        <f t="shared" si="279"/>
        <v>-87.607851093833773</v>
      </c>
      <c r="AF304" t="str">
        <f t="shared" si="280"/>
        <v>45.9520231294187</v>
      </c>
      <c r="AG304" t="str">
        <f t="shared" si="262"/>
        <v>1+3.21301085670756i</v>
      </c>
      <c r="AH304">
        <f t="shared" si="281"/>
        <v>3.3650317628992226</v>
      </c>
      <c r="AI304">
        <f t="shared" si="282"/>
        <v>1.2690647355147229</v>
      </c>
      <c r="AJ304" t="str">
        <f t="shared" si="263"/>
        <v>1+0.00728282460853715i</v>
      </c>
      <c r="AK304">
        <f t="shared" si="283"/>
        <v>1.0000265194154998</v>
      </c>
      <c r="AL304">
        <f t="shared" si="284"/>
        <v>7.2826958534261011E-3</v>
      </c>
      <c r="AM304" t="str">
        <f t="shared" si="264"/>
        <v>1-0.0162940664322866i</v>
      </c>
      <c r="AN304">
        <f t="shared" si="285"/>
        <v>1.0001327394905637</v>
      </c>
      <c r="AO304">
        <f t="shared" si="286"/>
        <v>-1.6292624655534192E-2</v>
      </c>
      <c r="AP304" s="42" t="str">
        <f t="shared" si="287"/>
        <v>3.94111878030768-13.0769422214123i</v>
      </c>
      <c r="AQ304">
        <f t="shared" si="288"/>
        <v>22.707692603539776</v>
      </c>
      <c r="AR304" s="44">
        <f t="shared" si="289"/>
        <v>-73.228284167953788</v>
      </c>
      <c r="AS304" t="str">
        <f t="shared" si="265"/>
        <v>-0.000166666666666667</v>
      </c>
      <c r="AT304" t="str">
        <f t="shared" si="266"/>
        <v>0.000574432790998368i</v>
      </c>
      <c r="AU304">
        <f t="shared" si="290"/>
        <v>5.7443279099836798E-4</v>
      </c>
      <c r="AV304">
        <f t="shared" si="291"/>
        <v>1.5707963267948966</v>
      </c>
      <c r="AW304" t="str">
        <f t="shared" si="267"/>
        <v>1+0.104654535876245i</v>
      </c>
      <c r="AX304">
        <f t="shared" si="292"/>
        <v>1.005461372644157</v>
      </c>
      <c r="AY304">
        <f t="shared" si="293"/>
        <v>0.10427494847065344</v>
      </c>
      <c r="AZ304" t="str">
        <f t="shared" si="268"/>
        <v>1+2.13022619799711i</v>
      </c>
      <c r="BA304">
        <f t="shared" si="294"/>
        <v>2.3532665923420626</v>
      </c>
      <c r="BB304">
        <f t="shared" si="295"/>
        <v>1.1318993656768159</v>
      </c>
      <c r="BC304" s="42" t="str">
        <f t="shared" si="296"/>
        <v>-0.581334848050678+0.350980611170254i</v>
      </c>
      <c r="BD304">
        <f t="shared" si="297"/>
        <v>-3.3616946978914508</v>
      </c>
      <c r="BE304" s="44">
        <f t="shared" si="298"/>
        <v>148.87854203050392</v>
      </c>
      <c r="BF304" s="42" t="str">
        <f t="shared" si="299"/>
        <v>0.792835869554231+1.44638734967271i</v>
      </c>
      <c r="BG304" s="20">
        <f t="shared" si="300"/>
        <v>4.3466869748661843</v>
      </c>
      <c r="BH304" s="44">
        <f t="shared" si="301"/>
        <v>61.270690936670121</v>
      </c>
      <c r="BI304" s="42" t="str">
        <f t="shared" si="255"/>
        <v>2.29864348580955+8.98533849745917i</v>
      </c>
      <c r="BJ304" s="20">
        <f t="shared" si="302"/>
        <v>19.345997905648325</v>
      </c>
      <c r="BK304" s="44">
        <f t="shared" si="256"/>
        <v>75.650257862550149</v>
      </c>
      <c r="BL304">
        <f t="shared" si="303"/>
        <v>4.3466869748661843</v>
      </c>
      <c r="BM304" s="44">
        <f t="shared" si="304"/>
        <v>61.270690936670121</v>
      </c>
    </row>
    <row r="305" spans="14:65" x14ac:dyDescent="0.35">
      <c r="N305" s="9">
        <v>87</v>
      </c>
      <c r="O305" s="35">
        <f t="shared" si="305"/>
        <v>7413.1024130091773</v>
      </c>
      <c r="P305" s="34" t="str">
        <f t="shared" si="257"/>
        <v>16.3709677419355</v>
      </c>
      <c r="Q305" s="4" t="str">
        <f t="shared" si="258"/>
        <v>1+6.85145827415767i</v>
      </c>
      <c r="R305" s="4">
        <f t="shared" si="269"/>
        <v>6.924050872323483</v>
      </c>
      <c r="S305" s="4">
        <f t="shared" si="270"/>
        <v>1.425865353904912</v>
      </c>
      <c r="T305" s="4" t="str">
        <f t="shared" si="259"/>
        <v>1+0.00745246338592589i</v>
      </c>
      <c r="U305" s="4">
        <f t="shared" si="271"/>
        <v>1.0000277692196946</v>
      </c>
      <c r="V305" s="4">
        <f t="shared" si="272"/>
        <v>7.4523254225456626E-3</v>
      </c>
      <c r="W305" t="str">
        <f t="shared" si="260"/>
        <v>1-0.0975284111474484i</v>
      </c>
      <c r="X305" s="4">
        <f t="shared" si="273"/>
        <v>1.0047446396875903</v>
      </c>
      <c r="Y305" s="4">
        <f t="shared" si="274"/>
        <v>-9.722094071862887E-2</v>
      </c>
      <c r="Z305" t="str">
        <f t="shared" si="261"/>
        <v>0.99995244643601+0.0192071537272371i</v>
      </c>
      <c r="AA305" s="4">
        <f t="shared" si="275"/>
        <v>1.0001368955736325</v>
      </c>
      <c r="AB305" s="4">
        <f t="shared" si="276"/>
        <v>1.9205705390964986E-2</v>
      </c>
      <c r="AC305" s="48" t="str">
        <f t="shared" si="277"/>
        <v>0.0853902086941752-2.37378622603756i</v>
      </c>
      <c r="AD305" s="20">
        <f t="shared" si="278"/>
        <v>7.5144482305800064</v>
      </c>
      <c r="AE305" s="44">
        <f t="shared" si="279"/>
        <v>-87.93983558335195</v>
      </c>
      <c r="AF305" t="str">
        <f t="shared" si="280"/>
        <v>45.9520231294187</v>
      </c>
      <c r="AG305" t="str">
        <f t="shared" si="262"/>
        <v>1+3.28785149379082i</v>
      </c>
      <c r="AH305">
        <f t="shared" si="281"/>
        <v>3.4365633189601681</v>
      </c>
      <c r="AI305">
        <f t="shared" si="282"/>
        <v>1.2755365638530676</v>
      </c>
      <c r="AJ305" t="str">
        <f t="shared" si="263"/>
        <v>1+0.00745246338592589i</v>
      </c>
      <c r="AK305">
        <f t="shared" si="283"/>
        <v>1.0000277692196946</v>
      </c>
      <c r="AL305">
        <f t="shared" si="284"/>
        <v>7.4523254225456626E-3</v>
      </c>
      <c r="AM305" t="str">
        <f t="shared" si="264"/>
        <v>1-0.016673603995916i</v>
      </c>
      <c r="AN305">
        <f t="shared" si="285"/>
        <v>1.0001389948753185</v>
      </c>
      <c r="AO305">
        <f t="shared" si="286"/>
        <v>-1.6672059115887546E-2</v>
      </c>
      <c r="AP305" s="42" t="str">
        <f t="shared" si="287"/>
        <v>3.77347116117054-12.830342860621i</v>
      </c>
      <c r="AQ305">
        <f t="shared" si="288"/>
        <v>22.525054139143879</v>
      </c>
      <c r="AR305" s="44">
        <f t="shared" si="289"/>
        <v>-73.611113552263035</v>
      </c>
      <c r="AS305" t="str">
        <f t="shared" si="265"/>
        <v>-0.000166666666666667</v>
      </c>
      <c r="AT305" t="str">
        <f t="shared" si="266"/>
        <v>0.000587813049564904i</v>
      </c>
      <c r="AU305">
        <f t="shared" si="290"/>
        <v>5.8781304956490401E-4</v>
      </c>
      <c r="AV305">
        <f t="shared" si="291"/>
        <v>1.5707963267948966</v>
      </c>
      <c r="AW305" t="str">
        <f t="shared" si="267"/>
        <v>1+0.107092253172556i</v>
      </c>
      <c r="AX305">
        <f t="shared" si="292"/>
        <v>1.0057180274259654</v>
      </c>
      <c r="AY305">
        <f t="shared" si="293"/>
        <v>0.10668564273066547</v>
      </c>
      <c r="AZ305" t="str">
        <f t="shared" si="268"/>
        <v>1+2.17984554038332i</v>
      </c>
      <c r="BA305">
        <f t="shared" si="294"/>
        <v>2.3982757514366542</v>
      </c>
      <c r="BB305">
        <f t="shared" si="295"/>
        <v>1.1406913388326634</v>
      </c>
      <c r="BC305" s="42" t="str">
        <f t="shared" si="296"/>
        <v>-0.581038177758165+0.345761548190012i</v>
      </c>
      <c r="BD305">
        <f t="shared" si="297"/>
        <v>-3.3993518430268876</v>
      </c>
      <c r="BE305" s="44">
        <f t="shared" si="298"/>
        <v>149.24416237913135</v>
      </c>
      <c r="BF305" s="42" t="str">
        <f t="shared" si="299"/>
        <v>0.771149029328819+1.40878507392266i</v>
      </c>
      <c r="BG305" s="20">
        <f t="shared" si="300"/>
        <v>4.1150963875531081</v>
      </c>
      <c r="BH305" s="44">
        <f t="shared" si="301"/>
        <v>61.304326795779382</v>
      </c>
      <c r="BI305" s="42" t="str">
        <f t="shared" si="255"/>
        <v>2.24370840398747+8.7596402664844i</v>
      </c>
      <c r="BJ305" s="20">
        <f t="shared" si="302"/>
        <v>19.125702296116991</v>
      </c>
      <c r="BK305" s="44">
        <f t="shared" si="256"/>
        <v>75.633048826868318</v>
      </c>
      <c r="BL305">
        <f t="shared" si="303"/>
        <v>4.1150963875531081</v>
      </c>
      <c r="BM305" s="44">
        <f t="shared" si="304"/>
        <v>61.304326795779382</v>
      </c>
    </row>
    <row r="306" spans="14:65" x14ac:dyDescent="0.35">
      <c r="N306" s="9">
        <v>88</v>
      </c>
      <c r="O306" s="35">
        <f t="shared" si="305"/>
        <v>7585.7757502918394</v>
      </c>
      <c r="P306" s="34" t="str">
        <f t="shared" si="257"/>
        <v>16.3709677419355</v>
      </c>
      <c r="Q306" s="4" t="str">
        <f t="shared" si="258"/>
        <v>1+7.01104923884953i</v>
      </c>
      <c r="R306" s="4">
        <f t="shared" si="269"/>
        <v>7.0820061726584633</v>
      </c>
      <c r="S306" s="4">
        <f t="shared" si="270"/>
        <v>1.4291199156522143</v>
      </c>
      <c r="T306" s="4" t="str">
        <f t="shared" si="259"/>
        <v>1+0.00762605355804686i</v>
      </c>
      <c r="U306" s="4">
        <f t="shared" si="271"/>
        <v>1.0000290779236722</v>
      </c>
      <c r="V306" s="4">
        <f t="shared" si="272"/>
        <v>7.6259057278536858E-3</v>
      </c>
      <c r="W306" t="str">
        <f t="shared" si="260"/>
        <v>1-0.0998001396754602i</v>
      </c>
      <c r="X306" s="4">
        <f t="shared" si="273"/>
        <v>1.0049676949430968</v>
      </c>
      <c r="Y306" s="4">
        <f t="shared" si="274"/>
        <v>-9.9470767068512989E-2</v>
      </c>
      <c r="Z306" t="str">
        <f t="shared" si="261"/>
        <v>0.999950205305585+0.0196545458107409i</v>
      </c>
      <c r="AA306" s="4">
        <f t="shared" si="275"/>
        <v>1.0001433468566934</v>
      </c>
      <c r="AB306" s="4">
        <f t="shared" si="276"/>
        <v>1.9652993902039308E-2</v>
      </c>
      <c r="AC306" s="48" t="str">
        <f t="shared" si="277"/>
        <v>0.0700895160548673-2.32178892513733i</v>
      </c>
      <c r="AD306" s="20">
        <f t="shared" si="278"/>
        <v>7.3204106226880956</v>
      </c>
      <c r="AE306" s="44">
        <f t="shared" si="279"/>
        <v>-88.270896115131293</v>
      </c>
      <c r="AF306" t="str">
        <f t="shared" si="280"/>
        <v>45.9520231294187</v>
      </c>
      <c r="AG306" t="str">
        <f t="shared" si="262"/>
        <v>1+3.36443539325596i</v>
      </c>
      <c r="AH306">
        <f t="shared" si="281"/>
        <v>3.5099039182566503</v>
      </c>
      <c r="AI306">
        <f t="shared" si="282"/>
        <v>1.2818857902833045</v>
      </c>
      <c r="AJ306" t="str">
        <f t="shared" si="263"/>
        <v>1+0.00762605355804686i</v>
      </c>
      <c r="AK306">
        <f t="shared" si="283"/>
        <v>1.0000290779236722</v>
      </c>
      <c r="AL306">
        <f t="shared" si="284"/>
        <v>7.6259057278536858E-3</v>
      </c>
      <c r="AM306" t="str">
        <f t="shared" si="264"/>
        <v>1-0.0170619821250852i</v>
      </c>
      <c r="AN306">
        <f t="shared" si="285"/>
        <v>1.0001455450253411</v>
      </c>
      <c r="AO306">
        <f t="shared" si="286"/>
        <v>-1.706032676932066E-2</v>
      </c>
      <c r="AP306" s="42" t="str">
        <f t="shared" si="287"/>
        <v>3.6121151051865-12.586327912164i</v>
      </c>
      <c r="AQ306">
        <f t="shared" si="288"/>
        <v>22.341704835483451</v>
      </c>
      <c r="AR306" s="44">
        <f t="shared" si="289"/>
        <v>-73.987198108850933</v>
      </c>
      <c r="AS306" t="str">
        <f t="shared" si="265"/>
        <v>-0.000166666666666667</v>
      </c>
      <c r="AT306" t="str">
        <f t="shared" si="266"/>
        <v>0.000601504974390946i</v>
      </c>
      <c r="AU306">
        <f t="shared" si="290"/>
        <v>6.0150497439094596E-4</v>
      </c>
      <c r="AV306">
        <f t="shared" si="291"/>
        <v>1.5707963267948966</v>
      </c>
      <c r="AW306" t="str">
        <f t="shared" si="267"/>
        <v>1+0.109586752199033i</v>
      </c>
      <c r="AX306">
        <f t="shared" si="292"/>
        <v>1.0059867077936628</v>
      </c>
      <c r="AY306">
        <f t="shared" si="293"/>
        <v>0.10915120117433731</v>
      </c>
      <c r="AZ306" t="str">
        <f t="shared" si="268"/>
        <v>1+2.2306206657287i</v>
      </c>
      <c r="BA306">
        <f t="shared" si="294"/>
        <v>2.4445180617814937</v>
      </c>
      <c r="BB306">
        <f t="shared" si="295"/>
        <v>1.1493522596256622</v>
      </c>
      <c r="BC306" s="42" t="str">
        <f t="shared" si="296"/>
        <v>-0.580727850191165+0.340722852660904i</v>
      </c>
      <c r="BD306">
        <f t="shared" si="297"/>
        <v>-3.4357893110328588</v>
      </c>
      <c r="BE306" s="44">
        <f t="shared" si="298"/>
        <v>149.5991304943019</v>
      </c>
      <c r="BF306" s="42" t="str">
        <f t="shared" si="299"/>
        <v>0.750383611869803+1.37220859094449i</v>
      </c>
      <c r="BG306" s="20">
        <f t="shared" si="300"/>
        <v>3.8846213116552191</v>
      </c>
      <c r="BH306" s="44">
        <f t="shared" si="301"/>
        <v>61.328234379170553</v>
      </c>
      <c r="BI306" s="42" t="str">
        <f t="shared" ref="BI306:BI369" si="306">IMPRODUCT(AP306,BC306)</f>
        <v>2.19079371108009+8.53996131301074i</v>
      </c>
      <c r="BJ306" s="20">
        <f t="shared" si="302"/>
        <v>18.905915524450595</v>
      </c>
      <c r="BK306" s="44">
        <f t="shared" ref="BK306:BK369" si="307">(180/PI())*IMARGUMENT(BI306)</f>
        <v>75.61193238545097</v>
      </c>
      <c r="BL306">
        <f t="shared" si="303"/>
        <v>3.8846213116552191</v>
      </c>
      <c r="BM306" s="44">
        <f t="shared" si="304"/>
        <v>61.328234379170553</v>
      </c>
    </row>
    <row r="307" spans="14:65" x14ac:dyDescent="0.35">
      <c r="N307" s="9">
        <v>89</v>
      </c>
      <c r="O307" s="35">
        <f t="shared" si="305"/>
        <v>7762.4711662869322</v>
      </c>
      <c r="P307" s="34" t="str">
        <f t="shared" si="257"/>
        <v>16.3709677419355</v>
      </c>
      <c r="Q307" s="4" t="str">
        <f t="shared" si="258"/>
        <v>1+7.17435755465005i</v>
      </c>
      <c r="R307" s="4">
        <f t="shared" si="269"/>
        <v>7.2437149531137859</v>
      </c>
      <c r="S307" s="4">
        <f t="shared" si="270"/>
        <v>1.432303316887289</v>
      </c>
      <c r="T307" s="4" t="str">
        <f t="shared" si="259"/>
        <v>1+0.00780368716470707i</v>
      </c>
      <c r="U307" s="4">
        <f t="shared" si="271"/>
        <v>1.0000304483031328</v>
      </c>
      <c r="V307" s="4">
        <f t="shared" si="272"/>
        <v>7.8035287620616678E-3</v>
      </c>
      <c r="W307" t="str">
        <f t="shared" si="260"/>
        <v>1-0.102124783558539i</v>
      </c>
      <c r="X307" s="4">
        <f t="shared" si="273"/>
        <v>1.0052012094187304</v>
      </c>
      <c r="Y307" s="4">
        <f t="shared" si="274"/>
        <v>-0.10177195300546436</v>
      </c>
      <c r="Z307" t="str">
        <f t="shared" si="261"/>
        <v>0.999947858553936+0.0201123589945922i</v>
      </c>
      <c r="AA307" s="4">
        <f t="shared" si="275"/>
        <v>1.0001501021401387</v>
      </c>
      <c r="AB307" s="4">
        <f t="shared" si="276"/>
        <v>2.0110696107445026E-2</v>
      </c>
      <c r="AC307" s="48" t="str">
        <f t="shared" si="277"/>
        <v>0.0554508074913258-2.27082988948216i</v>
      </c>
      <c r="AD307" s="20">
        <f t="shared" si="278"/>
        <v>7.1262808559785036</v>
      </c>
      <c r="AE307" s="44">
        <f t="shared" si="279"/>
        <v>-88.601187166899123</v>
      </c>
      <c r="AF307" t="str">
        <f t="shared" si="280"/>
        <v>45.9520231294187</v>
      </c>
      <c r="AG307" t="str">
        <f t="shared" si="262"/>
        <v>1+3.44280316090017i</v>
      </c>
      <c r="AH307">
        <f t="shared" si="281"/>
        <v>3.5850932490946739</v>
      </c>
      <c r="AI307">
        <f t="shared" si="282"/>
        <v>1.2881137328515024</v>
      </c>
      <c r="AJ307" t="str">
        <f t="shared" si="263"/>
        <v>1+0.00780368716470707i</v>
      </c>
      <c r="AK307">
        <f t="shared" si="283"/>
        <v>1.0000304483031328</v>
      </c>
      <c r="AL307">
        <f t="shared" si="284"/>
        <v>7.8035287620616678E-3</v>
      </c>
      <c r="AM307" t="str">
        <f t="shared" si="264"/>
        <v>1-0.0174594067430192i</v>
      </c>
      <c r="AN307">
        <f t="shared" si="285"/>
        <v>1.0001524038284457</v>
      </c>
      <c r="AO307">
        <f t="shared" si="286"/>
        <v>-1.7457633011957897E-2</v>
      </c>
      <c r="AP307" s="42" t="str">
        <f t="shared" si="287"/>
        <v>3.45686458719727-12.3450041770004i</v>
      </c>
      <c r="AQ307">
        <f t="shared" si="288"/>
        <v>22.157671740023552</v>
      </c>
      <c r="AR307" s="44">
        <f t="shared" si="289"/>
        <v>-74.356619853731473</v>
      </c>
      <c r="AS307" t="str">
        <f t="shared" si="265"/>
        <v>-0.000166666666666667</v>
      </c>
      <c r="AT307" t="str">
        <f t="shared" si="266"/>
        <v>0.000615515825116271i</v>
      </c>
      <c r="AU307">
        <f t="shared" si="290"/>
        <v>6.1551582511627095E-4</v>
      </c>
      <c r="AV307">
        <f t="shared" si="291"/>
        <v>1.5707963267948966</v>
      </c>
      <c r="AW307" t="str">
        <f t="shared" si="267"/>
        <v>1+0.112139355572078i</v>
      </c>
      <c r="AX307">
        <f t="shared" si="292"/>
        <v>1.0062679737863671</v>
      </c>
      <c r="AY307">
        <f t="shared" si="293"/>
        <v>0.11167281110354024</v>
      </c>
      <c r="AZ307" t="str">
        <f t="shared" si="268"/>
        <v>1+2.28257849567682i</v>
      </c>
      <c r="BA307">
        <f t="shared" si="294"/>
        <v>2.4920201822871051</v>
      </c>
      <c r="BB307">
        <f t="shared" si="295"/>
        <v>1.1578815218023935</v>
      </c>
      <c r="BC307" s="42" t="str">
        <f t="shared" si="296"/>
        <v>-0.580403252426433+0.335861646392489i</v>
      </c>
      <c r="BD307">
        <f t="shared" si="297"/>
        <v>-3.4710513827651557</v>
      </c>
      <c r="BE307" s="44">
        <f t="shared" si="298"/>
        <v>149.94334361286758</v>
      </c>
      <c r="BF307" s="42" t="str">
        <f t="shared" si="299"/>
        <v>0.730500836341115+1.33662085306043i</v>
      </c>
      <c r="BG307" s="20">
        <f t="shared" si="300"/>
        <v>3.6552294732133368</v>
      </c>
      <c r="BH307" s="44">
        <f t="shared" si="301"/>
        <v>61.342156445968385</v>
      </c>
      <c r="BI307" s="42" t="str">
        <f t="shared" si="306"/>
        <v>2.13983797800245+8.3261088071609i</v>
      </c>
      <c r="BJ307" s="20">
        <f t="shared" si="302"/>
        <v>18.686620357258398</v>
      </c>
      <c r="BK307" s="44">
        <f t="shared" si="307"/>
        <v>75.58672375913612</v>
      </c>
      <c r="BL307">
        <f t="shared" si="303"/>
        <v>3.6552294732133368</v>
      </c>
      <c r="BM307" s="44">
        <f t="shared" si="304"/>
        <v>61.342156445968385</v>
      </c>
    </row>
    <row r="308" spans="14:65" x14ac:dyDescent="0.35">
      <c r="N308" s="9">
        <v>90</v>
      </c>
      <c r="O308" s="35">
        <f t="shared" si="305"/>
        <v>7943.2823472428154</v>
      </c>
      <c r="P308" s="34" t="str">
        <f t="shared" si="257"/>
        <v>16.3709677419355</v>
      </c>
      <c r="Q308" s="4" t="str">
        <f t="shared" si="258"/>
        <v>1+7.34146980978987i</v>
      </c>
      <c r="R308" s="4">
        <f t="shared" si="269"/>
        <v>7.4092630516169491</v>
      </c>
      <c r="S308" s="4">
        <f t="shared" si="270"/>
        <v>1.4354169872706148</v>
      </c>
      <c r="T308" s="4" t="str">
        <f t="shared" si="259"/>
        <v>1+0.007985458389596i</v>
      </c>
      <c r="U308" s="4">
        <f t="shared" si="271"/>
        <v>1.0000318832645747</v>
      </c>
      <c r="V308" s="4">
        <f t="shared" si="272"/>
        <v>7.9852886583957148E-3</v>
      </c>
      <c r="W308" t="str">
        <f t="shared" si="260"/>
        <v>1-0.104503575353641i</v>
      </c>
      <c r="X308" s="4">
        <f t="shared" si="273"/>
        <v>1.005445670964719</v>
      </c>
      <c r="Y308" s="4">
        <f t="shared" si="274"/>
        <v>-0.10412562110865864</v>
      </c>
      <c r="Z308" t="str">
        <f t="shared" si="261"/>
        <v>0.99994540120329+0.020580836017401i</v>
      </c>
      <c r="AA308" s="4">
        <f t="shared" si="275"/>
        <v>1.0001571757472842</v>
      </c>
      <c r="AB308" s="4">
        <f t="shared" si="276"/>
        <v>2.057905421629121E-2</v>
      </c>
      <c r="AC308" s="48" t="str">
        <f t="shared" si="277"/>
        <v>0.041446596930376-2.2208944819648i</v>
      </c>
      <c r="AD308" s="20">
        <f t="shared" si="278"/>
        <v>6.9320707754997999</v>
      </c>
      <c r="AE308" s="44">
        <f t="shared" si="279"/>
        <v>-88.930863455339122</v>
      </c>
      <c r="AF308" t="str">
        <f t="shared" si="280"/>
        <v>45.9520231294187</v>
      </c>
      <c r="AG308" t="str">
        <f t="shared" si="262"/>
        <v>1+3.52299634835117i</v>
      </c>
      <c r="AH308">
        <f t="shared" si="281"/>
        <v>3.6621719334973446</v>
      </c>
      <c r="AI308">
        <f t="shared" si="282"/>
        <v>1.2942217604410156</v>
      </c>
      <c r="AJ308" t="str">
        <f t="shared" si="263"/>
        <v>1+0.007985458389596i</v>
      </c>
      <c r="AK308">
        <f t="shared" si="283"/>
        <v>1.0000318832645747</v>
      </c>
      <c r="AL308">
        <f t="shared" si="284"/>
        <v>7.9852886583957148E-3</v>
      </c>
      <c r="AM308" t="str">
        <f t="shared" si="264"/>
        <v>1-0.0178660885695108i</v>
      </c>
      <c r="AN308">
        <f t="shared" si="285"/>
        <v>1.0001595858265688</v>
      </c>
      <c r="AO308">
        <f t="shared" si="286"/>
        <v>-1.786418799881458E-2</v>
      </c>
      <c r="AP308" s="42" t="str">
        <f t="shared" si="287"/>
        <v>3.30753493481643-12.1064684439629i</v>
      </c>
      <c r="AQ308">
        <f t="shared" si="288"/>
        <v>21.972981102434574</v>
      </c>
      <c r="AR308" s="44">
        <f t="shared" si="289"/>
        <v>-74.719463865702281</v>
      </c>
      <c r="AS308" t="str">
        <f t="shared" si="265"/>
        <v>-0.000166666666666667</v>
      </c>
      <c r="AT308" t="str">
        <f t="shared" si="266"/>
        <v>0.000629853030479385i</v>
      </c>
      <c r="AU308">
        <f t="shared" si="290"/>
        <v>6.2985303047938495E-4</v>
      </c>
      <c r="AV308">
        <f t="shared" si="291"/>
        <v>1.5707963267948966</v>
      </c>
      <c r="AW308" t="str">
        <f t="shared" si="267"/>
        <v>1+0.114751416715787i</v>
      </c>
      <c r="AX308">
        <f t="shared" si="292"/>
        <v>1.0065624111987692</v>
      </c>
      <c r="AY308">
        <f t="shared" si="293"/>
        <v>0.11425168117003706</v>
      </c>
      <c r="AZ308" t="str">
        <f t="shared" si="268"/>
        <v>1+2.33574657895683i</v>
      </c>
      <c r="BA308">
        <f t="shared" si="294"/>
        <v>2.5408093358433126</v>
      </c>
      <c r="BB308">
        <f t="shared" si="295"/>
        <v>1.166278682729804</v>
      </c>
      <c r="BC308" s="42" t="str">
        <f t="shared" si="296"/>
        <v>-0.580063745535743+0.331175131132762i</v>
      </c>
      <c r="BD308">
        <f t="shared" si="297"/>
        <v>-3.505182106636775</v>
      </c>
      <c r="BE308" s="44">
        <f t="shared" si="298"/>
        <v>150.2767071231776</v>
      </c>
      <c r="BF308" s="42" t="str">
        <f t="shared" si="299"/>
        <v>0.711463353041576+1.30198645382159i</v>
      </c>
      <c r="BG308" s="20">
        <f t="shared" si="300"/>
        <v>3.4268886688630258</v>
      </c>
      <c r="BH308" s="44">
        <f t="shared" si="301"/>
        <v>61.345843667838494</v>
      </c>
      <c r="BI308" s="42" t="str">
        <f t="shared" si="306"/>
        <v>2.09078017170412+8.11789674657942i</v>
      </c>
      <c r="BJ308" s="20">
        <f t="shared" si="302"/>
        <v>18.467798995797796</v>
      </c>
      <c r="BK308" s="44">
        <f t="shared" si="307"/>
        <v>75.557243257475335</v>
      </c>
      <c r="BL308">
        <f t="shared" si="303"/>
        <v>3.4268886688630258</v>
      </c>
      <c r="BM308" s="44">
        <f t="shared" si="304"/>
        <v>61.345843667838494</v>
      </c>
    </row>
    <row r="309" spans="14:65" x14ac:dyDescent="0.35">
      <c r="N309" s="9">
        <v>91</v>
      </c>
      <c r="O309" s="35">
        <f t="shared" si="305"/>
        <v>8128.3051616410066</v>
      </c>
      <c r="P309" s="34" t="str">
        <f t="shared" si="257"/>
        <v>16.3709677419355</v>
      </c>
      <c r="Q309" s="4" t="str">
        <f t="shared" si="258"/>
        <v>1+7.51247460939872i</v>
      </c>
      <c r="R309" s="4">
        <f t="shared" si="269"/>
        <v>7.5787383354263165</v>
      </c>
      <c r="S309" s="4">
        <f t="shared" si="270"/>
        <v>1.4384623360895603</v>
      </c>
      <c r="T309" s="4" t="str">
        <f t="shared" si="259"/>
        <v>1+0.00817146361022317i</v>
      </c>
      <c r="U309" s="4">
        <f t="shared" si="271"/>
        <v>1.000033385851459</v>
      </c>
      <c r="V309" s="4">
        <f t="shared" si="272"/>
        <v>8.1712817402932857E-3</v>
      </c>
      <c r="W309" t="str">
        <f t="shared" si="260"/>
        <v>1-0.106937776327665i</v>
      </c>
      <c r="X309" s="4">
        <f t="shared" si="273"/>
        <v>1.0057015899390365</v>
      </c>
      <c r="Y309" s="4">
        <f t="shared" si="274"/>
        <v>-0.10653291495711648</v>
      </c>
      <c r="Z309" t="str">
        <f t="shared" si="261"/>
        <v>0.999942828041276+0.0210602252718859i</v>
      </c>
      <c r="AA309" s="4">
        <f t="shared" si="275"/>
        <v>1.0001645826761152</v>
      </c>
      <c r="AB309" s="4">
        <f t="shared" si="276"/>
        <v>2.1058316053947097E-2</v>
      </c>
      <c r="AC309" s="48" t="str">
        <f t="shared" si="277"/>
        <v>0.0280504419554582-2.17196783308415i</v>
      </c>
      <c r="AD309" s="20">
        <f t="shared" si="278"/>
        <v>6.7377920847248873</v>
      </c>
      <c r="AE309" s="44">
        <f t="shared" si="279"/>
        <v>-89.260079929342297</v>
      </c>
      <c r="AF309" t="str">
        <f t="shared" si="280"/>
        <v>45.9520231294187</v>
      </c>
      <c r="AG309" t="str">
        <f t="shared" si="262"/>
        <v>1+3.60505747509845i</v>
      </c>
      <c r="AH309">
        <f t="shared" si="281"/>
        <v>3.7411815511631099</v>
      </c>
      <c r="AI309">
        <f t="shared" si="282"/>
        <v>1.3002112878755083</v>
      </c>
      <c r="AJ309" t="str">
        <f t="shared" si="263"/>
        <v>1+0.00817146361022317i</v>
      </c>
      <c r="AK309">
        <f t="shared" si="283"/>
        <v>1.000033385851459</v>
      </c>
      <c r="AL309">
        <f t="shared" si="284"/>
        <v>8.1712817402932857E-3</v>
      </c>
      <c r="AM309" t="str">
        <f t="shared" si="264"/>
        <v>1-0.0182822432326478i</v>
      </c>
      <c r="AN309">
        <f t="shared" si="285"/>
        <v>1.00016710624656</v>
      </c>
      <c r="AO309">
        <f t="shared" si="286"/>
        <v>-1.8280206752832165E-2</v>
      </c>
      <c r="AP309" s="42" t="str">
        <f t="shared" si="287"/>
        <v>3.16394321454198-11.8708079154377i</v>
      </c>
      <c r="AQ309">
        <f t="shared" si="288"/>
        <v>21.787658381636092</v>
      </c>
      <c r="AR309" s="44">
        <f t="shared" si="289"/>
        <v>-75.075818009168657</v>
      </c>
      <c r="AS309" t="str">
        <f t="shared" si="265"/>
        <v>-0.000166666666666667</v>
      </c>
      <c r="AT309" t="str">
        <f t="shared" si="266"/>
        <v>0.000644524192256352i</v>
      </c>
      <c r="AU309">
        <f t="shared" si="290"/>
        <v>6.4452419225635195E-4</v>
      </c>
      <c r="AV309">
        <f t="shared" si="291"/>
        <v>1.5707963267948966</v>
      </c>
      <c r="AW309" t="str">
        <f t="shared" si="267"/>
        <v>1+0.117424320579554i</v>
      </c>
      <c r="AX309">
        <f t="shared" si="292"/>
        <v>1.0068706327346975</v>
      </c>
      <c r="AY309">
        <f t="shared" si="293"/>
        <v>0.11688904144294973</v>
      </c>
      <c r="AZ309" t="str">
        <f t="shared" si="268"/>
        <v>1+2.39015310599027i</v>
      </c>
      <c r="BA309">
        <f t="shared" si="294"/>
        <v>2.5909133273953673</v>
      </c>
      <c r="BB309">
        <f t="shared" si="295"/>
        <v>1.174543456817543</v>
      </c>
      <c r="BC309" s="42" t="str">
        <f t="shared" si="296"/>
        <v>-0.579708663626284+0.326660586143151i</v>
      </c>
      <c r="BD309">
        <f t="shared" si="297"/>
        <v>-3.5382252540131738</v>
      </c>
      <c r="BE309" s="44">
        <f t="shared" si="298"/>
        <v>150.59913418434064</v>
      </c>
      <c r="BF309" s="42" t="str">
        <f t="shared" si="299"/>
        <v>0.693235201219213+1.26827154376723i</v>
      </c>
      <c r="BG309" s="20">
        <f t="shared" si="300"/>
        <v>3.1995668307116993</v>
      </c>
      <c r="BH309" s="44">
        <f t="shared" si="301"/>
        <v>61.339054254998288</v>
      </c>
      <c r="BI309" s="42" t="str">
        <f t="shared" si="306"/>
        <v>2.04355977895806+7.91514573780863i</v>
      </c>
      <c r="BJ309" s="20">
        <f t="shared" si="302"/>
        <v>18.249433127622915</v>
      </c>
      <c r="BK309" s="44">
        <f t="shared" si="307"/>
        <v>75.523316175171956</v>
      </c>
      <c r="BL309">
        <f t="shared" si="303"/>
        <v>3.1995668307116993</v>
      </c>
      <c r="BM309" s="44">
        <f t="shared" si="304"/>
        <v>61.339054254998288</v>
      </c>
    </row>
    <row r="310" spans="14:65" x14ac:dyDescent="0.35">
      <c r="N310" s="9">
        <v>92</v>
      </c>
      <c r="O310" s="35">
        <f t="shared" si="305"/>
        <v>8317.6377110267094</v>
      </c>
      <c r="P310" s="34" t="str">
        <f t="shared" si="257"/>
        <v>16.3709677419355</v>
      </c>
      <c r="Q310" s="4" t="str">
        <f t="shared" si="258"/>
        <v>1+7.68746262248479i</v>
      </c>
      <c r="R310" s="4">
        <f t="shared" si="269"/>
        <v>7.7522307481202288</v>
      </c>
      <c r="S310" s="4">
        <f t="shared" si="270"/>
        <v>1.4414407519648988</v>
      </c>
      <c r="T310" s="4" t="str">
        <f t="shared" si="259"/>
        <v>1+0.00836180144901854i</v>
      </c>
      <c r="U310" s="4">
        <f t="shared" si="271"/>
        <v>1.0000349592506619</v>
      </c>
      <c r="V310" s="4">
        <f t="shared" si="272"/>
        <v>8.3616065722455623E-3</v>
      </c>
      <c r="W310" t="str">
        <f t="shared" si="260"/>
        <v>1-0.109428677126186i</v>
      </c>
      <c r="X310" s="4">
        <f t="shared" si="273"/>
        <v>1.0059695002223412</v>
      </c>
      <c r="Y310" s="4">
        <f t="shared" si="274"/>
        <v>-0.10899499926564996</v>
      </c>
      <c r="Z310" t="str">
        <f t="shared" si="261"/>
        <v>0.999940133609872+0.0215507809365748i</v>
      </c>
      <c r="AA310" s="4">
        <f t="shared" si="275"/>
        <v>1.0001723386310506</v>
      </c>
      <c r="AB310" s="4">
        <f t="shared" si="276"/>
        <v>2.154873519103833E-2</v>
      </c>
      <c r="AC310" s="48" t="str">
        <f t="shared" si="277"/>
        <v>0.0152369128745295-2.1240348794456i</v>
      </c>
      <c r="AD310" s="20">
        <f t="shared" si="278"/>
        <v>6.5434563657411102</v>
      </c>
      <c r="AE310" s="44">
        <f t="shared" si="279"/>
        <v>-89.588991765458644</v>
      </c>
      <c r="AF310" t="str">
        <f t="shared" si="280"/>
        <v>45.9520231294187</v>
      </c>
      <c r="AG310" t="str">
        <f t="shared" si="262"/>
        <v>1+3.68903005103758i</v>
      </c>
      <c r="AH310">
        <f t="shared" si="281"/>
        <v>3.8221646638336151</v>
      </c>
      <c r="AI310">
        <f t="shared" si="282"/>
        <v>1.3060837712352291</v>
      </c>
      <c r="AJ310" t="str">
        <f t="shared" si="263"/>
        <v>1+0.00836180144901854i</v>
      </c>
      <c r="AK310">
        <f t="shared" si="283"/>
        <v>1.0000349592506619</v>
      </c>
      <c r="AL310">
        <f t="shared" si="284"/>
        <v>8.3616065722455623E-3</v>
      </c>
      <c r="AM310" t="str">
        <f t="shared" si="264"/>
        <v>1-0.0187080913831407i</v>
      </c>
      <c r="AN310">
        <f t="shared" si="285"/>
        <v>1.0001749810324192</v>
      </c>
      <c r="AO310">
        <f t="shared" si="286"/>
        <v>-1.8705909276321649E-2</v>
      </c>
      <c r="AP310" s="42" t="str">
        <f t="shared" si="287"/>
        <v>3.02590857923166-11.6381006348345i</v>
      </c>
      <c r="AQ310">
        <f t="shared" si="288"/>
        <v>21.601728254447245</v>
      </c>
      <c r="AR310" s="44">
        <f t="shared" si="289"/>
        <v>-75.425772669258095</v>
      </c>
      <c r="AS310" t="str">
        <f t="shared" si="265"/>
        <v>-0.000166666666666667</v>
      </c>
      <c r="AT310" t="str">
        <f t="shared" si="266"/>
        <v>0.000659537089291337i</v>
      </c>
      <c r="AU310">
        <f t="shared" si="290"/>
        <v>6.5953708929133699E-4</v>
      </c>
      <c r="AV310">
        <f t="shared" si="291"/>
        <v>1.5707963267948966</v>
      </c>
      <c r="AW310" t="str">
        <f t="shared" si="267"/>
        <v>1+0.120159484372386i</v>
      </c>
      <c r="AX310">
        <f t="shared" si="292"/>
        <v>1.0071932792094265</v>
      </c>
      <c r="AY310">
        <f t="shared" si="293"/>
        <v>0.11958614344955414</v>
      </c>
      <c r="AZ310" t="str">
        <f t="shared" si="268"/>
        <v>1+2.44582692383792i</v>
      </c>
      <c r="BA310">
        <f t="shared" si="294"/>
        <v>2.6423605623325641</v>
      </c>
      <c r="BB310">
        <f t="shared" si="295"/>
        <v>1.1826757088051942</v>
      </c>
      <c r="BC310" s="42" t="str">
        <f t="shared" si="296"/>
        <v>-0.579337312859761+0.322315365755711i</v>
      </c>
      <c r="BD310">
        <f t="shared" si="297"/>
        <v>-3.5702242797595591</v>
      </c>
      <c r="BE310" s="44">
        <f t="shared" si="298"/>
        <v>150.91054533927519</v>
      </c>
      <c r="BF310" s="42" t="str">
        <f t="shared" si="299"/>
        <v>0.675781766885388+1.23544375062456i</v>
      </c>
      <c r="BG310" s="20">
        <f t="shared" si="300"/>
        <v>2.9732320859815404</v>
      </c>
      <c r="BH310" s="44">
        <f t="shared" si="301"/>
        <v>61.321553573816502</v>
      </c>
      <c r="BI310" s="42" t="str">
        <f t="shared" si="306"/>
        <v>1.99811691756709+7.71768277903489i</v>
      </c>
      <c r="BJ310" s="20">
        <f t="shared" si="302"/>
        <v>18.031503974687684</v>
      </c>
      <c r="BK310" s="44">
        <f t="shared" si="307"/>
        <v>75.48477267001708</v>
      </c>
      <c r="BL310">
        <f t="shared" si="303"/>
        <v>2.9732320859815404</v>
      </c>
      <c r="BM310" s="44">
        <f t="shared" si="304"/>
        <v>61.321553573816502</v>
      </c>
    </row>
    <row r="311" spans="14:65" x14ac:dyDescent="0.35">
      <c r="N311" s="9">
        <v>93</v>
      </c>
      <c r="O311" s="35">
        <f t="shared" si="305"/>
        <v>8511.3803820237772</v>
      </c>
      <c r="P311" s="34" t="str">
        <f t="shared" si="257"/>
        <v>16.3709677419355</v>
      </c>
      <c r="Q311" s="4" t="str">
        <f t="shared" si="258"/>
        <v>1+7.86652663000892i</v>
      </c>
      <c r="R311" s="4">
        <f t="shared" si="269"/>
        <v>7.9298323576630239</v>
      </c>
      <c r="S311" s="4">
        <f t="shared" si="270"/>
        <v>1.4443536026088111</v>
      </c>
      <c r="T311" s="4" t="str">
        <f t="shared" si="259"/>
        <v>1+0.00855657282562374i</v>
      </c>
      <c r="U311" s="4">
        <f t="shared" si="271"/>
        <v>1.0000366067992312</v>
      </c>
      <c r="V311" s="4">
        <f t="shared" si="272"/>
        <v>8.55636401181218E-3</v>
      </c>
      <c r="W311" t="str">
        <f t="shared" si="260"/>
        <v>1-0.11197759845778i</v>
      </c>
      <c r="X311" s="4">
        <f t="shared" si="273"/>
        <v>1.0062499602764572</v>
      </c>
      <c r="Y311" s="4">
        <f t="shared" si="274"/>
        <v>-0.11151306000051191</v>
      </c>
      <c r="Z311" t="str">
        <f t="shared" si="261"/>
        <v>0.999937312193828+0.0220527631105747i</v>
      </c>
      <c r="AA311" s="4">
        <f t="shared" si="275"/>
        <v>1.0001804600561981</v>
      </c>
      <c r="AB311" s="4">
        <f t="shared" si="276"/>
        <v>2.2050571075319349E-2</v>
      </c>
      <c r="AC311" s="48" t="str">
        <f t="shared" si="277"/>
        <v>0.00298156190060297-2.07708039961295i</v>
      </c>
      <c r="AD311" s="20">
        <f t="shared" si="278"/>
        <v>6.3490750993641516</v>
      </c>
      <c r="AE311" s="44">
        <f t="shared" si="279"/>
        <v>-89.917754365233577</v>
      </c>
      <c r="AF311" t="str">
        <f t="shared" si="280"/>
        <v>45.9520231294187</v>
      </c>
      <c r="AG311" t="str">
        <f t="shared" si="262"/>
        <v>1+3.77495859953988i</v>
      </c>
      <c r="AH311">
        <f t="shared" si="281"/>
        <v>3.9051648400855106</v>
      </c>
      <c r="AI311">
        <f t="shared" si="282"/>
        <v>1.3118407033868356</v>
      </c>
      <c r="AJ311" t="str">
        <f t="shared" si="263"/>
        <v>1+0.00855657282562374i</v>
      </c>
      <c r="AK311">
        <f t="shared" si="283"/>
        <v>1.0000366067992312</v>
      </c>
      <c r="AL311">
        <f t="shared" si="284"/>
        <v>8.55636401181218E-3</v>
      </c>
      <c r="AM311" t="str">
        <f t="shared" si="264"/>
        <v>1-0.0191438588113158i</v>
      </c>
      <c r="AN311">
        <f t="shared" si="285"/>
        <v>1.0001832268790491</v>
      </c>
      <c r="AO311">
        <f t="shared" si="286"/>
        <v>-1.9141520664866483E-2</v>
      </c>
      <c r="AP311" s="42" t="str">
        <f t="shared" si="287"/>
        <v>2.89325257878993-11.4084159134363i</v>
      </c>
      <c r="AQ311">
        <f t="shared" si="288"/>
        <v>21.415214625680029</v>
      </c>
      <c r="AR311" s="44">
        <f t="shared" si="289"/>
        <v>-75.769420499243822</v>
      </c>
      <c r="AS311" t="str">
        <f t="shared" si="265"/>
        <v>-0.000166666666666667</v>
      </c>
      <c r="AT311" t="str">
        <f t="shared" si="266"/>
        <v>0.000674899681621072i</v>
      </c>
      <c r="AU311">
        <f t="shared" si="290"/>
        <v>6.7489968162107205E-4</v>
      </c>
      <c r="AV311">
        <f t="shared" si="291"/>
        <v>1.5707963267948966</v>
      </c>
      <c r="AW311" t="str">
        <f t="shared" si="267"/>
        <v>1+0.122958358314332i</v>
      </c>
      <c r="AX311">
        <f t="shared" si="292"/>
        <v>1.0075310208025139</v>
      </c>
      <c r="AY311">
        <f t="shared" si="293"/>
        <v>0.12234426018706675</v>
      </c>
      <c r="AZ311" t="str">
        <f t="shared" si="268"/>
        <v>1+2.50279755149494i</v>
      </c>
      <c r="BA311">
        <f t="shared" si="294"/>
        <v>2.695180065184712</v>
      </c>
      <c r="BB311">
        <f t="shared" si="295"/>
        <v>1.1906754469563487</v>
      </c>
      <c r="BC311" s="42" t="str">
        <f t="shared" si="296"/>
        <v>-0.578948970451243+0.318136896907981i</v>
      </c>
      <c r="BD311">
        <f t="shared" si="297"/>
        <v>-3.6012222878422078</v>
      </c>
      <c r="BE311" s="44">
        <f t="shared" si="298"/>
        <v>151.21086812408237</v>
      </c>
      <c r="BF311" s="42" t="str">
        <f t="shared" si="299"/>
        <v>0.659069740768562+1.20347210375137i</v>
      </c>
      <c r="BG311" s="20">
        <f t="shared" si="300"/>
        <v>2.7478528115219421</v>
      </c>
      <c r="BH311" s="44">
        <f t="shared" si="301"/>
        <v>61.293113758848797</v>
      </c>
      <c r="BI311" s="42" t="str">
        <f t="shared" si="306"/>
        <v>1.95439243559042+7.52534104495077i</v>
      </c>
      <c r="BJ311" s="20">
        <f t="shared" si="302"/>
        <v>17.813992337837824</v>
      </c>
      <c r="BK311" s="44">
        <f t="shared" si="307"/>
        <v>75.441447624838574</v>
      </c>
      <c r="BL311">
        <f t="shared" si="303"/>
        <v>2.7478528115219421</v>
      </c>
      <c r="BM311" s="44">
        <f t="shared" si="304"/>
        <v>61.293113758848797</v>
      </c>
    </row>
    <row r="312" spans="14:65" x14ac:dyDescent="0.35">
      <c r="N312" s="9">
        <v>94</v>
      </c>
      <c r="O312" s="35">
        <f t="shared" si="305"/>
        <v>8709.6358995608189</v>
      </c>
      <c r="P312" s="34" t="str">
        <f t="shared" si="257"/>
        <v>16.3709677419355</v>
      </c>
      <c r="Q312" s="4" t="str">
        <f t="shared" si="258"/>
        <v>1+8.04976157407807i</v>
      </c>
      <c r="R312" s="4">
        <f t="shared" si="269"/>
        <v>8.1116374055737896</v>
      </c>
      <c r="S312" s="4">
        <f t="shared" si="270"/>
        <v>1.447202234630786</v>
      </c>
      <c r="T312" s="4" t="str">
        <f t="shared" si="259"/>
        <v>1+0.0087558810104007i</v>
      </c>
      <c r="U312" s="4">
        <f t="shared" si="271"/>
        <v>1.0000383319914634</v>
      </c>
      <c r="V312" s="4">
        <f t="shared" si="272"/>
        <v>8.7556572628336108E-3</v>
      </c>
      <c r="W312" t="str">
        <f t="shared" si="260"/>
        <v>1-0.114585891794274i</v>
      </c>
      <c r="X312" s="4">
        <f t="shared" si="273"/>
        <v>1.0065435542480461</v>
      </c>
      <c r="Y312" s="4">
        <f t="shared" si="274"/>
        <v>-0.11408830447277624</v>
      </c>
      <c r="Z312" t="str">
        <f t="shared" si="261"/>
        <v>0.999934357808543+0.0225664379514786i</v>
      </c>
      <c r="AA312" s="4">
        <f t="shared" si="275"/>
        <v>1.0001889641701718</v>
      </c>
      <c r="AB312" s="4">
        <f t="shared" si="276"/>
        <v>2.2564089166475974E-2</v>
      </c>
      <c r="AC312" s="48" t="str">
        <f t="shared" si="277"/>
        <v>-0.00873910746303936-2.03108904744616i</v>
      </c>
      <c r="AD312" s="20">
        <f t="shared" si="278"/>
        <v>6.1546596851875792</v>
      </c>
      <c r="AE312" s="44">
        <f t="shared" si="279"/>
        <v>-90.246523354111645</v>
      </c>
      <c r="AF312" t="str">
        <f t="shared" si="280"/>
        <v>45.9520231294187</v>
      </c>
      <c r="AG312" t="str">
        <f t="shared" si="262"/>
        <v>1+3.86288868105912i</v>
      </c>
      <c r="AH312">
        <f t="shared" si="281"/>
        <v>3.9902266805602249</v>
      </c>
      <c r="AI312">
        <f t="shared" si="282"/>
        <v>1.3174836097258762</v>
      </c>
      <c r="AJ312" t="str">
        <f t="shared" si="263"/>
        <v>1+0.0087558810104007i</v>
      </c>
      <c r="AK312">
        <f t="shared" si="283"/>
        <v>1.0000383319914634</v>
      </c>
      <c r="AL312">
        <f t="shared" si="284"/>
        <v>8.7556572628336108E-3</v>
      </c>
      <c r="AM312" t="str">
        <f t="shared" si="264"/>
        <v>1-0.0195897765668317i</v>
      </c>
      <c r="AN312">
        <f t="shared" si="285"/>
        <v>1.0001918612675962</v>
      </c>
      <c r="AO312">
        <f t="shared" si="286"/>
        <v>-1.9587271223728248E-2</v>
      </c>
      <c r="AP312" s="42" t="str">
        <f t="shared" si="287"/>
        <v>2.76579943597153-11.1818147544849i</v>
      </c>
      <c r="AQ312">
        <f t="shared" si="288"/>
        <v>21.228140639521683</v>
      </c>
      <c r="AR312" s="44">
        <f t="shared" si="289"/>
        <v>-76.10685618022778</v>
      </c>
      <c r="AS312" t="str">
        <f t="shared" si="265"/>
        <v>-0.000166666666666667</v>
      </c>
      <c r="AT312" t="str">
        <f t="shared" si="266"/>
        <v>0.000690620114695356i</v>
      </c>
      <c r="AU312">
        <f t="shared" si="290"/>
        <v>6.9062011469535605E-4</v>
      </c>
      <c r="AV312">
        <f t="shared" si="291"/>
        <v>1.5707963267948966</v>
      </c>
      <c r="AW312" t="str">
        <f t="shared" si="267"/>
        <v>1+0.125822426405402i</v>
      </c>
      <c r="AX312">
        <f t="shared" si="292"/>
        <v>1.0078845583629819</v>
      </c>
      <c r="AY312">
        <f t="shared" si="293"/>
        <v>0.12516468610290646</v>
      </c>
      <c r="AZ312" t="str">
        <f t="shared" si="268"/>
        <v>1+2.5610951955422i</v>
      </c>
      <c r="BA312">
        <f t="shared" si="294"/>
        <v>2.7494014986228077</v>
      </c>
      <c r="BB312">
        <f t="shared" si="295"/>
        <v>1.1985428161985752</v>
      </c>
      <c r="BC312" s="42" t="str">
        <f t="shared" si="296"/>
        <v>-0.578542883649096+0.314122676650822i</v>
      </c>
      <c r="BD312">
        <f t="shared" si="297"/>
        <v>-3.6312620018616393</v>
      </c>
      <c r="BE312" s="44">
        <f t="shared" si="298"/>
        <v>151.50003667612603</v>
      </c>
      <c r="BF312" s="42" t="str">
        <f t="shared" si="299"/>
        <v>0.643067076532142+1.17232696262977i</v>
      </c>
      <c r="BG312" s="20">
        <f t="shared" si="300"/>
        <v>2.5233976833259524</v>
      </c>
      <c r="BH312" s="44">
        <f t="shared" si="301"/>
        <v>61.253513322014435</v>
      </c>
      <c r="BI312" s="42" t="str">
        <f t="shared" si="306"/>
        <v>1.91232799921044+7.33795967439641i</v>
      </c>
      <c r="BJ312" s="20">
        <f t="shared" si="302"/>
        <v>17.596878637660044</v>
      </c>
      <c r="BK312" s="44">
        <f t="shared" si="307"/>
        <v>75.393180495898235</v>
      </c>
      <c r="BL312">
        <f t="shared" si="303"/>
        <v>2.5233976833259524</v>
      </c>
      <c r="BM312" s="44">
        <f t="shared" si="304"/>
        <v>61.253513322014435</v>
      </c>
    </row>
    <row r="313" spans="14:65" x14ac:dyDescent="0.35">
      <c r="N313" s="9">
        <v>95</v>
      </c>
      <c r="O313" s="35">
        <f t="shared" si="305"/>
        <v>8912.5093813374679</v>
      </c>
      <c r="P313" s="34" t="str">
        <f t="shared" si="257"/>
        <v>16.3709677419355</v>
      </c>
      <c r="Q313" s="4" t="str">
        <f t="shared" si="258"/>
        <v>1+8.23726460828497i</v>
      </c>
      <c r="R313" s="4">
        <f t="shared" si="269"/>
        <v>8.2977423572260989</v>
      </c>
      <c r="S313" s="4">
        <f t="shared" si="270"/>
        <v>1.4499879733880423</v>
      </c>
      <c r="T313" s="4" t="str">
        <f t="shared" si="259"/>
        <v>1+0.00895983167918717i</v>
      </c>
      <c r="U313" s="4">
        <f t="shared" si="271"/>
        <v>1.0000401384863107</v>
      </c>
      <c r="V313" s="4">
        <f t="shared" si="272"/>
        <v>8.9595919298692487E-3</v>
      </c>
      <c r="W313" t="str">
        <f t="shared" si="260"/>
        <v>1-0.117254940087322i</v>
      </c>
      <c r="X313" s="4">
        <f t="shared" si="273"/>
        <v>1.0068508931191755</v>
      </c>
      <c r="Y313" s="4">
        <f t="shared" si="274"/>
        <v>-0.11672196140740936</v>
      </c>
      <c r="Z313" t="str">
        <f t="shared" si="261"/>
        <v>0.999931264187368+0.0230920778164865i</v>
      </c>
      <c r="AA313" s="4">
        <f t="shared" si="275"/>
        <v>1.0001978690025441</v>
      </c>
      <c r="AB313" s="4">
        <f t="shared" si="276"/>
        <v>2.3089561073920541E-2</v>
      </c>
      <c r="AC313" s="48" t="str">
        <f t="shared" si="277"/>
        <v>-0.0199476707519738-1.98604538305435i</v>
      </c>
      <c r="AD313" s="20">
        <f t="shared" si="278"/>
        <v>5.9602214615758307</v>
      </c>
      <c r="AE313" s="44">
        <f t="shared" si="279"/>
        <v>-90.575454581599956</v>
      </c>
      <c r="AF313" t="str">
        <f t="shared" si="280"/>
        <v>45.9520231294187</v>
      </c>
      <c r="AG313" t="str">
        <f t="shared" si="262"/>
        <v>1+3.95286691728845i</v>
      </c>
      <c r="AH313">
        <f t="shared" si="281"/>
        <v>4.0773958436474489</v>
      </c>
      <c r="AI313">
        <f t="shared" si="282"/>
        <v>1.3230140441301113</v>
      </c>
      <c r="AJ313" t="str">
        <f t="shared" si="263"/>
        <v>1+0.00895983167918717i</v>
      </c>
      <c r="AK313">
        <f t="shared" si="283"/>
        <v>1.0000401384863107</v>
      </c>
      <c r="AL313">
        <f t="shared" si="284"/>
        <v>8.9595919298692487E-3</v>
      </c>
      <c r="AM313" t="str">
        <f t="shared" si="264"/>
        <v>1-0.0200460810811846i</v>
      </c>
      <c r="AN313">
        <f t="shared" si="285"/>
        <v>1.000200902502449</v>
      </c>
      <c r="AO313">
        <f t="shared" si="286"/>
        <v>-2.004339658680478E-2</v>
      </c>
      <c r="AP313" s="42" t="str">
        <f t="shared" si="287"/>
        <v>2.64337628923651-10.9583502726068i</v>
      </c>
      <c r="AQ313">
        <f t="shared" si="288"/>
        <v>21.040528692058793</v>
      </c>
      <c r="AR313" s="44">
        <f t="shared" si="289"/>
        <v>-76.43817619298008</v>
      </c>
      <c r="AS313" t="str">
        <f t="shared" si="265"/>
        <v>-0.000166666666666667</v>
      </c>
      <c r="AT313" t="str">
        <f t="shared" si="266"/>
        <v>0.000706706723695888i</v>
      </c>
      <c r="AU313">
        <f t="shared" si="290"/>
        <v>7.0670672369588803E-4</v>
      </c>
      <c r="AV313">
        <f t="shared" si="291"/>
        <v>1.5707963267948966</v>
      </c>
      <c r="AW313" t="str">
        <f t="shared" si="267"/>
        <v>1+0.128753207212408i</v>
      </c>
      <c r="AX313">
        <f t="shared" si="292"/>
        <v>1.0082546247687045</v>
      </c>
      <c r="AY313">
        <f t="shared" si="293"/>
        <v>0.12804873704081007</v>
      </c>
      <c r="AZ313" t="str">
        <f t="shared" si="268"/>
        <v>1+2.62075076616224i</v>
      </c>
      <c r="BA313">
        <f t="shared" si="294"/>
        <v>2.8050551827620018</v>
      </c>
      <c r="BB313">
        <f t="shared" si="295"/>
        <v>1.2062780912455011</v>
      </c>
      <c r="BC313" s="42" t="str">
        <f t="shared" si="296"/>
        <v>-0.578118268697463+0.310270269624401i</v>
      </c>
      <c r="BD313">
        <f t="shared" si="297"/>
        <v>-3.660385740376749</v>
      </c>
      <c r="BE313" s="44">
        <f t="shared" si="298"/>
        <v>151.77799134304513</v>
      </c>
      <c r="BF313" s="42" t="str">
        <f t="shared" si="299"/>
        <v>0.627742949366248+1.14197994922338i</v>
      </c>
      <c r="BG313" s="20">
        <f t="shared" si="300"/>
        <v>2.2998357211990998</v>
      </c>
      <c r="BH313" s="44">
        <f t="shared" si="301"/>
        <v>61.202536761445238</v>
      </c>
      <c r="BI313" s="42" t="str">
        <f t="shared" si="306"/>
        <v>1.87186616987101+7.15538356135997i</v>
      </c>
      <c r="BJ313" s="20">
        <f t="shared" si="302"/>
        <v>17.380142951682036</v>
      </c>
      <c r="BK313" s="44">
        <f t="shared" si="307"/>
        <v>75.339815150065007</v>
      </c>
      <c r="BL313">
        <f t="shared" si="303"/>
        <v>2.2998357211990998</v>
      </c>
      <c r="BM313" s="44">
        <f t="shared" si="304"/>
        <v>61.202536761445238</v>
      </c>
    </row>
    <row r="314" spans="14:65" x14ac:dyDescent="0.35">
      <c r="N314" s="9">
        <v>96</v>
      </c>
      <c r="O314" s="35">
        <f t="shared" si="305"/>
        <v>9120.1083935591087</v>
      </c>
      <c r="P314" s="34" t="str">
        <f t="shared" si="257"/>
        <v>16.3709677419355</v>
      </c>
      <c r="Q314" s="4" t="str">
        <f t="shared" si="258"/>
        <v>1+8.42913514922028i</v>
      </c>
      <c r="R314" s="4">
        <f t="shared" si="269"/>
        <v>8.4882459533062988</v>
      </c>
      <c r="S314" s="4">
        <f t="shared" si="270"/>
        <v>1.4527121228772528</v>
      </c>
      <c r="T314" s="4" t="str">
        <f t="shared" si="259"/>
        <v>1+0.00916853296932733i</v>
      </c>
      <c r="U314" s="4">
        <f t="shared" si="271"/>
        <v>1.0000420301151396</v>
      </c>
      <c r="V314" s="4">
        <f t="shared" si="272"/>
        <v>9.1682760738878866E-3</v>
      </c>
      <c r="W314" t="str">
        <f t="shared" si="260"/>
        <v>1-0.119986158501656i</v>
      </c>
      <c r="X314" s="4">
        <f t="shared" si="273"/>
        <v>1.0071726159065211</v>
      </c>
      <c r="Y314" s="4">
        <f t="shared" si="274"/>
        <v>-0.11941528098579975</v>
      </c>
      <c r="Z314" t="str">
        <f t="shared" si="261"/>
        <v>0.99992802476832+0.0236299614068125i</v>
      </c>
      <c r="AA314" s="4">
        <f t="shared" si="275"/>
        <v>1.0002071934320216</v>
      </c>
      <c r="AB314" s="4">
        <f t="shared" si="276"/>
        <v>2.3627264697635483E-2</v>
      </c>
      <c r="AC314" s="48" t="str">
        <f t="shared" si="277"/>
        <v>-0.0306658125128072-1.94193390149048i</v>
      </c>
      <c r="AD314" s="20">
        <f t="shared" si="278"/>
        <v>5.7657717256127086</v>
      </c>
      <c r="AE314" s="44">
        <f t="shared" si="279"/>
        <v>-90.904704122380394</v>
      </c>
      <c r="AF314" t="str">
        <f t="shared" si="280"/>
        <v>45.9520231294187</v>
      </c>
      <c r="AG314" t="str">
        <f t="shared" si="262"/>
        <v>1+4.04494101587969i</v>
      </c>
      <c r="AH314">
        <f t="shared" si="281"/>
        <v>4.1667190716372779</v>
      </c>
      <c r="AI314">
        <f t="shared" si="282"/>
        <v>1.3284335851208737</v>
      </c>
      <c r="AJ314" t="str">
        <f t="shared" si="263"/>
        <v>1+0.00916853296932733i</v>
      </c>
      <c r="AK314">
        <f t="shared" si="283"/>
        <v>1.0000420301151396</v>
      </c>
      <c r="AL314">
        <f t="shared" si="284"/>
        <v>9.1682760738878866E-3</v>
      </c>
      <c r="AM314" t="str">
        <f t="shared" si="264"/>
        <v>1-0.020513014293068i</v>
      </c>
      <c r="AN314">
        <f t="shared" si="285"/>
        <v>1.000210369749978</v>
      </c>
      <c r="AO314">
        <f t="shared" si="286"/>
        <v>-2.0510137838189522E-2</v>
      </c>
      <c r="AP314" s="42" t="str">
        <f t="shared" si="287"/>
        <v>2.52581340460438-10.7380681069228i</v>
      </c>
      <c r="AQ314">
        <f t="shared" si="288"/>
        <v>20.852400444805465</v>
      </c>
      <c r="AR314" s="44">
        <f t="shared" si="289"/>
        <v>-76.763478601774395</v>
      </c>
      <c r="AS314" t="str">
        <f t="shared" si="265"/>
        <v>-0.000166666666666667</v>
      </c>
      <c r="AT314" t="str">
        <f t="shared" si="266"/>
        <v>0.000723168037955693i</v>
      </c>
      <c r="AU314">
        <f t="shared" si="290"/>
        <v>7.23168037955693E-4</v>
      </c>
      <c r="AV314">
        <f t="shared" si="291"/>
        <v>1.5707963267948966</v>
      </c>
      <c r="AW314" t="str">
        <f t="shared" si="267"/>
        <v>1+0.131752254674129i</v>
      </c>
      <c r="AX314">
        <f t="shared" si="292"/>
        <v>1.0086419863418916</v>
      </c>
      <c r="AY314">
        <f t="shared" si="293"/>
        <v>0.13099775014998363</v>
      </c>
      <c r="AZ314" t="str">
        <f t="shared" si="268"/>
        <v>1+2.68179589352824i</v>
      </c>
      <c r="BA314">
        <f t="shared" si="294"/>
        <v>2.8621721147661492</v>
      </c>
      <c r="BB314">
        <f t="shared" si="295"/>
        <v>1.213881669734262</v>
      </c>
      <c r="BC314" s="42" t="str">
        <f t="shared" si="296"/>
        <v>-0.577674309783063+0.306577305497396i</v>
      </c>
      <c r="BD314">
        <f t="shared" si="297"/>
        <v>-3.6886353968611814</v>
      </c>
      <c r="BE314" s="44">
        <f t="shared" si="298"/>
        <v>152.04467829476312</v>
      </c>
      <c r="BF314" s="42" t="str">
        <f t="shared" si="299"/>
        <v>0.61306771505027+1.11240388401678i</v>
      </c>
      <c r="BG314" s="20">
        <f t="shared" si="300"/>
        <v>2.0771363287515343</v>
      </c>
      <c r="BH314" s="44">
        <f t="shared" si="301"/>
        <v>61.139974172382743</v>
      </c>
      <c r="BI314" s="42" t="str">
        <f t="shared" si="306"/>
        <v>1.83295047132227+6.97746314984297i</v>
      </c>
      <c r="BJ314" s="20">
        <f t="shared" si="302"/>
        <v>17.163765047944288</v>
      </c>
      <c r="BK314" s="44">
        <f t="shared" si="307"/>
        <v>75.281199692988793</v>
      </c>
      <c r="BL314">
        <f t="shared" si="303"/>
        <v>2.0771363287515343</v>
      </c>
      <c r="BM314" s="44">
        <f t="shared" si="304"/>
        <v>61.139974172382743</v>
      </c>
    </row>
    <row r="315" spans="14:65" x14ac:dyDescent="0.35">
      <c r="N315" s="9">
        <v>97</v>
      </c>
      <c r="O315" s="35">
        <f t="shared" si="305"/>
        <v>9332.5430079699217</v>
      </c>
      <c r="P315" s="34" t="str">
        <f t="shared" si="257"/>
        <v>16.3709677419355</v>
      </c>
      <c r="Q315" s="4" t="str">
        <f t="shared" si="258"/>
        <v>1+8.62547492918451i</v>
      </c>
      <c r="R315" s="4">
        <f t="shared" si="269"/>
        <v>8.6832492624587552</v>
      </c>
      <c r="S315" s="4">
        <f t="shared" si="270"/>
        <v>1.4553759656645304</v>
      </c>
      <c r="T315" s="4" t="str">
        <f t="shared" si="259"/>
        <v>1+0.00938209553700771i</v>
      </c>
      <c r="U315" s="4">
        <f t="shared" si="271"/>
        <v>1.0000440108898536</v>
      </c>
      <c r="V315" s="4">
        <f t="shared" si="272"/>
        <v>9.3818202692391925E-3</v>
      </c>
      <c r="W315" t="str">
        <f t="shared" si="260"/>
        <v>1-0.122780995165432i</v>
      </c>
      <c r="X315" s="4">
        <f t="shared" si="273"/>
        <v>1.00750939091098</v>
      </c>
      <c r="Y315" s="4">
        <f t="shared" si="274"/>
        <v>-0.12216953485943634</v>
      </c>
      <c r="Z315" t="str">
        <f t="shared" si="261"/>
        <v>0.999924632680155+0.0241803739154559i</v>
      </c>
      <c r="AA315" s="4">
        <f t="shared" si="275"/>
        <v>1.0002169572263979</v>
      </c>
      <c r="AB315" s="4">
        <f t="shared" si="276"/>
        <v>2.4177484372126919E-2</v>
      </c>
      <c r="AC315" s="48" t="str">
        <f t="shared" si="277"/>
        <v>-0.0409143558563509-1.89873905930976i</v>
      </c>
      <c r="AD315" s="20">
        <f t="shared" si="278"/>
        <v>5.5713217530167114</v>
      </c>
      <c r="AE315" s="44">
        <f t="shared" si="279"/>
        <v>-91.234428278064982</v>
      </c>
      <c r="AF315" t="str">
        <f t="shared" si="280"/>
        <v>45.9520231294187</v>
      </c>
      <c r="AG315" t="str">
        <f t="shared" si="262"/>
        <v>1+4.13915979573869i</v>
      </c>
      <c r="AH315">
        <f t="shared" si="281"/>
        <v>4.2582442173576132</v>
      </c>
      <c r="AI315">
        <f t="shared" si="282"/>
        <v>1.3337438322289863</v>
      </c>
      <c r="AJ315" t="str">
        <f t="shared" si="263"/>
        <v>1+0.00938209553700771i</v>
      </c>
      <c r="AK315">
        <f t="shared" si="283"/>
        <v>1.0000440108898536</v>
      </c>
      <c r="AL315">
        <f t="shared" si="284"/>
        <v>9.3818202692391925E-3</v>
      </c>
      <c r="AM315" t="str">
        <f t="shared" si="264"/>
        <v>1-0.0209908237766514i</v>
      </c>
      <c r="AN315">
        <f t="shared" si="285"/>
        <v>1.0002202830790938</v>
      </c>
      <c r="AO315">
        <f t="shared" si="286"/>
        <v>-2.0987741636378624E-2</v>
      </c>
      <c r="AP315" s="42" t="str">
        <f t="shared" si="287"/>
        <v>2.41294435844631-10.5210068264067i</v>
      </c>
      <c r="AQ315">
        <f t="shared" si="288"/>
        <v>20.663776839106109</v>
      </c>
      <c r="AR315" s="44">
        <f t="shared" si="289"/>
        <v>-77.082862850023261</v>
      </c>
      <c r="AS315" t="str">
        <f t="shared" si="265"/>
        <v>-0.000166666666666667</v>
      </c>
      <c r="AT315" t="str">
        <f t="shared" si="266"/>
        <v>0.000740012785481483i</v>
      </c>
      <c r="AU315">
        <f t="shared" si="290"/>
        <v>7.4001278548148299E-4</v>
      </c>
      <c r="AV315">
        <f t="shared" si="291"/>
        <v>1.5707963267948966</v>
      </c>
      <c r="AW315" t="str">
        <f t="shared" si="267"/>
        <v>1+0.134821158925226i</v>
      </c>
      <c r="AX315">
        <f t="shared" si="292"/>
        <v>1.0090474443225854</v>
      </c>
      <c r="AY315">
        <f t="shared" si="293"/>
        <v>0.13401308375432239</v>
      </c>
      <c r="AZ315" t="str">
        <f t="shared" si="268"/>
        <v>1+2.74426294457475i</v>
      </c>
      <c r="BA315">
        <f t="shared" si="294"/>
        <v>2.9207839887547444</v>
      </c>
      <c r="BB315">
        <f t="shared" si="295"/>
        <v>1.2213540654086639</v>
      </c>
      <c r="BC315" s="42" t="str">
        <f t="shared" si="296"/>
        <v>-0.577210157968413+0.303041476364326i</v>
      </c>
      <c r="BD315">
        <f t="shared" si="297"/>
        <v>-3.7160524241186743</v>
      </c>
      <c r="BE315" s="44">
        <f t="shared" si="298"/>
        <v>152.30004914040563</v>
      </c>
      <c r="BF315" s="42" t="str">
        <f t="shared" si="299"/>
        <v>0.599012869570861+1.08357272556178i</v>
      </c>
      <c r="BG315" s="20">
        <f t="shared" si="300"/>
        <v>1.855269328898044</v>
      </c>
      <c r="BH315" s="44">
        <f t="shared" si="301"/>
        <v>61.065620862340666</v>
      </c>
      <c r="BI315" s="42" t="str">
        <f t="shared" si="306"/>
        <v>1.79552544720565+6.8040542330255i</v>
      </c>
      <c r="BJ315" s="20">
        <f t="shared" si="302"/>
        <v>16.947724414987427</v>
      </c>
      <c r="BK315" s="44">
        <f t="shared" si="307"/>
        <v>75.217186290382358</v>
      </c>
      <c r="BL315">
        <f t="shared" si="303"/>
        <v>1.855269328898044</v>
      </c>
      <c r="BM315" s="44">
        <f t="shared" si="304"/>
        <v>61.065620862340666</v>
      </c>
    </row>
    <row r="316" spans="14:65" x14ac:dyDescent="0.35">
      <c r="N316" s="9">
        <v>98</v>
      </c>
      <c r="O316" s="35">
        <f t="shared" si="305"/>
        <v>9549.9258602143691</v>
      </c>
      <c r="P316" s="34" t="str">
        <f t="shared" si="257"/>
        <v>16.3709677419355</v>
      </c>
      <c r="Q316" s="4" t="str">
        <f t="shared" si="258"/>
        <v>1+8.82638805012784i</v>
      </c>
      <c r="R316" s="4">
        <f t="shared" si="269"/>
        <v>8.882855735147313</v>
      </c>
      <c r="S316" s="4">
        <f t="shared" si="270"/>
        <v>1.4579807628508015</v>
      </c>
      <c r="T316" s="4" t="str">
        <f t="shared" si="259"/>
        <v>1+0.00960063261592853i</v>
      </c>
      <c r="U316" s="4">
        <f t="shared" si="271"/>
        <v>1.0000460850113988</v>
      </c>
      <c r="V316" s="4">
        <f t="shared" si="272"/>
        <v>9.600337661934558E-3</v>
      </c>
      <c r="W316" t="str">
        <f t="shared" si="260"/>
        <v>1-0.125640931938044i</v>
      </c>
      <c r="X316" s="4">
        <f t="shared" si="273"/>
        <v>1.0078619170195191</v>
      </c>
      <c r="Y316" s="4">
        <f t="shared" si="274"/>
        <v>-0.12498601613222605</v>
      </c>
      <c r="Z316" t="str">
        <f t="shared" si="261"/>
        <v>0.999921080727801+0.0247436071784144i</v>
      </c>
      <c r="AA316" s="4">
        <f t="shared" si="275"/>
        <v>1.0002271810844039</v>
      </c>
      <c r="AB316" s="4">
        <f t="shared" si="276"/>
        <v>2.4740511013547444E-2</v>
      </c>
      <c r="AC316" s="48" t="str">
        <f t="shared" si="277"/>
        <v>-0.0507132915380972-1.85644529910932i</v>
      </c>
      <c r="AD316" s="20">
        <f t="shared" si="278"/>
        <v>5.3768828180337334</v>
      </c>
      <c r="AE316" s="44">
        <f t="shared" si="279"/>
        <v>-91.564783579289511</v>
      </c>
      <c r="AF316" t="str">
        <f t="shared" si="280"/>
        <v>45.9520231294187</v>
      </c>
      <c r="AG316" t="str">
        <f t="shared" si="262"/>
        <v>1+4.23557321290963i</v>
      </c>
      <c r="AH316">
        <f t="shared" si="281"/>
        <v>4.3520202713128073</v>
      </c>
      <c r="AI316">
        <f t="shared" si="282"/>
        <v>1.3389464025610138</v>
      </c>
      <c r="AJ316" t="str">
        <f t="shared" si="263"/>
        <v>1+0.00960063261592853i</v>
      </c>
      <c r="AK316">
        <f t="shared" si="283"/>
        <v>1.0000460850113988</v>
      </c>
      <c r="AL316">
        <f t="shared" si="284"/>
        <v>9.600337661934558E-3</v>
      </c>
      <c r="AM316" t="str">
        <f t="shared" si="264"/>
        <v>1-0.0214797628728476i</v>
      </c>
      <c r="AN316">
        <f t="shared" si="285"/>
        <v>1.0002306635037108</v>
      </c>
      <c r="AO316">
        <f t="shared" si="286"/>
        <v>-2.1476460341176049E-2</v>
      </c>
      <c r="AP316" s="42" t="str">
        <f t="shared" si="287"/>
        <v>2.30460619313376-10.3071983262663i</v>
      </c>
      <c r="AQ316">
        <f t="shared" si="288"/>
        <v>20.474678111292416</v>
      </c>
      <c r="AR316" s="44">
        <f t="shared" si="289"/>
        <v>-77.396429567470733</v>
      </c>
      <c r="AS316" t="str">
        <f t="shared" si="265"/>
        <v>-0.000166666666666667</v>
      </c>
      <c r="AT316" t="str">
        <f t="shared" si="266"/>
        <v>0.000757249897581363i</v>
      </c>
      <c r="AU316">
        <f t="shared" si="290"/>
        <v>7.5724989758136295E-4</v>
      </c>
      <c r="AV316">
        <f t="shared" si="291"/>
        <v>1.5707963267948966</v>
      </c>
      <c r="AW316" t="str">
        <f t="shared" si="267"/>
        <v>1+0.137961547139353i</v>
      </c>
      <c r="AX316">
        <f t="shared" si="292"/>
        <v>1.0094718364021276</v>
      </c>
      <c r="AY316">
        <f t="shared" si="293"/>
        <v>0.13709611717857312</v>
      </c>
      <c r="AZ316" t="str">
        <f t="shared" si="268"/>
        <v>1+2.80818504015909i</v>
      </c>
      <c r="BA316">
        <f t="shared" si="294"/>
        <v>2.9809232160143462</v>
      </c>
      <c r="BB316">
        <f t="shared" si="295"/>
        <v>1.2286959013754932</v>
      </c>
      <c r="BC316" s="42" t="str">
        <f t="shared" si="296"/>
        <v>-0.576724930113801+0.299660534095806i</v>
      </c>
      <c r="BD316">
        <f t="shared" si="297"/>
        <v>-3.7426778229736497</v>
      </c>
      <c r="BE316" s="44">
        <f t="shared" si="298"/>
        <v>152.54406055187496</v>
      </c>
      <c r="BF316" s="42" t="str">
        <f t="shared" si="299"/>
        <v>0.585551009368897+1.05546151336085i</v>
      </c>
      <c r="BG316" s="20">
        <f t="shared" si="300"/>
        <v>1.6342049950600537</v>
      </c>
      <c r="BH316" s="44">
        <f t="shared" si="301"/>
        <v>60.979276972585374</v>
      </c>
      <c r="BI316" s="42" t="str">
        <f t="shared" si="306"/>
        <v>1.75953670980546+6.63501775709998i</v>
      </c>
      <c r="BJ316" s="20">
        <f t="shared" si="302"/>
        <v>16.732000288318762</v>
      </c>
      <c r="BK316" s="44">
        <f t="shared" si="307"/>
        <v>75.147630984404216</v>
      </c>
      <c r="BL316">
        <f t="shared" si="303"/>
        <v>1.6342049950600537</v>
      </c>
      <c r="BM316" s="44">
        <f t="shared" si="304"/>
        <v>60.979276972585374</v>
      </c>
    </row>
    <row r="317" spans="14:65" x14ac:dyDescent="0.35">
      <c r="N317" s="9">
        <v>99</v>
      </c>
      <c r="O317" s="35">
        <f t="shared" si="305"/>
        <v>9772.3722095581161</v>
      </c>
      <c r="P317" s="34" t="str">
        <f t="shared" si="257"/>
        <v>16.3709677419355</v>
      </c>
      <c r="Q317" s="4" t="str">
        <f t="shared" si="258"/>
        <v>1+9.03198103884641i</v>
      </c>
      <c r="R317" s="4">
        <f t="shared" si="269"/>
        <v>9.0871712587626021</v>
      </c>
      <c r="S317" s="4">
        <f t="shared" si="270"/>
        <v>1.4605277540698538</v>
      </c>
      <c r="T317" s="4" t="str">
        <f t="shared" si="259"/>
        <v>1+0.00982426007734171i</v>
      </c>
      <c r="U317" s="4">
        <f t="shared" si="271"/>
        <v>1.0000482568786704</v>
      </c>
      <c r="V317" s="4">
        <f t="shared" si="272"/>
        <v>9.8239440292666857E-3</v>
      </c>
      <c r="W317" t="str">
        <f t="shared" si="260"/>
        <v>1-0.128567485195824i</v>
      </c>
      <c r="X317" s="4">
        <f t="shared" si="273"/>
        <v>1.0082309250611083</v>
      </c>
      <c r="Y317" s="4">
        <f t="shared" si="274"/>
        <v>-0.12786603930882548</v>
      </c>
      <c r="Z317" t="str">
        <f t="shared" si="261"/>
        <v>0.999917361377088+0.0253199598294192i</v>
      </c>
      <c r="AA317" s="4">
        <f t="shared" si="275"/>
        <v>1.0002378866795045</v>
      </c>
      <c r="AB317" s="4">
        <f t="shared" si="276"/>
        <v>2.5316642270049351E-2</v>
      </c>
      <c r="AC317" s="48" t="str">
        <f t="shared" si="277"/>
        <v>-0.0600818065199116-1.81503707216271i</v>
      </c>
      <c r="AD317" s="20">
        <f t="shared" si="278"/>
        <v>5.1824662133194055</v>
      </c>
      <c r="AE317" s="44">
        <f t="shared" si="279"/>
        <v>-91.895926787839841</v>
      </c>
      <c r="AF317" t="str">
        <f t="shared" si="280"/>
        <v>45.9520231294187</v>
      </c>
      <c r="AG317" t="str">
        <f t="shared" si="262"/>
        <v>1+4.33423238706251i</v>
      </c>
      <c r="AH317">
        <f t="shared" si="281"/>
        <v>4.4480973893409281</v>
      </c>
      <c r="AI317">
        <f t="shared" si="282"/>
        <v>1.344042927561127</v>
      </c>
      <c r="AJ317" t="str">
        <f t="shared" si="263"/>
        <v>1+0.00982426007734171i</v>
      </c>
      <c r="AK317">
        <f t="shared" si="283"/>
        <v>1.0000482568786704</v>
      </c>
      <c r="AL317">
        <f t="shared" si="284"/>
        <v>9.8239440292666857E-3</v>
      </c>
      <c r="AM317" t="str">
        <f t="shared" si="264"/>
        <v>1-0.0219800908236373i</v>
      </c>
      <c r="AN317">
        <f t="shared" si="285"/>
        <v>1.0002415330272061</v>
      </c>
      <c r="AO317">
        <f t="shared" si="286"/>
        <v>-2.1976552143344739E-2</v>
      </c>
      <c r="AP317" s="42" t="str">
        <f t="shared" si="287"/>
        <v>2.20063954742449-10.0966682143089i</v>
      </c>
      <c r="AQ317">
        <f t="shared" si="288"/>
        <v>20.285123808479923</v>
      </c>
      <c r="AR317" s="44">
        <f t="shared" si="289"/>
        <v>-77.704280388673155</v>
      </c>
      <c r="AS317" t="str">
        <f t="shared" si="265"/>
        <v>-0.000166666666666667</v>
      </c>
      <c r="AT317" t="str">
        <f t="shared" si="266"/>
        <v>0.000774888513600327i</v>
      </c>
      <c r="AU317">
        <f t="shared" si="290"/>
        <v>7.7488851360032703E-4</v>
      </c>
      <c r="AV317">
        <f t="shared" si="291"/>
        <v>1.5707963267948966</v>
      </c>
      <c r="AW317" t="str">
        <f t="shared" si="267"/>
        <v>1+0.141175084391911i</v>
      </c>
      <c r="AX317">
        <f t="shared" si="292"/>
        <v>1.0099160383185639</v>
      </c>
      <c r="AY317">
        <f t="shared" si="293"/>
        <v>0.14024825052812845</v>
      </c>
      <c r="AZ317" t="str">
        <f t="shared" si="268"/>
        <v>1+2.87359607262245i</v>
      </c>
      <c r="BA317">
        <f t="shared" si="294"/>
        <v>3.0426229455177594</v>
      </c>
      <c r="BB317">
        <f t="shared" si="295"/>
        <v>1.2359079034585618</v>
      </c>
      <c r="BC317" s="42" t="str">
        <f t="shared" si="296"/>
        <v>-0.576217707790713+0.296432287636374i</v>
      </c>
      <c r="BD317">
        <f t="shared" si="297"/>
        <v>-3.7685521350441631</v>
      </c>
      <c r="BE317" s="44">
        <f t="shared" si="298"/>
        <v>152.77667389568248</v>
      </c>
      <c r="BF317" s="42" t="str">
        <f t="shared" si="299"/>
        <v>0.572655792278847+1.02804631392474i</v>
      </c>
      <c r="BG317" s="20">
        <f t="shared" si="300"/>
        <v>1.4139140782752397</v>
      </c>
      <c r="BH317" s="44">
        <f t="shared" si="301"/>
        <v>60.880747107842645</v>
      </c>
      <c r="BI317" s="42" t="str">
        <f t="shared" si="306"/>
        <v>1.72493098058252+6.47021963007854i</v>
      </c>
      <c r="BJ317" s="20">
        <f t="shared" si="302"/>
        <v>16.516571673435756</v>
      </c>
      <c r="BK317" s="44">
        <f t="shared" si="307"/>
        <v>75.072393507009338</v>
      </c>
      <c r="BL317">
        <f t="shared" si="303"/>
        <v>1.4139140782752397</v>
      </c>
      <c r="BM317" s="44">
        <f t="shared" si="304"/>
        <v>60.880747107842645</v>
      </c>
    </row>
    <row r="318" spans="14:65" x14ac:dyDescent="0.35">
      <c r="N318" s="9">
        <v>100</v>
      </c>
      <c r="O318" s="35">
        <f t="shared" si="305"/>
        <v>10000</v>
      </c>
      <c r="P318" s="34" t="str">
        <f t="shared" si="257"/>
        <v>16.3709677419355</v>
      </c>
      <c r="Q318" s="4" t="str">
        <f t="shared" si="258"/>
        <v>1+9.24236290346417i</v>
      </c>
      <c r="R318" s="4">
        <f t="shared" si="269"/>
        <v>9.2963042140051897</v>
      </c>
      <c r="S318" s="4">
        <f t="shared" si="270"/>
        <v>1.4630181575164938</v>
      </c>
      <c r="T318" s="4" t="str">
        <f t="shared" si="259"/>
        <v>1+0.0100530964914873i</v>
      </c>
      <c r="U318" s="4">
        <f t="shared" si="271"/>
        <v>1.0000505310978376</v>
      </c>
      <c r="V318" s="4">
        <f t="shared" si="272"/>
        <v>1.0052757840797698E-2</v>
      </c>
      <c r="W318" t="str">
        <f t="shared" si="260"/>
        <v>1-0.131562206636046i</v>
      </c>
      <c r="X318" s="4">
        <f t="shared" si="273"/>
        <v>1.0086171792186298</v>
      </c>
      <c r="Y318" s="4">
        <f t="shared" si="274"/>
        <v>-0.13081094020619499</v>
      </c>
      <c r="Z318" t="str">
        <f t="shared" si="261"/>
        <v>0.999913466738778+0.0259097374582748i</v>
      </c>
      <c r="AA318" s="4">
        <f t="shared" si="275"/>
        <v>1.0002490967057747</v>
      </c>
      <c r="AB318" s="4">
        <f t="shared" si="276"/>
        <v>2.5906182675429327E-2</v>
      </c>
      <c r="AC318" s="48" t="str">
        <f t="shared" si="277"/>
        <v>-0.0690383119738719-1.77449885925823i</v>
      </c>
      <c r="AD318" s="20">
        <f t="shared" si="278"/>
        <v>4.9880832698227167</v>
      </c>
      <c r="AE318" s="44">
        <f t="shared" si="279"/>
        <v>-92.228014898506373</v>
      </c>
      <c r="AF318" t="str">
        <f t="shared" si="280"/>
        <v>45.9520231294187</v>
      </c>
      <c r="AG318" t="str">
        <f t="shared" si="262"/>
        <v>1+4.43518962859735i</v>
      </c>
      <c r="AH318">
        <f t="shared" si="281"/>
        <v>4.5465269208064196</v>
      </c>
      <c r="AI318">
        <f t="shared" si="282"/>
        <v>1.3490350499633257</v>
      </c>
      <c r="AJ318" t="str">
        <f t="shared" si="263"/>
        <v>1+0.0100530964914873i</v>
      </c>
      <c r="AK318">
        <f t="shared" si="283"/>
        <v>1.0000505310978376</v>
      </c>
      <c r="AL318">
        <f t="shared" si="284"/>
        <v>1.0052757840797698E-2</v>
      </c>
      <c r="AM318" t="str">
        <f t="shared" si="264"/>
        <v>1-0.0224920729095225i</v>
      </c>
      <c r="AN318">
        <f t="shared" si="285"/>
        <v>1.0002529146889638</v>
      </c>
      <c r="AO318">
        <f t="shared" si="286"/>
        <v>-2.2488281197053085E-2</v>
      </c>
      <c r="AP318" s="42" t="str">
        <f t="shared" si="287"/>
        <v>2.10088876342232-9.88943618643523i</v>
      </c>
      <c r="AQ318">
        <f t="shared" si="288"/>
        <v>20.095132804901503</v>
      </c>
      <c r="AR318" s="44">
        <f t="shared" si="289"/>
        <v>-78.006517782468492</v>
      </c>
      <c r="AS318" t="str">
        <f t="shared" si="265"/>
        <v>-0.000166666666666667</v>
      </c>
      <c r="AT318" t="str">
        <f t="shared" si="266"/>
        <v>0.000792937985766064i</v>
      </c>
      <c r="AU318">
        <f t="shared" si="290"/>
        <v>7.9293798576606401E-4</v>
      </c>
      <c r="AV318">
        <f t="shared" si="291"/>
        <v>1.5707963267948966</v>
      </c>
      <c r="AW318" t="str">
        <f t="shared" si="267"/>
        <v>1+0.144463474542887i</v>
      </c>
      <c r="AX318">
        <f t="shared" si="292"/>
        <v>1.0103809655159797</v>
      </c>
      <c r="AY318">
        <f t="shared" si="293"/>
        <v>0.14347090441894697</v>
      </c>
      <c r="AZ318" t="str">
        <f t="shared" si="268"/>
        <v>1+2.94053072376004i</v>
      </c>
      <c r="BA318">
        <f t="shared" si="294"/>
        <v>3.1059170847556032</v>
      </c>
      <c r="BB318">
        <f t="shared" si="295"/>
        <v>1.2429908936723111</v>
      </c>
      <c r="BC318" s="42" t="str">
        <f t="shared" si="296"/>
        <v>-0.575687536189808+0.293354600244459i</v>
      </c>
      <c r="BD318">
        <f t="shared" si="297"/>
        <v>-3.7937154393971824</v>
      </c>
      <c r="BE318" s="44">
        <f t="shared" si="298"/>
        <v>152.99785487448742</v>
      </c>
      <c r="BF318" s="42" t="str">
        <f t="shared" si="299"/>
        <v>0.560301899214888+1.00130416984735i</v>
      </c>
      <c r="BG318" s="20">
        <f t="shared" si="300"/>
        <v>1.1943678304255472</v>
      </c>
      <c r="BH318" s="44">
        <f t="shared" si="301"/>
        <v>60.7698399759811</v>
      </c>
      <c r="BI318" s="42" t="str">
        <f t="shared" si="306"/>
        <v>1.69165612309135+6.30953053582706i</v>
      </c>
      <c r="BJ318" s="20">
        <f t="shared" si="302"/>
        <v>16.301417365504321</v>
      </c>
      <c r="BK318" s="44">
        <f t="shared" si="307"/>
        <v>74.99133709201891</v>
      </c>
      <c r="BL318">
        <f t="shared" si="303"/>
        <v>1.1943678304255472</v>
      </c>
      <c r="BM318" s="44">
        <f t="shared" si="304"/>
        <v>60.7698399759811</v>
      </c>
    </row>
    <row r="319" spans="14:65" x14ac:dyDescent="0.35">
      <c r="N319" s="9">
        <v>1</v>
      </c>
      <c r="O319" s="35">
        <f>10^(4+(N319/100))</f>
        <v>10232.929922807549</v>
      </c>
      <c r="P319" s="34" t="str">
        <f t="shared" si="257"/>
        <v>16.3709677419355</v>
      </c>
      <c r="Q319" s="4" t="str">
        <f t="shared" si="258"/>
        <v>1+9.45764519123049i</v>
      </c>
      <c r="R319" s="4">
        <f t="shared" si="269"/>
        <v>9.5103655325757721</v>
      </c>
      <c r="S319" s="4">
        <f t="shared" si="270"/>
        <v>1.4654531700024045</v>
      </c>
      <c r="T319" s="4" t="str">
        <f t="shared" si="259"/>
        <v>1+0.0102872631904612i</v>
      </c>
      <c r="U319" s="4">
        <f t="shared" si="271"/>
        <v>1.0000529124921089</v>
      </c>
      <c r="V319" s="4">
        <f t="shared" si="272"/>
        <v>1.0286900320746488E-2</v>
      </c>
      <c r="W319" t="str">
        <f t="shared" si="260"/>
        <v>1-0.134626684099658i</v>
      </c>
      <c r="X319" s="4">
        <f t="shared" si="273"/>
        <v>1.0090214784986835</v>
      </c>
      <c r="Y319" s="4">
        <f t="shared" si="274"/>
        <v>-0.13382207582541761</v>
      </c>
      <c r="Z319" t="str">
        <f t="shared" si="261"/>
        <v>0.999909388551818+0.0265132527728868i</v>
      </c>
      <c r="AA319" s="4">
        <f t="shared" si="275"/>
        <v>1.0002608349259055</v>
      </c>
      <c r="AB319" s="4">
        <f t="shared" si="276"/>
        <v>2.6509443806126794E-2</v>
      </c>
      <c r="AC319" s="48" t="str">
        <f t="shared" si="277"/>
        <v>-0.0776004706955459-1.73481518984549i</v>
      </c>
      <c r="AD319" s="20">
        <f t="shared" si="278"/>
        <v>4.7937453766816107</v>
      </c>
      <c r="AE319" s="44">
        <f t="shared" si="279"/>
        <v>-92.561205140361153</v>
      </c>
      <c r="AF319" t="str">
        <f t="shared" si="280"/>
        <v>45.9520231294187</v>
      </c>
      <c r="AG319" t="str">
        <f t="shared" si="262"/>
        <v>1+4.53849846637994i</v>
      </c>
      <c r="AH319">
        <f t="shared" si="281"/>
        <v>4.6473614373462562</v>
      </c>
      <c r="AI319">
        <f t="shared" si="282"/>
        <v>1.3539244209284287</v>
      </c>
      <c r="AJ319" t="str">
        <f t="shared" si="263"/>
        <v>1+0.0102872631904612i</v>
      </c>
      <c r="AK319">
        <f t="shared" si="283"/>
        <v>1.0000529124921089</v>
      </c>
      <c r="AL319">
        <f t="shared" si="284"/>
        <v>1.0286900320746488E-2</v>
      </c>
      <c r="AM319" t="str">
        <f t="shared" si="264"/>
        <v>1-0.0230159805901822i</v>
      </c>
      <c r="AN319">
        <f t="shared" si="285"/>
        <v>1.0002648326131074</v>
      </c>
      <c r="AO319">
        <f t="shared" si="286"/>
        <v>-2.3011917755166512E-2</v>
      </c>
      <c r="AP319" s="42" t="str">
        <f t="shared" si="287"/>
        <v>2.00520197188984-9.68551639056387i</v>
      </c>
      <c r="AQ319">
        <f t="shared" si="288"/>
        <v>19.904723318679945</v>
      </c>
      <c r="AR319" s="44">
        <f t="shared" si="289"/>
        <v>-78.303244892115544</v>
      </c>
      <c r="AS319" t="str">
        <f t="shared" si="265"/>
        <v>-0.000166666666666667</v>
      </c>
      <c r="AT319" t="str">
        <f t="shared" si="266"/>
        <v>0.00081140788414763i</v>
      </c>
      <c r="AU319">
        <f t="shared" si="290"/>
        <v>8.1140788414762999E-4</v>
      </c>
      <c r="AV319">
        <f t="shared" si="291"/>
        <v>1.5707963267948966</v>
      </c>
      <c r="AW319" t="str">
        <f t="shared" si="267"/>
        <v>1+0.147828461140265i</v>
      </c>
      <c r="AX319">
        <f t="shared" si="292"/>
        <v>1.0108675748697744</v>
      </c>
      <c r="AY319">
        <f t="shared" si="293"/>
        <v>0.14676551965394299</v>
      </c>
      <c r="AZ319" t="str">
        <f t="shared" si="268"/>
        <v>1+3.00902448320991i</v>
      </c>
      <c r="BA319">
        <f t="shared" si="294"/>
        <v>3.170840320886037</v>
      </c>
      <c r="BB319">
        <f t="shared" si="295"/>
        <v>1.2499457838341506</v>
      </c>
      <c r="BC319" s="42" t="str">
        <f t="shared" si="296"/>
        <v>-0.575133423026929+0.290425386668936i</v>
      </c>
      <c r="BD319">
        <f t="shared" si="297"/>
        <v>-3.8182073528818901</v>
      </c>
      <c r="BE319" s="44">
        <f t="shared" si="298"/>
        <v>153.20757317965297</v>
      </c>
      <c r="BF319" s="42" t="str">
        <f t="shared" si="299"/>
        <v>0.54846499664965+0.975213051747503i</v>
      </c>
      <c r="BG319" s="20">
        <f t="shared" si="300"/>
        <v>0.9755380237997181</v>
      </c>
      <c r="BH319" s="44">
        <f t="shared" si="301"/>
        <v>60.646368039291829</v>
      </c>
      <c r="BI319" s="42" t="str">
        <f t="shared" si="306"/>
        <v>1.65966116886448+6.15282575352385i</v>
      </c>
      <c r="BJ319" s="20">
        <f t="shared" si="302"/>
        <v>16.086515965798064</v>
      </c>
      <c r="BK319" s="44">
        <f t="shared" si="307"/>
        <v>74.904328287537425</v>
      </c>
      <c r="BL319">
        <f t="shared" si="303"/>
        <v>0.9755380237997181</v>
      </c>
      <c r="BM319" s="44">
        <f t="shared" si="304"/>
        <v>60.646368039291829</v>
      </c>
    </row>
    <row r="320" spans="14:65" x14ac:dyDescent="0.35">
      <c r="N320" s="9">
        <v>2</v>
      </c>
      <c r="O320" s="35">
        <f t="shared" ref="O320:O383" si="308">10^(4+(N320/100))</f>
        <v>10471.285480509003</v>
      </c>
      <c r="P320" s="34" t="str">
        <f t="shared" si="257"/>
        <v>16.3709677419355</v>
      </c>
      <c r="Q320" s="4" t="str">
        <f t="shared" si="258"/>
        <v>1+9.67794204766393i</v>
      </c>
      <c r="R320" s="4">
        <f t="shared" si="269"/>
        <v>9.7294687562035733</v>
      </c>
      <c r="S320" s="4">
        <f t="shared" si="270"/>
        <v>1.4678339670374276</v>
      </c>
      <c r="T320" s="4" t="str">
        <f t="shared" si="259"/>
        <v>1+0.0105268843325467i</v>
      </c>
      <c r="U320" s="4">
        <f t="shared" si="271"/>
        <v>1.0000554061119569</v>
      </c>
      <c r="V320" s="4">
        <f t="shared" si="272"/>
        <v>1.0526495511805546E-2</v>
      </c>
      <c r="W320" t="str">
        <f t="shared" si="260"/>
        <v>1-0.137762542413175i</v>
      </c>
      <c r="X320" s="4">
        <f t="shared" si="273"/>
        <v>1.0094446582612351</v>
      </c>
      <c r="Y320" s="4">
        <f t="shared" si="274"/>
        <v>-0.13690082418065447</v>
      </c>
      <c r="Z320" t="str">
        <f t="shared" si="261"/>
        <v>0.999905118165829+0.0271308257650633i</v>
      </c>
      <c r="AA320" s="4">
        <f t="shared" si="275"/>
        <v>1.0002731262214908</v>
      </c>
      <c r="AB320" s="4">
        <f t="shared" si="276"/>
        <v>2.7126744441636336E-2</v>
      </c>
      <c r="AC320" s="48" t="str">
        <f t="shared" si="277"/>
        <v>-0.0857852238997237-1.69597065959045i</v>
      </c>
      <c r="AD320" s="20">
        <f t="shared" si="278"/>
        <v>4.5994640011422625</v>
      </c>
      <c r="AE320" s="44">
        <f t="shared" si="279"/>
        <v>-92.895654977149277</v>
      </c>
      <c r="AF320" t="str">
        <f t="shared" si="280"/>
        <v>45.9520231294187</v>
      </c>
      <c r="AG320" t="str">
        <f t="shared" si="262"/>
        <v>1+4.64421367612355i</v>
      </c>
      <c r="AH320">
        <f t="shared" si="281"/>
        <v>4.7506547621873159</v>
      </c>
      <c r="AI320">
        <f t="shared" si="282"/>
        <v>1.3587126973598938</v>
      </c>
      <c r="AJ320" t="str">
        <f t="shared" si="263"/>
        <v>1+0.0105268843325467i</v>
      </c>
      <c r="AK320">
        <f t="shared" si="283"/>
        <v>1.0000554061119569</v>
      </c>
      <c r="AL320">
        <f t="shared" si="284"/>
        <v>1.0526495511805546E-2</v>
      </c>
      <c r="AM320" t="str">
        <f t="shared" si="264"/>
        <v>1-0.0235520916484033i</v>
      </c>
      <c r="AN320">
        <f t="shared" si="285"/>
        <v>1.0002773120595181</v>
      </c>
      <c r="AO320">
        <f t="shared" si="286"/>
        <v>-2.3547738307431617E-2</v>
      </c>
      <c r="AP320" s="42" t="str">
        <f t="shared" si="287"/>
        <v>1.91343115763156-9.48491777843711i</v>
      </c>
      <c r="AQ320">
        <f t="shared" si="288"/>
        <v>19.713912928950297</v>
      </c>
      <c r="AR320" s="44">
        <f t="shared" si="289"/>
        <v>-78.594565385762309</v>
      </c>
      <c r="AS320" t="str">
        <f t="shared" si="265"/>
        <v>-0.000166666666666667</v>
      </c>
      <c r="AT320" t="str">
        <f t="shared" si="266"/>
        <v>0.000830308001729624i</v>
      </c>
      <c r="AU320">
        <f t="shared" si="290"/>
        <v>8.3030800172962402E-4</v>
      </c>
      <c r="AV320">
        <f t="shared" si="291"/>
        <v>1.5707963267948966</v>
      </c>
      <c r="AW320" t="str">
        <f t="shared" si="267"/>
        <v>1+0.151271828344481i</v>
      </c>
      <c r="AX320">
        <f t="shared" si="292"/>
        <v>1.0113768664798903</v>
      </c>
      <c r="AY320">
        <f t="shared" si="293"/>
        <v>0.15013355684197219</v>
      </c>
      <c r="AZ320" t="str">
        <f t="shared" si="268"/>
        <v>1+3.07911366726992i</v>
      </c>
      <c r="BA320">
        <f t="shared" si="294"/>
        <v>3.2374281422092475</v>
      </c>
      <c r="BB320">
        <f t="shared" si="295"/>
        <v>1.2567735693321174</v>
      </c>
      <c r="BC320" s="42" t="str">
        <f t="shared" si="296"/>
        <v>-0.574554337450968+0.287642610256612i</v>
      </c>
      <c r="BD320">
        <f t="shared" si="297"/>
        <v>-3.8420670339352658</v>
      </c>
      <c r="BE320" s="44">
        <f t="shared" si="298"/>
        <v>153.40580215599005</v>
      </c>
      <c r="BF320" s="42" t="str">
        <f t="shared" si="299"/>
        <v>0.537121699924014+0.949751812933308i</v>
      </c>
      <c r="BG320" s="20">
        <f t="shared" si="300"/>
        <v>0.75739696720700034</v>
      </c>
      <c r="BH320" s="44">
        <f t="shared" si="301"/>
        <v>60.510147178840768</v>
      </c>
      <c r="BI320" s="42" t="str">
        <f t="shared" si="306"/>
        <v>1.62889633682796+5.99998498269431i</v>
      </c>
      <c r="BJ320" s="20">
        <f t="shared" si="302"/>
        <v>15.871845895015026</v>
      </c>
      <c r="BK320" s="44">
        <f t="shared" si="307"/>
        <v>74.811236770227694</v>
      </c>
      <c r="BL320">
        <f t="shared" si="303"/>
        <v>0.75739696720700034</v>
      </c>
      <c r="BM320" s="44">
        <f t="shared" si="304"/>
        <v>60.510147178840768</v>
      </c>
    </row>
    <row r="321" spans="14:65" x14ac:dyDescent="0.35">
      <c r="N321" s="9">
        <v>3</v>
      </c>
      <c r="O321" s="35">
        <f t="shared" si="308"/>
        <v>10715.193052376071</v>
      </c>
      <c r="P321" s="34" t="str">
        <f t="shared" si="257"/>
        <v>16.3709677419355</v>
      </c>
      <c r="Q321" s="4" t="str">
        <f t="shared" si="258"/>
        <v>1+9.90337027707375i</v>
      </c>
      <c r="R321" s="4">
        <f t="shared" si="269"/>
        <v>9.953730097045419</v>
      </c>
      <c r="S321" s="4">
        <f t="shared" si="270"/>
        <v>1.4701617029341392</v>
      </c>
      <c r="T321" s="4" t="str">
        <f t="shared" si="259"/>
        <v>1+0.0107720869680451i</v>
      </c>
      <c r="U321" s="4">
        <f t="shared" si="271"/>
        <v>1.0000580172458231</v>
      </c>
      <c r="V321" s="4">
        <f t="shared" si="272"/>
        <v>1.0771670340420076E-2</v>
      </c>
      <c r="W321" t="str">
        <f t="shared" si="260"/>
        <v>1-0.140971444250182i</v>
      </c>
      <c r="X321" s="4">
        <f t="shared" si="273"/>
        <v>1.0098875918110797</v>
      </c>
      <c r="Y321" s="4">
        <f t="shared" si="274"/>
        <v>-0.14004858408194029</v>
      </c>
      <c r="Z321" t="str">
        <f t="shared" si="261"/>
        <v>0.999900646522748+0.0277627838801794i</v>
      </c>
      <c r="AA321" s="4">
        <f t="shared" si="275"/>
        <v>1.0002859966456528</v>
      </c>
      <c r="AB321" s="4">
        <f t="shared" si="276"/>
        <v>2.7758410728399411E-2</v>
      </c>
      <c r="AC321" s="48" t="str">
        <f t="shared" si="277"/>
        <v>-0.0936088173769051-1.65794994643433i</v>
      </c>
      <c r="AD321" s="20">
        <f t="shared" si="278"/>
        <v>4.4052507085109731</v>
      </c>
      <c r="AE321" s="44">
        <f t="shared" si="279"/>
        <v>-93.231522106485926</v>
      </c>
      <c r="AF321" t="str">
        <f t="shared" si="280"/>
        <v>45.9520231294187</v>
      </c>
      <c r="AG321" t="str">
        <f t="shared" si="262"/>
        <v>1+4.75239130943167i</v>
      </c>
      <c r="AH321">
        <f t="shared" si="281"/>
        <v>4.8564620000532956</v>
      </c>
      <c r="AI321">
        <f t="shared" si="282"/>
        <v>1.363401539392306</v>
      </c>
      <c r="AJ321" t="str">
        <f t="shared" si="263"/>
        <v>1+0.0107720869680451i</v>
      </c>
      <c r="AK321">
        <f t="shared" si="283"/>
        <v>1.0000580172458231</v>
      </c>
      <c r="AL321">
        <f t="shared" si="284"/>
        <v>1.0771670340420076E-2</v>
      </c>
      <c r="AM321" t="str">
        <f t="shared" si="264"/>
        <v>1-0.0241006903373652i</v>
      </c>
      <c r="AN321">
        <f t="shared" si="285"/>
        <v>1.0002903794772484</v>
      </c>
      <c r="AO321">
        <f t="shared" si="286"/>
        <v>-2.4096025721604072E-2</v>
      </c>
      <c r="AP321" s="42" t="str">
        <f t="shared" si="287"/>
        <v>1.82543220659616-9.28764444489412i</v>
      </c>
      <c r="AQ321">
        <f t="shared" si="288"/>
        <v>19.522718593251131</v>
      </c>
      <c r="AR321" s="44">
        <f t="shared" si="289"/>
        <v>-78.880583316892867</v>
      </c>
      <c r="AS321" t="str">
        <f t="shared" si="265"/>
        <v>-0.000166666666666667</v>
      </c>
      <c r="AT321" t="str">
        <f t="shared" si="266"/>
        <v>0.00084964835960456i</v>
      </c>
      <c r="AU321">
        <f t="shared" si="290"/>
        <v>8.4964835960456004E-4</v>
      </c>
      <c r="AV321">
        <f t="shared" si="291"/>
        <v>1.5707963267948966</v>
      </c>
      <c r="AW321" t="str">
        <f t="shared" si="267"/>
        <v>1+0.154795401874405i</v>
      </c>
      <c r="AX321">
        <f t="shared" si="292"/>
        <v>1.0119098855340125</v>
      </c>
      <c r="AY321">
        <f t="shared" si="293"/>
        <v>0.15357649595534822</v>
      </c>
      <c r="AZ321" t="str">
        <f t="shared" si="268"/>
        <v>1+3.1508354381532i</v>
      </c>
      <c r="BA321">
        <f t="shared" si="294"/>
        <v>3.3057168599748628</v>
      </c>
      <c r="BB321">
        <f t="shared" si="295"/>
        <v>1.2634753230620881</v>
      </c>
      <c r="BC321" s="42" t="str">
        <f t="shared" si="296"/>
        <v>-0.573949208958066+0.285004279984967i</v>
      </c>
      <c r="BD321">
        <f t="shared" si="297"/>
        <v>-3.8653331896504515</v>
      </c>
      <c r="BE321" s="44">
        <f t="shared" si="298"/>
        <v>153.59251847973644</v>
      </c>
      <c r="BF321" s="42" t="str">
        <f t="shared" si="299"/>
        <v>0.526249537419606+0.924900146651302i</v>
      </c>
      <c r="BG321" s="20">
        <f t="shared" si="300"/>
        <v>0.53991751886051831</v>
      </c>
      <c r="BH321" s="44">
        <f t="shared" si="301"/>
        <v>60.360996373250465</v>
      </c>
      <c r="BI321" s="42" t="str">
        <f t="shared" si="306"/>
        <v>1.59931304679098+5.85089217393306i</v>
      </c>
      <c r="BJ321" s="20">
        <f t="shared" si="302"/>
        <v>15.657385403600671</v>
      </c>
      <c r="BK321" s="44">
        <f t="shared" si="307"/>
        <v>74.711935162843602</v>
      </c>
      <c r="BL321">
        <f t="shared" si="303"/>
        <v>0.53991751886051831</v>
      </c>
      <c r="BM321" s="44">
        <f t="shared" si="304"/>
        <v>60.360996373250465</v>
      </c>
    </row>
    <row r="322" spans="14:65" x14ac:dyDescent="0.35">
      <c r="N322" s="9">
        <v>4</v>
      </c>
      <c r="O322" s="35">
        <f t="shared" si="308"/>
        <v>10964.781961431856</v>
      </c>
      <c r="P322" s="34" t="str">
        <f t="shared" si="257"/>
        <v>16.3709677419355</v>
      </c>
      <c r="Q322" s="4" t="str">
        <f t="shared" si="258"/>
        <v>1+10.1340494044911i</v>
      </c>
      <c r="R322" s="4">
        <f t="shared" si="269"/>
        <v>10.183268499488088</v>
      </c>
      <c r="S322" s="4">
        <f t="shared" si="270"/>
        <v>1.4724375109337069</v>
      </c>
      <c r="T322" s="4" t="str">
        <f t="shared" si="259"/>
        <v>1+0.0110230011066394i</v>
      </c>
      <c r="U322" s="4">
        <f t="shared" si="271"/>
        <v>1.0000607514313302</v>
      </c>
      <c r="V322" s="4">
        <f t="shared" si="272"/>
        <v>1.1022554683560759E-2</v>
      </c>
      <c r="W322" t="str">
        <f t="shared" si="260"/>
        <v>1-0.144255091012909i</v>
      </c>
      <c r="X322" s="4">
        <f t="shared" si="273"/>
        <v>1.0103511920531112</v>
      </c>
      <c r="Y322" s="4">
        <f t="shared" si="274"/>
        <v>-0.14326677486834533</v>
      </c>
      <c r="Z322" t="str">
        <f t="shared" si="261"/>
        <v>0.999895964137621+0.0284094621907927i</v>
      </c>
      <c r="AA322" s="4">
        <f t="shared" si="275"/>
        <v>1.0002994734781545</v>
      </c>
      <c r="AB322" s="4">
        <f t="shared" si="276"/>
        <v>2.8404776347234845E-2</v>
      </c>
      <c r="AC322" s="48" t="str">
        <f t="shared" si="277"/>
        <v>-0.101086826993532-1.62073782524804i</v>
      </c>
      <c r="AD322" s="20">
        <f t="shared" si="278"/>
        <v>4.2111171821499926</v>
      </c>
      <c r="AE322" s="44">
        <f t="shared" si="279"/>
        <v>-93.568964457545931</v>
      </c>
      <c r="AF322" t="str">
        <f t="shared" si="280"/>
        <v>45.9520231294187</v>
      </c>
      <c r="AG322" t="str">
        <f t="shared" si="262"/>
        <v>1+4.86308872351738i</v>
      </c>
      <c r="AH322">
        <f t="shared" si="281"/>
        <v>4.964839567680098</v>
      </c>
      <c r="AI322">
        <f t="shared" si="282"/>
        <v>1.3679926080461966</v>
      </c>
      <c r="AJ322" t="str">
        <f t="shared" si="263"/>
        <v>1+0.0110230011066394i</v>
      </c>
      <c r="AK322">
        <f t="shared" si="283"/>
        <v>1.0000607514313302</v>
      </c>
      <c r="AL322">
        <f t="shared" si="284"/>
        <v>1.1022554683560759E-2</v>
      </c>
      <c r="AM322" t="str">
        <f t="shared" si="264"/>
        <v>1-0.0246620675313543i</v>
      </c>
      <c r="AN322">
        <f t="shared" si="285"/>
        <v>1.0003040625604402</v>
      </c>
      <c r="AO322">
        <f t="shared" si="286"/>
        <v>-2.4657069387567402E-2</v>
      </c>
      <c r="AP322" s="42" t="str">
        <f t="shared" si="287"/>
        <v>1.74106493627351-9.09369595431539i</v>
      </c>
      <c r="AQ322">
        <f t="shared" si="288"/>
        <v>19.331156665108864</v>
      </c>
      <c r="AR322" s="44">
        <f t="shared" si="289"/>
        <v>-79.161402994389974</v>
      </c>
      <c r="AS322" t="str">
        <f t="shared" si="265"/>
        <v>-0.000166666666666667</v>
      </c>
      <c r="AT322" t="str">
        <f t="shared" si="266"/>
        <v>0.000869439212286185i</v>
      </c>
      <c r="AU322">
        <f t="shared" si="290"/>
        <v>8.69439212286185E-4</v>
      </c>
      <c r="AV322">
        <f t="shared" si="291"/>
        <v>1.5707963267948966</v>
      </c>
      <c r="AW322" t="str">
        <f t="shared" si="267"/>
        <v>1+0.158401049975361i</v>
      </c>
      <c r="AX322">
        <f t="shared" si="292"/>
        <v>1.0124677242427518</v>
      </c>
      <c r="AY322">
        <f t="shared" si="293"/>
        <v>0.15709583582164308</v>
      </c>
      <c r="AZ322" t="str">
        <f t="shared" si="268"/>
        <v>1+3.22422782369203i</v>
      </c>
      <c r="BA322">
        <f t="shared" si="294"/>
        <v>3.3757436305308861</v>
      </c>
      <c r="BB322">
        <f t="shared" si="295"/>
        <v>1.2700521895464365</v>
      </c>
      <c r="BC322" s="42" t="str">
        <f t="shared" si="296"/>
        <v>-0.573316926316928+0.282508447414314i</v>
      </c>
      <c r="BD322">
        <f t="shared" si="297"/>
        <v>-3.8880440859019054</v>
      </c>
      <c r="BE322" s="44">
        <f t="shared" si="298"/>
        <v>153.76770185069975</v>
      </c>
      <c r="BF322" s="42" t="str">
        <f t="shared" si="299"/>
        <v>0.515826915619538+0.900638545788807i</v>
      </c>
      <c r="BG322" s="20">
        <f t="shared" si="300"/>
        <v>0.32307309624808811</v>
      </c>
      <c r="BH322" s="44">
        <f t="shared" si="301"/>
        <v>60.198737393153863</v>
      </c>
      <c r="BI322" s="42" t="str">
        <f t="shared" si="306"/>
        <v>1.57086392752896+5.70543536538291i</v>
      </c>
      <c r="BJ322" s="20">
        <f t="shared" si="302"/>
        <v>15.443112579206954</v>
      </c>
      <c r="BK322" s="44">
        <f t="shared" si="307"/>
        <v>74.606298856309806</v>
      </c>
      <c r="BL322">
        <f t="shared" si="303"/>
        <v>0.32307309624808811</v>
      </c>
      <c r="BM322" s="44">
        <f t="shared" si="304"/>
        <v>60.198737393153863</v>
      </c>
    </row>
    <row r="323" spans="14:65" x14ac:dyDescent="0.35">
      <c r="N323" s="9">
        <v>5</v>
      </c>
      <c r="O323" s="35">
        <f t="shared" si="308"/>
        <v>11220.184543019639</v>
      </c>
      <c r="P323" s="34" t="str">
        <f t="shared" si="257"/>
        <v>16.3709677419355</v>
      </c>
      <c r="Q323" s="4" t="str">
        <f t="shared" si="258"/>
        <v>1+10.3701017390427i</v>
      </c>
      <c r="R323" s="4">
        <f t="shared" si="269"/>
        <v>10.418205703387528</v>
      </c>
      <c r="S323" s="4">
        <f t="shared" si="270"/>
        <v>1.4746625033511502</v>
      </c>
      <c r="T323" s="4" t="str">
        <f t="shared" si="259"/>
        <v>1+0.0112797597863271i</v>
      </c>
      <c r="U323" s="4">
        <f t="shared" si="271"/>
        <v>1.0000636144670185</v>
      </c>
      <c r="V323" s="4">
        <f t="shared" si="272"/>
        <v>1.1279281437023406E-2</v>
      </c>
      <c r="W323" t="str">
        <f t="shared" si="260"/>
        <v>1-0.147615223734332i</v>
      </c>
      <c r="X323" s="4">
        <f t="shared" si="273"/>
        <v>1.0108364132134027</v>
      </c>
      <c r="Y323" s="4">
        <f t="shared" si="274"/>
        <v>-0.14655683608782563</v>
      </c>
      <c r="Z323" t="str">
        <f t="shared" si="261"/>
        <v>0.999891061078482+0.0290712035743032i</v>
      </c>
      <c r="AA323" s="4">
        <f t="shared" si="275"/>
        <v>1.0003135852830909</v>
      </c>
      <c r="AB323" s="4">
        <f t="shared" si="276"/>
        <v>2.9066182684372881E-2</v>
      </c>
      <c r="AC323" s="48" t="str">
        <f t="shared" si="277"/>
        <v>-0.108234183523203-1.58431918116876i</v>
      </c>
      <c r="AD323" s="20">
        <f t="shared" si="278"/>
        <v>4.0170752435239701</v>
      </c>
      <c r="AE323" s="44">
        <f t="shared" si="279"/>
        <v>-93.908140186929643</v>
      </c>
      <c r="AF323" t="str">
        <f t="shared" si="280"/>
        <v>45.9520231294187</v>
      </c>
      <c r="AG323" t="str">
        <f t="shared" si="262"/>
        <v>1+4.97636461161489i</v>
      </c>
      <c r="AH323">
        <f t="shared" si="281"/>
        <v>5.0758452249584023</v>
      </c>
      <c r="AI323">
        <f t="shared" si="282"/>
        <v>1.3724875630427289</v>
      </c>
      <c r="AJ323" t="str">
        <f t="shared" si="263"/>
        <v>1+0.0112797597863271i</v>
      </c>
      <c r="AK323">
        <f t="shared" si="283"/>
        <v>1.0000636144670185</v>
      </c>
      <c r="AL323">
        <f t="shared" si="284"/>
        <v>1.1279281437023406E-2</v>
      </c>
      <c r="AM323" t="str">
        <f t="shared" si="264"/>
        <v>1-0.0252365208799895i</v>
      </c>
      <c r="AN323">
        <f t="shared" si="285"/>
        <v>1.0003183903068693</v>
      </c>
      <c r="AO323">
        <f t="shared" si="286"/>
        <v>-2.5231165364492412E-2</v>
      </c>
      <c r="AP323" s="42" t="str">
        <f t="shared" si="287"/>
        <v>1.66019311088697-8.90306765405248i</v>
      </c>
      <c r="AQ323">
        <f t="shared" si="288"/>
        <v>19.139242911747917</v>
      </c>
      <c r="AR323" s="44">
        <f t="shared" si="289"/>
        <v>-79.437128861844229</v>
      </c>
      <c r="AS323" t="str">
        <f t="shared" si="265"/>
        <v>-0.000166666666666667</v>
      </c>
      <c r="AT323" t="str">
        <f t="shared" si="266"/>
        <v>0.000889691053146552i</v>
      </c>
      <c r="AU323">
        <f t="shared" si="290"/>
        <v>8.8969105314655201E-4</v>
      </c>
      <c r="AV323">
        <f t="shared" si="291"/>
        <v>1.5707963267948966</v>
      </c>
      <c r="AW323" t="str">
        <f t="shared" si="267"/>
        <v>1+0.162090684409701i</v>
      </c>
      <c r="AX323">
        <f t="shared" si="292"/>
        <v>1.0130515238488145</v>
      </c>
      <c r="AY323">
        <f t="shared" si="293"/>
        <v>0.16069309354531852</v>
      </c>
      <c r="AZ323" t="str">
        <f t="shared" si="268"/>
        <v>1+3.29932973750068i</v>
      </c>
      <c r="BA323">
        <f t="shared" si="294"/>
        <v>3.4475464778239471</v>
      </c>
      <c r="BB323">
        <f t="shared" si="295"/>
        <v>1.2765053792439254</v>
      </c>
      <c r="BC323" s="42" t="str">
        <f t="shared" si="296"/>
        <v>-0.572656336510683+0.280153203553646i</v>
      </c>
      <c r="BD323">
        <f t="shared" si="297"/>
        <v>-3.910237560320585</v>
      </c>
      <c r="BE323" s="44">
        <f t="shared" si="298"/>
        <v>153.93133469937578</v>
      </c>
      <c r="BF323" s="42" t="str">
        <f t="shared" si="299"/>
        <v>0.50583308507754+0.876948264903669i</v>
      </c>
      <c r="BG323" s="20">
        <f t="shared" si="300"/>
        <v>0.1068376832033861</v>
      </c>
      <c r="BH323" s="44">
        <f t="shared" si="301"/>
        <v>60.023194512446139</v>
      </c>
      <c r="BI323" s="42" t="str">
        <f t="shared" si="306"/>
        <v>1.54350281995684+5.56350652500913i</v>
      </c>
      <c r="BJ323" s="20">
        <f t="shared" si="302"/>
        <v>15.229005351427329</v>
      </c>
      <c r="BK323" s="44">
        <f t="shared" si="307"/>
        <v>74.494205837531538</v>
      </c>
      <c r="BL323">
        <f t="shared" si="303"/>
        <v>0.1068376832033861</v>
      </c>
      <c r="BM323" s="44">
        <f t="shared" si="304"/>
        <v>60.023194512446139</v>
      </c>
    </row>
    <row r="324" spans="14:65" x14ac:dyDescent="0.35">
      <c r="N324" s="9">
        <v>6</v>
      </c>
      <c r="O324" s="35">
        <f t="shared" si="308"/>
        <v>11481.536214968832</v>
      </c>
      <c r="P324" s="34" t="str">
        <f t="shared" si="257"/>
        <v>16.3709677419355</v>
      </c>
      <c r="Q324" s="4" t="str">
        <f t="shared" si="258"/>
        <v>1+10.6116524388008i</v>
      </c>
      <c r="R324" s="4">
        <f t="shared" si="269"/>
        <v>10.658666308779301</v>
      </c>
      <c r="S324" s="4">
        <f t="shared" si="270"/>
        <v>1.4768377717382335</v>
      </c>
      <c r="T324" s="4" t="str">
        <f t="shared" si="259"/>
        <v>1+0.0115424991439588i</v>
      </c>
      <c r="U324" s="4">
        <f t="shared" si="271"/>
        <v>1.0000666124246365</v>
      </c>
      <c r="V324" s="4">
        <f t="shared" si="272"/>
        <v>1.1541986585289123E-2</v>
      </c>
      <c r="W324" t="str">
        <f t="shared" si="260"/>
        <v>1-0.151053624001297i</v>
      </c>
      <c r="X324" s="4">
        <f t="shared" si="273"/>
        <v>1.0113442526281173</v>
      </c>
      <c r="Y324" s="4">
        <f t="shared" si="274"/>
        <v>-0.14992022711992767</v>
      </c>
      <c r="Z324" t="str">
        <f t="shared" si="261"/>
        <v>0.999885926945284+0.0297483588947517i</v>
      </c>
      <c r="AA324" s="4">
        <f t="shared" si="275"/>
        <v>1.0003283619692891</v>
      </c>
      <c r="AB324" s="4">
        <f t="shared" si="276"/>
        <v>2.974297900615519E-2</v>
      </c>
      <c r="AC324" s="48" t="str">
        <f t="shared" si="277"/>
        <v>-0.115065196799957-1.54867902170174i</v>
      </c>
      <c r="AD324" s="20">
        <f t="shared" si="278"/>
        <v>3.823136872305831</v>
      </c>
      <c r="AE324" s="44">
        <f t="shared" si="279"/>
        <v>-94.249207672385452</v>
      </c>
      <c r="AF324" t="str">
        <f t="shared" si="280"/>
        <v>45.9520231294187</v>
      </c>
      <c r="AG324" t="str">
        <f t="shared" si="262"/>
        <v>1+5.09227903409946i</v>
      </c>
      <c r="AH324">
        <f t="shared" si="281"/>
        <v>5.1895381067228827</v>
      </c>
      <c r="AI324">
        <f t="shared" si="282"/>
        <v>1.376888060771718</v>
      </c>
      <c r="AJ324" t="str">
        <f t="shared" si="263"/>
        <v>1+0.0115424991439588i</v>
      </c>
      <c r="AK324">
        <f t="shared" si="283"/>
        <v>1.0000666124246365</v>
      </c>
      <c r="AL324">
        <f t="shared" si="284"/>
        <v>1.1541986585289123E-2</v>
      </c>
      <c r="AM324" t="str">
        <f t="shared" si="264"/>
        <v>1-0.0258243549660402i</v>
      </c>
      <c r="AN324">
        <f t="shared" si="285"/>
        <v>1.0003333930792333</v>
      </c>
      <c r="AO324">
        <f t="shared" si="286"/>
        <v>-2.58186165310853E-2</v>
      </c>
      <c r="AP324" s="42" t="str">
        <f t="shared" si="287"/>
        <v>1.58268444280361-8.7157509747515i</v>
      </c>
      <c r="AQ324">
        <f t="shared" si="288"/>
        <v>18.946992531864701</v>
      </c>
      <c r="AR324" s="44">
        <f t="shared" si="289"/>
        <v>-79.707865385736028</v>
      </c>
      <c r="AS324" t="str">
        <f t="shared" si="265"/>
        <v>-0.000166666666666667</v>
      </c>
      <c r="AT324" t="str">
        <f t="shared" si="266"/>
        <v>0.00091041461997975i</v>
      </c>
      <c r="AU324">
        <f t="shared" si="290"/>
        <v>9.1041461997974995E-4</v>
      </c>
      <c r="AV324">
        <f t="shared" si="291"/>
        <v>1.5707963267948966</v>
      </c>
      <c r="AW324" t="str">
        <f t="shared" si="267"/>
        <v>1+0.165866261470438i</v>
      </c>
      <c r="AX324">
        <f t="shared" si="292"/>
        <v>1.0136624767121352</v>
      </c>
      <c r="AY324">
        <f t="shared" si="293"/>
        <v>0.16436980385451422</v>
      </c>
      <c r="AZ324" t="str">
        <f t="shared" si="268"/>
        <v>1+3.37618099960794i</v>
      </c>
      <c r="BA324">
        <f t="shared" si="294"/>
        <v>3.5211643162615505</v>
      </c>
      <c r="BB324">
        <f t="shared" si="295"/>
        <v>1.2828361630586405</v>
      </c>
      <c r="BC324" s="42" t="str">
        <f t="shared" si="296"/>
        <v>-0.571966243701276+0.277936675634317i</v>
      </c>
      <c r="BD324">
        <f t="shared" si="297"/>
        <v>-3.9319510379160896</v>
      </c>
      <c r="BE324" s="44">
        <f t="shared" si="298"/>
        <v>154.08340190975946</v>
      </c>
      <c r="BF324" s="42" t="str">
        <f t="shared" si="299"/>
        <v>0.496248107310807+0.853811284461923i</v>
      </c>
      <c r="BG324" s="20">
        <f t="shared" si="300"/>
        <v>-0.10881416561025954</v>
      </c>
      <c r="BH324" s="44">
        <f t="shared" si="301"/>
        <v>59.834194237374042</v>
      </c>
      <c r="BI324" s="42" t="str">
        <f t="shared" si="306"/>
        <v>1.51718477586416+5.42500139867534i</v>
      </c>
      <c r="BJ324" s="20">
        <f t="shared" si="302"/>
        <v>15.015041493948615</v>
      </c>
      <c r="BK324" s="44">
        <f t="shared" si="307"/>
        <v>74.375536524023474</v>
      </c>
      <c r="BL324">
        <f t="shared" si="303"/>
        <v>-0.10881416561025954</v>
      </c>
      <c r="BM324" s="44">
        <f t="shared" si="304"/>
        <v>59.834194237374042</v>
      </c>
    </row>
    <row r="325" spans="14:65" x14ac:dyDescent="0.35">
      <c r="N325" s="9">
        <v>7</v>
      </c>
      <c r="O325" s="35">
        <f t="shared" si="308"/>
        <v>11748.975549395318</v>
      </c>
      <c r="P325" s="34" t="str">
        <f t="shared" si="257"/>
        <v>16.3709677419355</v>
      </c>
      <c r="Q325" s="4" t="str">
        <f t="shared" si="258"/>
        <v>1+10.8588295771439i</v>
      </c>
      <c r="R325" s="4">
        <f t="shared" si="269"/>
        <v>10.904777842095418</v>
      </c>
      <c r="S325" s="4">
        <f t="shared" si="270"/>
        <v>1.4789643870623435</v>
      </c>
      <c r="T325" s="4" t="str">
        <f t="shared" si="259"/>
        <v>1+0.0118113584874197i</v>
      </c>
      <c r="U325" s="4">
        <f t="shared" si="271"/>
        <v>1.0000697516620121</v>
      </c>
      <c r="V325" s="4">
        <f t="shared" si="272"/>
        <v>1.1810809272978924E-2</v>
      </c>
      <c r="W325" t="str">
        <f t="shared" si="260"/>
        <v>1-0.15457211489914i</v>
      </c>
      <c r="X325" s="4">
        <f t="shared" si="273"/>
        <v>1.0118757526022615</v>
      </c>
      <c r="Y325" s="4">
        <f t="shared" si="274"/>
        <v>-0.15335842673728339</v>
      </c>
      <c r="Z325" t="str">
        <f t="shared" si="261"/>
        <v>0.999880550847844+0.0304412871888523i</v>
      </c>
      <c r="AA325" s="4">
        <f t="shared" si="275"/>
        <v>1.0003438348535478</v>
      </c>
      <c r="AB325" s="4">
        <f t="shared" si="276"/>
        <v>3.0435522637462742E-2</v>
      </c>
      <c r="AC325" s="48" t="str">
        <f t="shared" si="277"/>
        <v>-0.121593579188086-1.51380248766578i</v>
      </c>
      <c r="AD325" s="20">
        <f t="shared" si="278"/>
        <v>3.6293142265469314</v>
      </c>
      <c r="AE325" s="44">
        <f t="shared" si="279"/>
        <v>-94.592325504063368</v>
      </c>
      <c r="AF325" t="str">
        <f t="shared" si="280"/>
        <v>45.9520231294187</v>
      </c>
      <c r="AG325" t="str">
        <f t="shared" si="262"/>
        <v>1+5.21089345033219i</v>
      </c>
      <c r="AH325">
        <f t="shared" si="281"/>
        <v>5.3059787552076489</v>
      </c>
      <c r="AI325">
        <f t="shared" si="282"/>
        <v>1.3811957524064344</v>
      </c>
      <c r="AJ325" t="str">
        <f t="shared" si="263"/>
        <v>1+0.0118113584874197i</v>
      </c>
      <c r="AK325">
        <f t="shared" si="283"/>
        <v>1.0000697516620121</v>
      </c>
      <c r="AL325">
        <f t="shared" si="284"/>
        <v>1.1810809272978924E-2</v>
      </c>
      <c r="AM325" t="str">
        <f t="shared" si="264"/>
        <v>1-0.0264258814669197i</v>
      </c>
      <c r="AN325">
        <f t="shared" si="285"/>
        <v>1.000349102669315</v>
      </c>
      <c r="AO325">
        <f t="shared" si="286"/>
        <v>-2.6419732738971573E-2</v>
      </c>
      <c r="AP325" s="42" t="str">
        <f t="shared" si="287"/>
        <v>1.50841058150669-8.53173371756439i</v>
      </c>
      <c r="AQ325">
        <f t="shared" si="288"/>
        <v>18.754420173410189</v>
      </c>
      <c r="AR325" s="44">
        <f t="shared" si="289"/>
        <v>-79.973716952115922</v>
      </c>
      <c r="AS325" t="str">
        <f t="shared" si="265"/>
        <v>-0.000166666666666667</v>
      </c>
      <c r="AT325" t="str">
        <f t="shared" si="266"/>
        <v>0.000931620900695226i</v>
      </c>
      <c r="AU325">
        <f t="shared" si="290"/>
        <v>9.3162090069522595E-4</v>
      </c>
      <c r="AV325">
        <f t="shared" si="291"/>
        <v>1.5707963267948966</v>
      </c>
      <c r="AW325" t="str">
        <f t="shared" si="267"/>
        <v>1+0.169729783018507i</v>
      </c>
      <c r="AX325">
        <f t="shared" si="292"/>
        <v>1.0143018284729204</v>
      </c>
      <c r="AY325">
        <f t="shared" si="293"/>
        <v>0.16812751836816575</v>
      </c>
      <c r="AZ325" t="str">
        <f t="shared" si="268"/>
        <v>1+3.45482235757025i</v>
      </c>
      <c r="BA325">
        <f t="shared" si="294"/>
        <v>3.5966369739476431</v>
      </c>
      <c r="BB325">
        <f t="shared" si="295"/>
        <v>1.2890458670539218</v>
      </c>
      <c r="BC325" s="42" t="str">
        <f t="shared" si="296"/>
        <v>-0.57124540822297+0.275857023785794i</v>
      </c>
      <c r="BD325">
        <f t="shared" si="297"/>
        <v>-3.9532215491456748</v>
      </c>
      <c r="BE325" s="44">
        <f t="shared" si="298"/>
        <v>154.22389055846733</v>
      </c>
      <c r="BF325" s="42" t="str">
        <f t="shared" si="299"/>
        <v>0.487052822627603+0.831210277169298i</v>
      </c>
      <c r="BG325" s="20">
        <f t="shared" si="300"/>
        <v>-0.32390732259874655</v>
      </c>
      <c r="BH325" s="44">
        <f t="shared" si="301"/>
        <v>59.631565054403971</v>
      </c>
      <c r="BI325" s="42" t="str">
        <f t="shared" si="306"/>
        <v>1.49186605265958+5.28981936400118i</v>
      </c>
      <c r="BJ325" s="20">
        <f t="shared" si="302"/>
        <v>14.801198624264511</v>
      </c>
      <c r="BK325" s="44">
        <f t="shared" si="307"/>
        <v>74.250173606351453</v>
      </c>
      <c r="BL325">
        <f t="shared" si="303"/>
        <v>-0.32390732259874655</v>
      </c>
      <c r="BM325" s="44">
        <f t="shared" si="304"/>
        <v>59.631565054403971</v>
      </c>
    </row>
    <row r="326" spans="14:65" x14ac:dyDescent="0.35">
      <c r="N326" s="9">
        <v>8</v>
      </c>
      <c r="O326" s="35">
        <f t="shared" si="308"/>
        <v>12022.644346174151</v>
      </c>
      <c r="P326" s="34" t="str">
        <f t="shared" si="257"/>
        <v>16.3709677419355</v>
      </c>
      <c r="Q326" s="4" t="str">
        <f t="shared" si="258"/>
        <v>1+11.1117642106623i</v>
      </c>
      <c r="R326" s="4">
        <f t="shared" si="269"/>
        <v>11.156670823922141</v>
      </c>
      <c r="S326" s="4">
        <f t="shared" si="270"/>
        <v>1.4810433998997918</v>
      </c>
      <c r="T326" s="4" t="str">
        <f t="shared" si="259"/>
        <v>1+0.0120864803694923i</v>
      </c>
      <c r="U326" s="4">
        <f t="shared" si="271"/>
        <v>1.0000730388365253</v>
      </c>
      <c r="V326" s="4">
        <f t="shared" si="272"/>
        <v>1.2085891877937559E-2</v>
      </c>
      <c r="W326" t="str">
        <f t="shared" si="260"/>
        <v>1-0.158172561978305i</v>
      </c>
      <c r="X326" s="4">
        <f t="shared" si="273"/>
        <v>1.0124320023402957</v>
      </c>
      <c r="Y326" s="4">
        <f t="shared" si="274"/>
        <v>-0.15687293260165366</v>
      </c>
      <c r="Z326" t="str">
        <f t="shared" si="261"/>
        <v>0.999874921382737+0.0311503558563584i</v>
      </c>
      <c r="AA326" s="4">
        <f t="shared" si="275"/>
        <v>1.0003600367268339</v>
      </c>
      <c r="AB326" s="4">
        <f t="shared" si="276"/>
        <v>3.1144179143935337E-2</v>
      </c>
      <c r="AC326" s="48" t="str">
        <f t="shared" si="277"/>
        <v>-0.127832468366016-1.47967486305742i</v>
      </c>
      <c r="AD326" s="20">
        <f t="shared" si="278"/>
        <v>3.4356196629178597</v>
      </c>
      <c r="AE326" s="44">
        <f t="shared" si="279"/>
        <v>-94.937652472968821</v>
      </c>
      <c r="AF326" t="str">
        <f t="shared" si="280"/>
        <v>45.9520231294187</v>
      </c>
      <c r="AG326" t="str">
        <f t="shared" si="262"/>
        <v>1+5.33227075124661i</v>
      </c>
      <c r="AH326">
        <f t="shared" si="281"/>
        <v>5.4252291531879182</v>
      </c>
      <c r="AI326">
        <f t="shared" si="282"/>
        <v>1.3854122821586539</v>
      </c>
      <c r="AJ326" t="str">
        <f t="shared" si="263"/>
        <v>1+0.0120864803694923i</v>
      </c>
      <c r="AK326">
        <f t="shared" si="283"/>
        <v>1.0000730388365253</v>
      </c>
      <c r="AL326">
        <f t="shared" si="284"/>
        <v>1.2085891877937559E-2</v>
      </c>
      <c r="AM326" t="str">
        <f t="shared" si="264"/>
        <v>1-0.0270414193199407i</v>
      </c>
      <c r="AN326">
        <f t="shared" si="285"/>
        <v>1.0003655523651527</v>
      </c>
      <c r="AO326">
        <f t="shared" si="286"/>
        <v>-2.7034830969264019E-2</v>
      </c>
      <c r="AP326" s="42" t="str">
        <f t="shared" si="287"/>
        <v>1.43724709139606-8.35100032831553i</v>
      </c>
      <c r="AQ326">
        <f t="shared" si="288"/>
        <v>18.561539951330822</v>
      </c>
      <c r="AR326" s="44">
        <f t="shared" si="289"/>
        <v>-80.234787771409557</v>
      </c>
      <c r="AS326" t="str">
        <f t="shared" si="265"/>
        <v>-0.000166666666666667</v>
      </c>
      <c r="AT326" t="str">
        <f t="shared" si="266"/>
        <v>0.000953321139143709i</v>
      </c>
      <c r="AU326">
        <f t="shared" si="290"/>
        <v>9.5332113914370895E-4</v>
      </c>
      <c r="AV326">
        <f t="shared" si="291"/>
        <v>1.5707963267948966</v>
      </c>
      <c r="AW326" t="str">
        <f t="shared" si="267"/>
        <v>1+0.173683297544171i</v>
      </c>
      <c r="AX326">
        <f t="shared" si="292"/>
        <v>1.0149708802945123</v>
      </c>
      <c r="AY326">
        <f t="shared" si="293"/>
        <v>0.17196780477836598</v>
      </c>
      <c r="AZ326" t="str">
        <f t="shared" si="268"/>
        <v>1+3.5352955080765i</v>
      </c>
      <c r="BA326">
        <f t="shared" si="294"/>
        <v>3.6740052163035752</v>
      </c>
      <c r="BB326">
        <f t="shared" si="295"/>
        <v>1.2951358673755677</v>
      </c>
      <c r="BC326" s="42" t="str">
        <f t="shared" si="296"/>
        <v>-0.570492545612184+0.273912437607764i</v>
      </c>
      <c r="BD326">
        <f t="shared" si="297"/>
        <v>-3.9740857502344351</v>
      </c>
      <c r="BE326" s="44">
        <f t="shared" si="298"/>
        <v>154.35278967070508</v>
      </c>
      <c r="BF326" s="42" t="str">
        <f t="shared" si="299"/>
        <v>0.47822881889701+0.809128576288434i</v>
      </c>
      <c r="BG326" s="20">
        <f t="shared" si="300"/>
        <v>-0.53846608731657764</v>
      </c>
      <c r="BH326" s="44">
        <f t="shared" si="301"/>
        <v>59.415137197736229</v>
      </c>
      <c r="BI326" s="42" t="str">
        <f t="shared" si="306"/>
        <v>1.4675041045479+5.15786328995787i</v>
      </c>
      <c r="BJ326" s="20">
        <f t="shared" si="302"/>
        <v>14.58745420109638</v>
      </c>
      <c r="BK326" s="44">
        <f t="shared" si="307"/>
        <v>74.118001899295493</v>
      </c>
      <c r="BL326">
        <f t="shared" si="303"/>
        <v>-0.53846608731657764</v>
      </c>
      <c r="BM326" s="44">
        <f t="shared" si="304"/>
        <v>59.415137197736229</v>
      </c>
    </row>
    <row r="327" spans="14:65" x14ac:dyDescent="0.35">
      <c r="N327" s="9">
        <v>9</v>
      </c>
      <c r="O327" s="35">
        <f t="shared" si="308"/>
        <v>12302.687708123816</v>
      </c>
      <c r="P327" s="34" t="str">
        <f t="shared" si="257"/>
        <v>16.3709677419355</v>
      </c>
      <c r="Q327" s="4" t="str">
        <f t="shared" si="258"/>
        <v>1+11.3705904486468i</v>
      </c>
      <c r="R327" s="4">
        <f t="shared" si="269"/>
        <v>11.41447883833764</v>
      </c>
      <c r="S327" s="4">
        <f t="shared" si="270"/>
        <v>1.4830758406421163</v>
      </c>
      <c r="T327" s="4" t="str">
        <f t="shared" si="259"/>
        <v>1+0.0123680106634404i</v>
      </c>
      <c r="U327" s="4">
        <f t="shared" si="271"/>
        <v>1.00007648091922</v>
      </c>
      <c r="V327" s="4">
        <f t="shared" si="272"/>
        <v>1.2367380085983003E-2</v>
      </c>
      <c r="W327" t="str">
        <f t="shared" si="260"/>
        <v>1-0.161856874243493i</v>
      </c>
      <c r="X327" s="4">
        <f t="shared" si="273"/>
        <v>1.0130141399506101</v>
      </c>
      <c r="Y327" s="4">
        <f t="shared" si="274"/>
        <v>-0.16046526069009773</v>
      </c>
      <c r="Z327" t="str">
        <f t="shared" si="261"/>
        <v>0.999869026609113+0.0318759408548633i</v>
      </c>
      <c r="AA327" s="4">
        <f t="shared" si="275"/>
        <v>1.0003770019235938</v>
      </c>
      <c r="AB327" s="4">
        <f t="shared" si="276"/>
        <v>3.1869322518044724E-2</v>
      </c>
      <c r="AC327" s="48" t="str">
        <f t="shared" si="277"/>
        <v>-0.133794449424506-1.44628158390406i</v>
      </c>
      <c r="AD327" s="20">
        <f t="shared" si="278"/>
        <v>3.2420657570191653</v>
      </c>
      <c r="AE327" s="44">
        <f t="shared" si="279"/>
        <v>-95.285347556283241</v>
      </c>
      <c r="AF327" t="str">
        <f t="shared" si="280"/>
        <v>45.9520231294187</v>
      </c>
      <c r="AG327" t="str">
        <f t="shared" si="262"/>
        <v>1+5.45647529269428i</v>
      </c>
      <c r="AH327">
        <f t="shared" si="281"/>
        <v>5.5473527578281088</v>
      </c>
      <c r="AI327">
        <f t="shared" si="282"/>
        <v>1.3895392856674613</v>
      </c>
      <c r="AJ327" t="str">
        <f t="shared" si="263"/>
        <v>1+0.0123680106634404i</v>
      </c>
      <c r="AK327">
        <f t="shared" si="283"/>
        <v>1.00007648091922</v>
      </c>
      <c r="AL327">
        <f t="shared" si="284"/>
        <v>1.2367380085983003E-2</v>
      </c>
      <c r="AM327" t="str">
        <f t="shared" si="264"/>
        <v>1-0.0276712948914207i</v>
      </c>
      <c r="AN327">
        <f t="shared" si="285"/>
        <v>1.00038277702136</v>
      </c>
      <c r="AO327">
        <f t="shared" si="286"/>
        <v>-2.766423549236147E-2</v>
      </c>
      <c r="AP327" s="42" t="str">
        <f t="shared" si="287"/>
        <v>1.36907341960449-8.1735321587566i</v>
      </c>
      <c r="AQ327">
        <f t="shared" si="288"/>
        <v>18.368365465223576</v>
      </c>
      <c r="AR327" s="44">
        <f t="shared" si="289"/>
        <v>-80.491181790976157</v>
      </c>
      <c r="AS327" t="str">
        <f t="shared" si="265"/>
        <v>-0.000166666666666667</v>
      </c>
      <c r="AT327" t="str">
        <f t="shared" si="266"/>
        <v>0.000975526841078861i</v>
      </c>
      <c r="AU327">
        <f t="shared" si="290"/>
        <v>9.7552684107886096E-4</v>
      </c>
      <c r="AV327">
        <f t="shared" si="291"/>
        <v>1.5707963267948966</v>
      </c>
      <c r="AW327" t="str">
        <f t="shared" si="267"/>
        <v>1+0.177728901253163i</v>
      </c>
      <c r="AX327">
        <f t="shared" si="292"/>
        <v>1.0156709911879223</v>
      </c>
      <c r="AY327">
        <f t="shared" si="293"/>
        <v>0.17589224594274358</v>
      </c>
      <c r="AZ327" t="str">
        <f t="shared" si="268"/>
        <v>1+3.61764311905631i</v>
      </c>
      <c r="BA327">
        <f t="shared" si="294"/>
        <v>3.7533107700875861</v>
      </c>
      <c r="BB327">
        <f t="shared" si="295"/>
        <v>1.3011075853870808</v>
      </c>
      <c r="BC327" s="42" t="str">
        <f t="shared" si="296"/>
        <v>-0.569706325681661+0.272101132632991i</v>
      </c>
      <c r="BD327">
        <f t="shared" si="297"/>
        <v>-3.9945799455542326</v>
      </c>
      <c r="BE327" s="44">
        <f t="shared" si="298"/>
        <v>154.47008999354071</v>
      </c>
      <c r="BF327" s="42" t="str">
        <f t="shared" si="299"/>
        <v>0.469758401264767+0.787550145838619i</v>
      </c>
      <c r="BG327" s="20">
        <f t="shared" si="300"/>
        <v>-0.75251418853507235</v>
      </c>
      <c r="BH327" s="44">
        <f t="shared" si="301"/>
        <v>59.184742437257469</v>
      </c>
      <c r="BI327" s="42" t="str">
        <f t="shared" si="306"/>
        <v>1.44405757053855+5.02903940213822i</v>
      </c>
      <c r="BJ327" s="20">
        <f t="shared" si="302"/>
        <v>14.373785519669342</v>
      </c>
      <c r="BK327" s="44">
        <f t="shared" si="307"/>
        <v>73.978908202564526</v>
      </c>
      <c r="BL327">
        <f t="shared" si="303"/>
        <v>-0.75251418853507235</v>
      </c>
      <c r="BM327" s="44">
        <f t="shared" si="304"/>
        <v>59.184742437257469</v>
      </c>
    </row>
    <row r="328" spans="14:65" x14ac:dyDescent="0.35">
      <c r="N328" s="9">
        <v>10</v>
      </c>
      <c r="O328" s="35">
        <f t="shared" si="308"/>
        <v>12589.254117941671</v>
      </c>
      <c r="P328" s="34" t="str">
        <f t="shared" si="257"/>
        <v>16.3709677419355</v>
      </c>
      <c r="Q328" s="4" t="str">
        <f t="shared" si="258"/>
        <v>1+11.6354455241948i</v>
      </c>
      <c r="R328" s="4">
        <f t="shared" si="269"/>
        <v>11.6783386038642</v>
      </c>
      <c r="S328" s="4">
        <f t="shared" si="270"/>
        <v>1.4850627197140029</v>
      </c>
      <c r="T328" s="4" t="str">
        <f t="shared" si="259"/>
        <v>1+0.0126560986403522i</v>
      </c>
      <c r="U328" s="4">
        <f t="shared" si="271"/>
        <v>1.0000800852095768</v>
      </c>
      <c r="V328" s="4">
        <f t="shared" si="272"/>
        <v>1.2655422967355393E-2</v>
      </c>
      <c r="W328" t="str">
        <f t="shared" si="260"/>
        <v>1-0.165627005165833i</v>
      </c>
      <c r="X328" s="4">
        <f t="shared" si="273"/>
        <v>1.0136233545258333</v>
      </c>
      <c r="Y328" s="4">
        <f t="shared" si="274"/>
        <v>-0.16413694464659306</v>
      </c>
      <c r="Z328" t="str">
        <f t="shared" si="261"/>
        <v>0.999862854023367+0.0326184268991374i</v>
      </c>
      <c r="AA328" s="4">
        <f t="shared" si="275"/>
        <v>1.0003947663943107</v>
      </c>
      <c r="AB328" s="4">
        <f t="shared" si="276"/>
        <v>3.2611335369082631E-2</v>
      </c>
      <c r="AC328" s="48" t="str">
        <f t="shared" si="277"/>
        <v>-0.139491576281777-1.41360824617389i</v>
      </c>
      <c r="AD328" s="20">
        <f t="shared" si="278"/>
        <v>3.0486653237673043</v>
      </c>
      <c r="AE328" s="44">
        <f t="shared" si="279"/>
        <v>-95.635569899205862</v>
      </c>
      <c r="AF328" t="str">
        <f t="shared" si="280"/>
        <v>45.9520231294187</v>
      </c>
      <c r="AG328" t="str">
        <f t="shared" si="262"/>
        <v>1+5.58357292956713i</v>
      </c>
      <c r="AH328">
        <f t="shared" si="281"/>
        <v>5.6724145352569977</v>
      </c>
      <c r="AI328">
        <f t="shared" si="282"/>
        <v>1.3935783885154067</v>
      </c>
      <c r="AJ328" t="str">
        <f t="shared" si="263"/>
        <v>1+0.0126560986403522i</v>
      </c>
      <c r="AK328">
        <f t="shared" si="283"/>
        <v>1.0000800852095768</v>
      </c>
      <c r="AL328">
        <f t="shared" si="284"/>
        <v>1.2655422967355393E-2</v>
      </c>
      <c r="AM328" t="str">
        <f t="shared" si="264"/>
        <v>1-0.0283158421497251i</v>
      </c>
      <c r="AN328">
        <f t="shared" si="285"/>
        <v>1.0004008131327404</v>
      </c>
      <c r="AO328">
        <f t="shared" si="286"/>
        <v>-2.8308278031022135E-2</v>
      </c>
      <c r="AP328" s="42" t="str">
        <f t="shared" si="287"/>
        <v>1.30377285494128-7.99930771509808i</v>
      </c>
      <c r="AQ328">
        <f t="shared" si="288"/>
        <v>18.174909816865853</v>
      </c>
      <c r="AR328" s="44">
        <f t="shared" si="289"/>
        <v>-80.743002615053442</v>
      </c>
      <c r="AS328" t="str">
        <f t="shared" si="265"/>
        <v>-0.000166666666666667</v>
      </c>
      <c r="AT328" t="str">
        <f t="shared" si="266"/>
        <v>0.000998249780257779i</v>
      </c>
      <c r="AU328">
        <f t="shared" si="290"/>
        <v>9.9824978025777906E-4</v>
      </c>
      <c r="AV328">
        <f t="shared" si="291"/>
        <v>1.5707963267948966</v>
      </c>
      <c r="AW328" t="str">
        <f t="shared" si="267"/>
        <v>1+0.18186873917812i</v>
      </c>
      <c r="AX328">
        <f t="shared" si="292"/>
        <v>1.0164035804198246</v>
      </c>
      <c r="AY328">
        <f t="shared" si="293"/>
        <v>0.17990243888139468</v>
      </c>
      <c r="AZ328" t="str">
        <f t="shared" si="268"/>
        <v>1+3.70190885230301i</v>
      </c>
      <c r="BA328">
        <f t="shared" si="294"/>
        <v>3.8345963478258551</v>
      </c>
      <c r="BB328">
        <f t="shared" si="295"/>
        <v>1.3069624830182673</v>
      </c>
      <c r="BC328" s="42" t="str">
        <f t="shared" si="296"/>
        <v>-0.568885371647551+0.270421346675444i</v>
      </c>
      <c r="BD328">
        <f t="shared" si="297"/>
        <v>-4.0147401118756223</v>
      </c>
      <c r="BE328" s="44">
        <f t="shared" si="298"/>
        <v>154.57578378687103</v>
      </c>
      <c r="BF328" s="42" t="str">
        <f t="shared" si="299"/>
        <v>0.461624562816617+0.766459552580678i</v>
      </c>
      <c r="BG328" s="20">
        <f t="shared" si="300"/>
        <v>-0.96607478810831604</v>
      </c>
      <c r="BH328" s="44">
        <f t="shared" si="301"/>
        <v>58.940213887665202</v>
      </c>
      <c r="BI328" s="42" t="str">
        <f t="shared" si="306"/>
        <v>1.42148625966083+4.9032571536188i</v>
      </c>
      <c r="BJ328" s="20">
        <f t="shared" si="302"/>
        <v>14.160169704990224</v>
      </c>
      <c r="BK328" s="44">
        <f t="shared" si="307"/>
        <v>73.832781171817629</v>
      </c>
      <c r="BL328">
        <f t="shared" si="303"/>
        <v>-0.96607478810831604</v>
      </c>
      <c r="BM328" s="44">
        <f t="shared" si="304"/>
        <v>58.940213887665202</v>
      </c>
    </row>
    <row r="329" spans="14:65" x14ac:dyDescent="0.35">
      <c r="N329" s="9">
        <v>11</v>
      </c>
      <c r="O329" s="35">
        <f t="shared" si="308"/>
        <v>12882.49551693136</v>
      </c>
      <c r="P329" s="34" t="str">
        <f t="shared" si="257"/>
        <v>16.3709677419355</v>
      </c>
      <c r="Q329" s="4" t="str">
        <f t="shared" si="258"/>
        <v>1+11.906469866973i</v>
      </c>
      <c r="R329" s="4">
        <f t="shared" si="269"/>
        <v>11.94839004607466</v>
      </c>
      <c r="S329" s="4">
        <f t="shared" si="270"/>
        <v>1.4870050278015887</v>
      </c>
      <c r="T329" s="4" t="str">
        <f t="shared" si="259"/>
        <v>1+0.0129508970482864i</v>
      </c>
      <c r="U329" s="4">
        <f t="shared" si="271"/>
        <v>1.0000838593509822</v>
      </c>
      <c r="V329" s="4">
        <f t="shared" si="272"/>
        <v>1.2950173054905069E-2</v>
      </c>
      <c r="W329" t="str">
        <f t="shared" si="260"/>
        <v>1-0.169484953718646i</v>
      </c>
      <c r="X329" s="4">
        <f t="shared" si="273"/>
        <v>1.0142608883009399</v>
      </c>
      <c r="Y329" s="4">
        <f t="shared" si="274"/>
        <v>-0.16788953505429471</v>
      </c>
      <c r="Z329" t="str">
        <f t="shared" si="261"/>
        <v>0.999856390532618+0.0333782076651094i</v>
      </c>
      <c r="AA329" s="4">
        <f t="shared" si="275"/>
        <v>1.0004133677814637</v>
      </c>
      <c r="AB329" s="4">
        <f t="shared" si="276"/>
        <v>3.3370609117126381E-2</v>
      </c>
      <c r="AC329" s="48" t="str">
        <f t="shared" si="277"/>
        <v>-0.144935392420338-1.38164061280546i</v>
      </c>
      <c r="AD329" s="20">
        <f t="shared" si="278"/>
        <v>2.8554314378507302</v>
      </c>
      <c r="AE329" s="44">
        <f t="shared" si="279"/>
        <v>-95.988478792971463</v>
      </c>
      <c r="AF329" t="str">
        <f t="shared" si="280"/>
        <v>45.9520231294187</v>
      </c>
      <c r="AG329" t="str">
        <f t="shared" si="262"/>
        <v>1+5.71363105071457i</v>
      </c>
      <c r="AH329">
        <f t="shared" si="281"/>
        <v>5.8004809958907444</v>
      </c>
      <c r="AI329">
        <f t="shared" si="282"/>
        <v>1.3975312048657071</v>
      </c>
      <c r="AJ329" t="str">
        <f t="shared" si="263"/>
        <v>1+0.0129508970482864i</v>
      </c>
      <c r="AK329">
        <f t="shared" si="283"/>
        <v>1.0000838593509822</v>
      </c>
      <c r="AL329">
        <f t="shared" si="284"/>
        <v>1.2950173054905069E-2</v>
      </c>
      <c r="AM329" t="str">
        <f t="shared" si="264"/>
        <v>1-0.0289754028423417i</v>
      </c>
      <c r="AN329">
        <f t="shared" si="285"/>
        <v>1.0004196989113499</v>
      </c>
      <c r="AO329">
        <f t="shared" si="286"/>
        <v>-2.8967297926758111E-2</v>
      </c>
      <c r="AP329" s="42" t="str">
        <f t="shared" si="287"/>
        <v>1.24123247899956-7.82830289405323i</v>
      </c>
      <c r="AQ329">
        <f t="shared" si="288"/>
        <v>17.981185627585454</v>
      </c>
      <c r="AR329" s="44">
        <f t="shared" si="289"/>
        <v>-80.990353431729019</v>
      </c>
      <c r="AS329" t="str">
        <f t="shared" si="265"/>
        <v>-0.000166666666666667</v>
      </c>
      <c r="AT329" t="str">
        <f t="shared" si="266"/>
        <v>0.00102150200468359i</v>
      </c>
      <c r="AU329">
        <f t="shared" si="290"/>
        <v>1.02150200468359E-3</v>
      </c>
      <c r="AV329">
        <f t="shared" si="291"/>
        <v>1.5707963267948966</v>
      </c>
      <c r="AW329" t="str">
        <f t="shared" si="267"/>
        <v>1+0.186105006315907i</v>
      </c>
      <c r="AX329">
        <f t="shared" si="292"/>
        <v>1.0171701300057154</v>
      </c>
      <c r="AY329">
        <f t="shared" si="293"/>
        <v>0.18399999367274592</v>
      </c>
      <c r="AZ329" t="str">
        <f t="shared" si="268"/>
        <v>1+3.78813738662377i</v>
      </c>
      <c r="BA329">
        <f t="shared" si="294"/>
        <v>3.9179056726696171</v>
      </c>
      <c r="BB329">
        <f t="shared" si="295"/>
        <v>1.3127020583273297</v>
      </c>
      <c r="BC329" s="42" t="str">
        <f t="shared" si="296"/>
        <v>-0.568028259318933+0.268871336058486i</v>
      </c>
      <c r="BD329">
        <f t="shared" si="297"/>
        <v>-4.0346019243094293</v>
      </c>
      <c r="BE329" s="44">
        <f t="shared" si="298"/>
        <v>154.66986463240974</v>
      </c>
      <c r="BF329" s="42" t="str">
        <f t="shared" si="299"/>
        <v>0.4538109561879+0.745841939694012i</v>
      </c>
      <c r="BG329" s="20">
        <f t="shared" si="300"/>
        <v>-1.1791704864586985</v>
      </c>
      <c r="BH329" s="44">
        <f t="shared" si="301"/>
        <v>58.681385839438292</v>
      </c>
      <c r="BI329" s="42" t="str">
        <f t="shared" si="306"/>
        <v>1.39975113373836+4.78042910131822i</v>
      </c>
      <c r="BJ329" s="20">
        <f t="shared" si="302"/>
        <v>13.946583703276026</v>
      </c>
      <c r="BK329" s="44">
        <f t="shared" si="307"/>
        <v>73.679511200680722</v>
      </c>
      <c r="BL329">
        <f t="shared" si="303"/>
        <v>-1.1791704864586985</v>
      </c>
      <c r="BM329" s="44">
        <f t="shared" si="304"/>
        <v>58.681385839438292</v>
      </c>
    </row>
    <row r="330" spans="14:65" x14ac:dyDescent="0.35">
      <c r="N330" s="9">
        <v>12</v>
      </c>
      <c r="O330" s="35">
        <f t="shared" si="308"/>
        <v>13182.567385564091</v>
      </c>
      <c r="P330" s="34" t="str">
        <f t="shared" si="257"/>
        <v>16.3709677419355</v>
      </c>
      <c r="Q330" s="4" t="str">
        <f t="shared" si="258"/>
        <v>1+12.1838071776754i</v>
      </c>
      <c r="R330" s="4">
        <f t="shared" si="269"/>
        <v>12.224776371892233</v>
      </c>
      <c r="S330" s="4">
        <f t="shared" si="270"/>
        <v>1.4889037360899593</v>
      </c>
      <c r="T330" s="4" t="str">
        <f t="shared" si="259"/>
        <v>1+0.013252562193261i</v>
      </c>
      <c r="U330" s="4">
        <f t="shared" si="271"/>
        <v>1.0000878113469267</v>
      </c>
      <c r="V330" s="4">
        <f t="shared" si="272"/>
        <v>1.3251786424054845E-2</v>
      </c>
      <c r="W330" t="str">
        <f t="shared" si="260"/>
        <v>1-0.173432765437318i</v>
      </c>
      <c r="X330" s="4">
        <f t="shared" si="273"/>
        <v>1.0149280388910515</v>
      </c>
      <c r="Y330" s="4">
        <f t="shared" si="274"/>
        <v>-0.17172459862335954</v>
      </c>
      <c r="Z330" t="str">
        <f t="shared" si="261"/>
        <v>0.999849622426934+0.0341556859985982i</v>
      </c>
      <c r="AA330" s="4">
        <f t="shared" si="275"/>
        <v>1.0004328454990457</v>
      </c>
      <c r="AB330" s="4">
        <f t="shared" si="276"/>
        <v>3.4147544191042031E-2</v>
      </c>
      <c r="AC330" s="48" t="str">
        <f t="shared" si="277"/>
        <v>-0.150136950952072-1.35036461991705i</v>
      </c>
      <c r="AD330" s="20">
        <f t="shared" si="278"/>
        <v>2.6623774542530203</v>
      </c>
      <c r="AE330" s="44">
        <f t="shared" si="279"/>
        <v>-96.344233648687435</v>
      </c>
      <c r="AF330" t="str">
        <f t="shared" si="280"/>
        <v>45.9520231294187</v>
      </c>
      <c r="AG330" t="str">
        <f t="shared" si="262"/>
        <v>1+5.84671861467395i</v>
      </c>
      <c r="AH330">
        <f t="shared" si="281"/>
        <v>5.9316202305251204</v>
      </c>
      <c r="AI330">
        <f t="shared" si="282"/>
        <v>1.4013993362143249</v>
      </c>
      <c r="AJ330" t="str">
        <f t="shared" si="263"/>
        <v>1+0.013252562193261i</v>
      </c>
      <c r="AK330">
        <f t="shared" si="283"/>
        <v>1.0000878113469267</v>
      </c>
      <c r="AL330">
        <f t="shared" si="284"/>
        <v>1.3251786424054845E-2</v>
      </c>
      <c r="AM330" t="str">
        <f t="shared" si="264"/>
        <v>1-0.0296503266770801i</v>
      </c>
      <c r="AN330">
        <f t="shared" si="285"/>
        <v>1.000439474367169</v>
      </c>
      <c r="AO330">
        <f t="shared" si="286"/>
        <v>-2.9641642309594037E-2</v>
      </c>
      <c r="AP330" s="42" t="str">
        <f t="shared" si="287"/>
        <v>1.18134311039087-7.66049120667035i</v>
      </c>
      <c r="AQ330">
        <f t="shared" si="288"/>
        <v>17.787205055440175</v>
      </c>
      <c r="AR330" s="44">
        <f t="shared" si="289"/>
        <v>-81.233336946584956</v>
      </c>
      <c r="AS330" t="str">
        <f t="shared" si="265"/>
        <v>-0.000166666666666667</v>
      </c>
      <c r="AT330" t="str">
        <f t="shared" si="266"/>
        <v>0.00104529584299346i</v>
      </c>
      <c r="AU330">
        <f t="shared" si="290"/>
        <v>1.0452958429934601E-3</v>
      </c>
      <c r="AV330">
        <f t="shared" si="291"/>
        <v>1.5707963267948966</v>
      </c>
      <c r="AW330" t="str">
        <f t="shared" si="267"/>
        <v>1+0.190439948791433i</v>
      </c>
      <c r="AX330">
        <f t="shared" si="292"/>
        <v>1.0179721872898511</v>
      </c>
      <c r="AY330">
        <f t="shared" si="293"/>
        <v>0.18818653224253865</v>
      </c>
      <c r="AZ330" t="str">
        <f t="shared" si="268"/>
        <v>1+3.87637444152883i</v>
      </c>
      <c r="BA330">
        <f t="shared" si="294"/>
        <v>4.003283503692681</v>
      </c>
      <c r="BB330">
        <f t="shared" si="295"/>
        <v>1.318327841275406</v>
      </c>
      <c r="BC330" s="42" t="str">
        <f t="shared" si="296"/>
        <v>-0.56713351635997+0.267449371718091i</v>
      </c>
      <c r="BD330">
        <f t="shared" si="297"/>
        <v>-4.0542007837617842</v>
      </c>
      <c r="BE330" s="44">
        <f t="shared" si="298"/>
        <v>154.7523272609734</v>
      </c>
      <c r="BF330" s="42" t="str">
        <f t="shared" si="299"/>
        <v>0.446301866116167+0.725683002057849i</v>
      </c>
      <c r="BG330" s="20">
        <f t="shared" si="300"/>
        <v>-1.3918233295087661</v>
      </c>
      <c r="BH330" s="44">
        <f t="shared" si="301"/>
        <v>58.408093612285946</v>
      </c>
      <c r="BI330" s="42" t="str">
        <f t="shared" si="306"/>
        <v>1.37881428805235+4.66047078774112i</v>
      </c>
      <c r="BJ330" s="20">
        <f t="shared" si="302"/>
        <v>13.733004271678395</v>
      </c>
      <c r="BK330" s="44">
        <f t="shared" si="307"/>
        <v>73.518990314388432</v>
      </c>
      <c r="BL330">
        <f t="shared" si="303"/>
        <v>-1.3918233295087661</v>
      </c>
      <c r="BM330" s="44">
        <f t="shared" si="304"/>
        <v>58.408093612285946</v>
      </c>
    </row>
    <row r="331" spans="14:65" x14ac:dyDescent="0.35">
      <c r="N331" s="9">
        <v>13</v>
      </c>
      <c r="O331" s="35">
        <f t="shared" si="308"/>
        <v>13489.628825916556</v>
      </c>
      <c r="P331" s="34" t="str">
        <f t="shared" si="257"/>
        <v>16.3709677419355</v>
      </c>
      <c r="Q331" s="4" t="str">
        <f t="shared" si="258"/>
        <v>1+12.4676045042152i</v>
      </c>
      <c r="R331" s="4">
        <f t="shared" si="269"/>
        <v>12.507644145622594</v>
      </c>
      <c r="S331" s="4">
        <f t="shared" si="270"/>
        <v>1.490759796508748</v>
      </c>
      <c r="T331" s="4" t="str">
        <f t="shared" si="259"/>
        <v>1+0.0135612540221288i</v>
      </c>
      <c r="U331" s="4">
        <f t="shared" si="271"/>
        <v>1.0000919495779639</v>
      </c>
      <c r="V331" s="4">
        <f t="shared" si="272"/>
        <v>1.3560422774575635E-2</v>
      </c>
      <c r="W331" t="str">
        <f t="shared" si="260"/>
        <v>1-0.17747253350388i</v>
      </c>
      <c r="X331" s="4">
        <f t="shared" si="273"/>
        <v>1.0156261616107995</v>
      </c>
      <c r="Y331" s="4">
        <f t="shared" si="274"/>
        <v>-0.17564371728912914</v>
      </c>
      <c r="Z331" t="str">
        <f t="shared" si="261"/>
        <v>0.999842535350255+0.0349512741289074i</v>
      </c>
      <c r="AA331" s="4">
        <f t="shared" si="275"/>
        <v>1.0004532408158113</v>
      </c>
      <c r="AB331" s="4">
        <f t="shared" si="276"/>
        <v>3.4942550230585435E-2</v>
      </c>
      <c r="AC331" s="48" t="str">
        <f t="shared" si="277"/>
        <v>-0.155106834019814-1.3197663822527i</v>
      </c>
      <c r="AD331" s="20">
        <f t="shared" si="278"/>
        <v>2.4695170288376813</v>
      </c>
      <c r="AE331" s="44">
        <f t="shared" si="279"/>
        <v>-96.702993966628981</v>
      </c>
      <c r="AF331" t="str">
        <f t="shared" si="280"/>
        <v>45.9520231294187</v>
      </c>
      <c r="AG331" t="str">
        <f t="shared" si="262"/>
        <v>1+5.98290618623329i</v>
      </c>
      <c r="AH331">
        <f t="shared" si="281"/>
        <v>6.0659019472184497</v>
      </c>
      <c r="AI331">
        <f t="shared" si="282"/>
        <v>1.4051843702508986</v>
      </c>
      <c r="AJ331" t="str">
        <f t="shared" si="263"/>
        <v>1+0.0135612540221288i</v>
      </c>
      <c r="AK331">
        <f t="shared" si="283"/>
        <v>1.0000919495779639</v>
      </c>
      <c r="AL331">
        <f t="shared" si="284"/>
        <v>1.3560422774575635E-2</v>
      </c>
      <c r="AM331" t="str">
        <f t="shared" si="264"/>
        <v>1-0.0303409715074912i</v>
      </c>
      <c r="AN331">
        <f t="shared" si="285"/>
        <v>1.0004601813925522</v>
      </c>
      <c r="AO331">
        <f t="shared" si="286"/>
        <v>-3.0331666271231163E-2</v>
      </c>
      <c r="AP331" s="42" t="str">
        <f t="shared" si="287"/>
        <v>1.12399924300071-7.49584399026298i</v>
      </c>
      <c r="AQ331">
        <f t="shared" si="288"/>
        <v>17.592979812181341</v>
      </c>
      <c r="AR331" s="44">
        <f t="shared" si="289"/>
        <v>-81.472055322669533</v>
      </c>
      <c r="AS331" t="str">
        <f t="shared" si="265"/>
        <v>-0.000166666666666667</v>
      </c>
      <c r="AT331" t="str">
        <f t="shared" si="266"/>
        <v>0.00106964391099541i</v>
      </c>
      <c r="AU331">
        <f t="shared" si="290"/>
        <v>1.0696439109954101E-3</v>
      </c>
      <c r="AV331">
        <f t="shared" si="291"/>
        <v>1.5707963267948966</v>
      </c>
      <c r="AW331" t="str">
        <f t="shared" si="267"/>
        <v>1+0.194875865048579i</v>
      </c>
      <c r="AX331">
        <f t="shared" si="292"/>
        <v>1.0188113676134714</v>
      </c>
      <c r="AY331">
        <f t="shared" si="293"/>
        <v>0.19246368703996464</v>
      </c>
      <c r="AZ331" t="str">
        <f t="shared" si="268"/>
        <v>1+3.96666680147267i</v>
      </c>
      <c r="BA331">
        <f t="shared" si="294"/>
        <v>4.0907756616447957</v>
      </c>
      <c r="BB331">
        <f t="shared" si="295"/>
        <v>1.3238413897115722</v>
      </c>
      <c r="BC331" s="42" t="str">
        <f t="shared" si="296"/>
        <v>-0.566199621635834+0.266153735176492i</v>
      </c>
      <c r="BD331">
        <f t="shared" si="297"/>
        <v>-4.073571845729357</v>
      </c>
      <c r="BE331" s="44">
        <f t="shared" si="298"/>
        <v>154.82316739829</v>
      </c>
      <c r="BF331" s="42" t="str">
        <f t="shared" si="299"/>
        <v>0.439082182932073+0.705968963053399i</v>
      </c>
      <c r="BG331" s="20">
        <f t="shared" si="300"/>
        <v>-1.6040548168916695</v>
      </c>
      <c r="BH331" s="44">
        <f t="shared" si="301"/>
        <v>58.120173431661009</v>
      </c>
      <c r="BI331" s="42" t="str">
        <f t="shared" si="306"/>
        <v>1.35863893020279+4.54330062798833i</v>
      </c>
      <c r="BJ331" s="20">
        <f t="shared" si="302"/>
        <v>13.519407966451988</v>
      </c>
      <c r="BK331" s="44">
        <f t="shared" si="307"/>
        <v>73.351112075620421</v>
      </c>
      <c r="BL331">
        <f t="shared" si="303"/>
        <v>-1.6040548168916695</v>
      </c>
      <c r="BM331" s="44">
        <f t="shared" si="304"/>
        <v>58.120173431661009</v>
      </c>
    </row>
    <row r="332" spans="14:65" x14ac:dyDescent="0.35">
      <c r="N332" s="9">
        <v>14</v>
      </c>
      <c r="O332" s="35">
        <f t="shared" si="308"/>
        <v>13803.842646028841</v>
      </c>
      <c r="P332" s="34" t="str">
        <f t="shared" si="257"/>
        <v>16.3709677419355</v>
      </c>
      <c r="Q332" s="4" t="str">
        <f t="shared" si="258"/>
        <v>1+12.7580123196914i</v>
      </c>
      <c r="R332" s="4">
        <f t="shared" si="269"/>
        <v>12.797143366759531</v>
      </c>
      <c r="S332" s="4">
        <f t="shared" si="270"/>
        <v>1.4925741419848157</v>
      </c>
      <c r="T332" s="4" t="str">
        <f t="shared" si="259"/>
        <v>1+0.0138771362073836i</v>
      </c>
      <c r="U332" s="4">
        <f t="shared" si="271"/>
        <v>1.0000962828194686</v>
      </c>
      <c r="V332" s="4">
        <f t="shared" si="272"/>
        <v>1.3876245514214184E-2</v>
      </c>
      <c r="W332" t="str">
        <f t="shared" si="260"/>
        <v>1-0.181606399856831i</v>
      </c>
      <c r="X332" s="4">
        <f t="shared" si="273"/>
        <v>1.0163566718770332</v>
      </c>
      <c r="Y332" s="4">
        <f t="shared" si="274"/>
        <v>-0.17964848721520085</v>
      </c>
      <c r="Z332" t="str">
        <f t="shared" si="261"/>
        <v>0.999835114269944+0.0357653938873945i</v>
      </c>
      <c r="AA332" s="4">
        <f t="shared" si="275"/>
        <v>1.0004745969424274</v>
      </c>
      <c r="AB332" s="4">
        <f t="shared" si="276"/>
        <v>3.5756046292659764E-2</v>
      </c>
      <c r="AC332" s="48" t="str">
        <f t="shared" si="277"/>
        <v>-0.159855171544985-1.28983219791822i</v>
      </c>
      <c r="AD332" s="20">
        <f t="shared" si="278"/>
        <v>2.2768641389843061</v>
      </c>
      <c r="AE332" s="44">
        <f t="shared" si="279"/>
        <v>-97.064919300622975</v>
      </c>
      <c r="AF332" t="str">
        <f t="shared" si="280"/>
        <v>45.9520231294187</v>
      </c>
      <c r="AG332" t="str">
        <f t="shared" si="262"/>
        <v>1+6.12226597384568i</v>
      </c>
      <c r="AH332">
        <f t="shared" si="281"/>
        <v>6.2033975089871998</v>
      </c>
      <c r="AI332">
        <f t="shared" si="282"/>
        <v>1.4088878798226558</v>
      </c>
      <c r="AJ332" t="str">
        <f t="shared" si="263"/>
        <v>1+0.0138771362073836i</v>
      </c>
      <c r="AK332">
        <f t="shared" si="283"/>
        <v>1.0000962828194686</v>
      </c>
      <c r="AL332">
        <f t="shared" si="284"/>
        <v>1.3876245514214184E-2</v>
      </c>
      <c r="AM332" t="str">
        <f t="shared" si="264"/>
        <v>1-0.0310477035226057i</v>
      </c>
      <c r="AN332">
        <f t="shared" si="285"/>
        <v>1.0004818638506285</v>
      </c>
      <c r="AO332">
        <f t="shared" si="286"/>
        <v>-3.1037733041657821E-2</v>
      </c>
      <c r="AP332" s="42" t="str">
        <f t="shared" si="287"/>
        <v>1.06909897909062-7.33433060877401i</v>
      </c>
      <c r="AQ332">
        <f t="shared" si="288"/>
        <v>17.398521179978388</v>
      </c>
      <c r="AR332" s="44">
        <f t="shared" si="289"/>
        <v>-81.706610126461882</v>
      </c>
      <c r="AS332" t="str">
        <f t="shared" si="265"/>
        <v>-0.000166666666666667</v>
      </c>
      <c r="AT332" t="str">
        <f t="shared" si="266"/>
        <v>0.00109455911835738i</v>
      </c>
      <c r="AU332">
        <f t="shared" si="290"/>
        <v>1.09455911835738E-3</v>
      </c>
      <c r="AV332">
        <f t="shared" si="291"/>
        <v>1.5707963267948966</v>
      </c>
      <c r="AW332" t="str">
        <f t="shared" si="267"/>
        <v>1+0.19941510706886i</v>
      </c>
      <c r="AX332">
        <f t="shared" si="292"/>
        <v>1.0196893570726748</v>
      </c>
      <c r="AY332">
        <f t="shared" si="293"/>
        <v>0.19683309959481707</v>
      </c>
      <c r="AZ332" t="str">
        <f t="shared" si="268"/>
        <v>1+4.05906234065969i</v>
      </c>
      <c r="BA332">
        <f t="shared" si="294"/>
        <v>4.1804290551762415</v>
      </c>
      <c r="BB332">
        <f t="shared" si="295"/>
        <v>1.3292442855654096</v>
      </c>
      <c r="BC332" s="42" t="str">
        <f t="shared" si="296"/>
        <v>-0.565225004654385+0.264982714381977i</v>
      </c>
      <c r="BD332">
        <f t="shared" si="297"/>
        <v>-4.092750050267111</v>
      </c>
      <c r="BE332" s="44">
        <f t="shared" si="298"/>
        <v>154.88238162951922</v>
      </c>
      <c r="BF332" s="42" t="str">
        <f t="shared" si="299"/>
        <v>0.432137376982183+0.686686552807715i</v>
      </c>
      <c r="BG332" s="20">
        <f t="shared" si="300"/>
        <v>-1.8158859112828027</v>
      </c>
      <c r="BH332" s="44">
        <f t="shared" si="301"/>
        <v>57.817462328896241</v>
      </c>
      <c r="BI332" s="42" t="str">
        <f t="shared" si="306"/>
        <v>1.33918935745526+4.42883980190352i</v>
      </c>
      <c r="BJ332" s="20">
        <f t="shared" si="302"/>
        <v>13.305771129711275</v>
      </c>
      <c r="BK332" s="44">
        <f t="shared" si="307"/>
        <v>73.175771503057348</v>
      </c>
      <c r="BL332">
        <f t="shared" si="303"/>
        <v>-1.8158859112828027</v>
      </c>
      <c r="BM332" s="44">
        <f t="shared" si="304"/>
        <v>57.817462328896241</v>
      </c>
    </row>
    <row r="333" spans="14:65" x14ac:dyDescent="0.35">
      <c r="N333" s="9">
        <v>15</v>
      </c>
      <c r="O333" s="35">
        <f t="shared" si="308"/>
        <v>14125.375446227561</v>
      </c>
      <c r="P333" s="34" t="str">
        <f t="shared" si="257"/>
        <v>16.3709677419355</v>
      </c>
      <c r="Q333" s="4" t="str">
        <f t="shared" si="258"/>
        <v>1+13.0551846021717i</v>
      </c>
      <c r="R333" s="4">
        <f t="shared" si="269"/>
        <v>13.093427549605986</v>
      </c>
      <c r="S333" s="4">
        <f t="shared" si="270"/>
        <v>1.4943476867010685</v>
      </c>
      <c r="T333" s="4" t="str">
        <f t="shared" si="259"/>
        <v>1+0.0142003762339412i</v>
      </c>
      <c r="U333" s="4">
        <f t="shared" si="271"/>
        <v>1.0001008202602302</v>
      </c>
      <c r="V333" s="4">
        <f t="shared" si="272"/>
        <v>1.419942184421139E-2</v>
      </c>
      <c r="W333" t="str">
        <f t="shared" si="260"/>
        <v>1-0.185836556326832i</v>
      </c>
      <c r="X333" s="4">
        <f t="shared" si="273"/>
        <v>1.0171210476965935</v>
      </c>
      <c r="Y333" s="4">
        <f t="shared" si="274"/>
        <v>-0.18374051769580571</v>
      </c>
      <c r="Z333" t="str">
        <f t="shared" si="261"/>
        <v>0.999827343444892+0.0365984769311317i</v>
      </c>
      <c r="AA333" s="4">
        <f t="shared" si="275"/>
        <v>1.0004969591226895</v>
      </c>
      <c r="AB333" s="4">
        <f t="shared" si="276"/>
        <v>3.6588461061788299E-2</v>
      </c>
      <c r="AC333" s="48" t="str">
        <f t="shared" si="277"/>
        <v>-0.164391659332094-1.26054855245742i</v>
      </c>
      <c r="AD333" s="20">
        <f t="shared" si="278"/>
        <v>2.0844331042621715</v>
      </c>
      <c r="AE333" s="44">
        <f t="shared" si="279"/>
        <v>-97.430169217147537</v>
      </c>
      <c r="AF333" t="str">
        <f t="shared" si="280"/>
        <v>45.9520231294187</v>
      </c>
      <c r="AG333" t="str">
        <f t="shared" si="262"/>
        <v>1+6.26487186791521i</v>
      </c>
      <c r="AH333">
        <f t="shared" si="281"/>
        <v>6.3441799723364891</v>
      </c>
      <c r="AI333">
        <f t="shared" si="282"/>
        <v>1.4125114219956241</v>
      </c>
      <c r="AJ333" t="str">
        <f t="shared" si="263"/>
        <v>1+0.0142003762339412i</v>
      </c>
      <c r="AK333">
        <f t="shared" si="283"/>
        <v>1.0001008202602302</v>
      </c>
      <c r="AL333">
        <f t="shared" si="284"/>
        <v>1.419942184421139E-2</v>
      </c>
      <c r="AM333" t="str">
        <f t="shared" si="264"/>
        <v>1-0.0317708974410929i</v>
      </c>
      <c r="AN333">
        <f t="shared" si="285"/>
        <v>1.0005045676678406</v>
      </c>
      <c r="AO333">
        <f t="shared" si="286"/>
        <v>-3.1760214169245661E-2</v>
      </c>
      <c r="AP333" s="42" t="str">
        <f t="shared" si="287"/>
        <v>1.01654395800824-7.17591864193196i</v>
      </c>
      <c r="AQ333">
        <f t="shared" si="288"/>
        <v>17.203840027886056</v>
      </c>
      <c r="AR333" s="44">
        <f t="shared" si="289"/>
        <v>-81.937102279501829</v>
      </c>
      <c r="AS333" t="str">
        <f t="shared" si="265"/>
        <v>-0.000166666666666667</v>
      </c>
      <c r="AT333" t="str">
        <f t="shared" si="266"/>
        <v>0.00112005467545211i</v>
      </c>
      <c r="AU333">
        <f t="shared" si="290"/>
        <v>1.1200546754521099E-3</v>
      </c>
      <c r="AV333">
        <f t="shared" si="291"/>
        <v>1.5707963267948966</v>
      </c>
      <c r="AW333" t="str">
        <f t="shared" si="267"/>
        <v>1+0.204060081618481i</v>
      </c>
      <c r="AX333">
        <f t="shared" si="292"/>
        <v>1.0206079153671801</v>
      </c>
      <c r="AY333">
        <f t="shared" si="293"/>
        <v>0.20129641894941075</v>
      </c>
      <c r="AZ333" t="str">
        <f t="shared" si="268"/>
        <v>1+4.15361004842778i</v>
      </c>
      <c r="BA333">
        <f t="shared" si="294"/>
        <v>4.272291707549968</v>
      </c>
      <c r="BB333">
        <f t="shared" si="295"/>
        <v>1.3345381312435256</v>
      </c>
      <c r="BC333" s="42" t="str">
        <f t="shared" si="296"/>
        <v>-0.564208045116484+0.263934599411134i</v>
      </c>
      <c r="BD333">
        <f t="shared" si="297"/>
        <v>-4.1117701529648194</v>
      </c>
      <c r="BE333" s="44">
        <f t="shared" si="298"/>
        <v>154.92996728263148</v>
      </c>
      <c r="BF333" s="42" t="str">
        <f t="shared" si="299"/>
        <v>0.42545347397635+0.667822987804067i</v>
      </c>
      <c r="BG333" s="20">
        <f t="shared" si="300"/>
        <v>-2.0273370487026461</v>
      </c>
      <c r="BH333" s="44">
        <f t="shared" si="301"/>
        <v>57.499798065483922</v>
      </c>
      <c r="BI333" s="42" t="str">
        <f t="shared" si="306"/>
        <v>1.3204309328424+4.31701215122008i</v>
      </c>
      <c r="BJ333" s="20">
        <f t="shared" si="302"/>
        <v>13.092069874921235</v>
      </c>
      <c r="BK333" s="44">
        <f t="shared" si="307"/>
        <v>72.992865003129637</v>
      </c>
      <c r="BL333">
        <f t="shared" si="303"/>
        <v>-2.0273370487026461</v>
      </c>
      <c r="BM333" s="44">
        <f t="shared" si="304"/>
        <v>57.499798065483922</v>
      </c>
    </row>
    <row r="334" spans="14:65" x14ac:dyDescent="0.35">
      <c r="N334" s="9">
        <v>16</v>
      </c>
      <c r="O334" s="35">
        <f t="shared" si="308"/>
        <v>14454.397707459291</v>
      </c>
      <c r="P334" s="34" t="str">
        <f t="shared" si="257"/>
        <v>16.3709677419355</v>
      </c>
      <c r="Q334" s="4" t="str">
        <f t="shared" si="258"/>
        <v>1+13.3592789163339i</v>
      </c>
      <c r="R334" s="4">
        <f t="shared" si="269"/>
        <v>13.396653804753017</v>
      </c>
      <c r="S334" s="4">
        <f t="shared" si="270"/>
        <v>1.4960813263605302</v>
      </c>
      <c r="T334" s="4" t="str">
        <f t="shared" si="259"/>
        <v>1+0.0145311454879422i</v>
      </c>
      <c r="U334" s="4">
        <f t="shared" si="271"/>
        <v>1.0001055715219227</v>
      </c>
      <c r="V334" s="4">
        <f t="shared" si="272"/>
        <v>1.4530122846752211E-2</v>
      </c>
      <c r="W334" t="str">
        <f t="shared" si="260"/>
        <v>1-0.190165245798835i</v>
      </c>
      <c r="X334" s="4">
        <f t="shared" si="273"/>
        <v>1.0179208322407649</v>
      </c>
      <c r="Y334" s="4">
        <f t="shared" si="274"/>
        <v>-0.18792142995165931</v>
      </c>
      <c r="Z334" t="str">
        <f t="shared" si="261"/>
        <v>0.999819206392138+0.0374509649717759i</v>
      </c>
      <c r="AA334" s="4">
        <f t="shared" si="275"/>
        <v>1.0005203747290314</v>
      </c>
      <c r="AB334" s="4">
        <f t="shared" si="276"/>
        <v>3.7440233064856936E-2</v>
      </c>
      <c r="AC334" s="48" t="str">
        <f t="shared" si="277"/>
        <v>-0.168725576541876-1.23190212231624i</v>
      </c>
      <c r="AD334" s="20">
        <f t="shared" si="278"/>
        <v>1.8922386071263055</v>
      </c>
      <c r="AE334" s="44">
        <f t="shared" si="279"/>
        <v>-97.798903248763011</v>
      </c>
      <c r="AF334" t="str">
        <f t="shared" si="280"/>
        <v>45.9520231294187</v>
      </c>
      <c r="AG334" t="str">
        <f t="shared" si="262"/>
        <v>1+6.41079947997447i</v>
      </c>
      <c r="AH334">
        <f t="shared" si="281"/>
        <v>6.4883241266478766</v>
      </c>
      <c r="AI334">
        <f t="shared" si="282"/>
        <v>1.4160565372076206</v>
      </c>
      <c r="AJ334" t="str">
        <f t="shared" si="263"/>
        <v>1+0.0145311454879422i</v>
      </c>
      <c r="AK334">
        <f t="shared" si="283"/>
        <v>1.0001055715219227</v>
      </c>
      <c r="AL334">
        <f t="shared" si="284"/>
        <v>1.4530122846752211E-2</v>
      </c>
      <c r="AM334" t="str">
        <f t="shared" si="264"/>
        <v>1-0.0325109367099409i</v>
      </c>
      <c r="AN334">
        <f t="shared" si="285"/>
        <v>1.0005283409308092</v>
      </c>
      <c r="AO334">
        <f t="shared" si="286"/>
        <v>-3.2499489704366565E-2</v>
      </c>
      <c r="AP334" s="42" t="str">
        <f t="shared" si="287"/>
        <v>0.96623928120484-7.0205740635743i</v>
      </c>
      <c r="AQ334">
        <f t="shared" si="288"/>
        <v>17.008946828038795</v>
      </c>
      <c r="AR334" s="44">
        <f t="shared" si="289"/>
        <v>-82.163632015370254</v>
      </c>
      <c r="AS334" t="str">
        <f t="shared" si="265"/>
        <v>-0.000166666666666667</v>
      </c>
      <c r="AT334" t="str">
        <f t="shared" si="266"/>
        <v>0.00114614410036144i</v>
      </c>
      <c r="AU334">
        <f t="shared" si="290"/>
        <v>1.1461441003614401E-3</v>
      </c>
      <c r="AV334">
        <f t="shared" si="291"/>
        <v>1.5707963267948966</v>
      </c>
      <c r="AW334" t="str">
        <f t="shared" si="267"/>
        <v>1+0.20881325152443i</v>
      </c>
      <c r="AX334">
        <f t="shared" si="292"/>
        <v>1.0215688787410298</v>
      </c>
      <c r="AY334">
        <f t="shared" si="293"/>
        <v>0.20585529995887919</v>
      </c>
      <c r="AZ334" t="str">
        <f t="shared" si="268"/>
        <v>1+4.25036005522308i</v>
      </c>
      <c r="BA334">
        <f t="shared" si="294"/>
        <v>4.3664127838576992</v>
      </c>
      <c r="BB334">
        <f t="shared" si="295"/>
        <v>1.3397245462257308</v>
      </c>
      <c r="BC334" s="42" t="str">
        <f t="shared" si="296"/>
        <v>-0.563147072588854+0.263007678030349i</v>
      </c>
      <c r="BD334">
        <f t="shared" si="297"/>
        <v>-4.1306667567718502</v>
      </c>
      <c r="BE334" s="44">
        <f t="shared" si="298"/>
        <v>154.96592233077033</v>
      </c>
      <c r="BF334" s="42" t="str">
        <f t="shared" si="299"/>
        <v>0.419017031251477+0.649365951787776i</v>
      </c>
      <c r="BG334" s="20">
        <f t="shared" si="300"/>
        <v>-2.2384281496455491</v>
      </c>
      <c r="BH334" s="44">
        <f t="shared" si="301"/>
        <v>57.167019082007322</v>
      </c>
      <c r="BI334" s="42" t="str">
        <f t="shared" si="306"/>
        <v>1.3023300602699+4.2077440815665i</v>
      </c>
      <c r="BJ334" s="20">
        <f t="shared" si="302"/>
        <v>12.878280071266941</v>
      </c>
      <c r="BK334" s="44">
        <f t="shared" si="307"/>
        <v>72.802290315400128</v>
      </c>
      <c r="BL334">
        <f t="shared" si="303"/>
        <v>-2.2384281496455491</v>
      </c>
      <c r="BM334" s="44">
        <f t="shared" si="304"/>
        <v>57.167019082007322</v>
      </c>
    </row>
    <row r="335" spans="14:65" x14ac:dyDescent="0.35">
      <c r="N335" s="9">
        <v>17</v>
      </c>
      <c r="O335" s="35">
        <f t="shared" si="308"/>
        <v>14791.083881682089</v>
      </c>
      <c r="P335" s="34" t="str">
        <f t="shared" si="257"/>
        <v>16.3709677419355</v>
      </c>
      <c r="Q335" s="4" t="str">
        <f t="shared" si="258"/>
        <v>1+13.6704564970085i</v>
      </c>
      <c r="R335" s="4">
        <f t="shared" si="269"/>
        <v>13.7069829224597</v>
      </c>
      <c r="S335" s="4">
        <f t="shared" si="270"/>
        <v>1.497775938454853</v>
      </c>
      <c r="T335" s="4" t="str">
        <f t="shared" si="259"/>
        <v>1+0.0148696193476233i</v>
      </c>
      <c r="U335" s="4">
        <f t="shared" si="271"/>
        <v>1.0001105466794873</v>
      </c>
      <c r="V335" s="4">
        <f t="shared" si="272"/>
        <v>1.4868523574387426E-2</v>
      </c>
      <c r="W335" t="str">
        <f t="shared" si="260"/>
        <v>1-0.194594763401295i</v>
      </c>
      <c r="X335" s="4">
        <f t="shared" si="273"/>
        <v>1.0187576365079214</v>
      </c>
      <c r="Y335" s="4">
        <f t="shared" si="274"/>
        <v>-0.19219285581335185</v>
      </c>
      <c r="Z335" t="str">
        <f t="shared" si="261"/>
        <v>0.999810685851903+0.0383233100097703i</v>
      </c>
      <c r="AA335" s="4">
        <f t="shared" si="275"/>
        <v>1.0005448933624905</v>
      </c>
      <c r="AB335" s="4">
        <f t="shared" si="276"/>
        <v>3.8311810890183401E-2</v>
      </c>
      <c r="AC335" s="48" t="str">
        <f t="shared" si="277"/>
        <v>-0.172865802545756-1.20387977773949i</v>
      </c>
      <c r="AD335" s="20">
        <f t="shared" si="278"/>
        <v>1.7002957136161891</v>
      </c>
      <c r="AE335" s="44">
        <f t="shared" si="279"/>
        <v>-98.171280841488297</v>
      </c>
      <c r="AF335" t="str">
        <f t="shared" si="280"/>
        <v>45.9520231294187</v>
      </c>
      <c r="AG335" t="str">
        <f t="shared" si="262"/>
        <v>1+6.56012618277498i</v>
      </c>
      <c r="AH335">
        <f t="shared" si="281"/>
        <v>6.6359065344480133</v>
      </c>
      <c r="AI335">
        <f t="shared" si="282"/>
        <v>1.419524748507722</v>
      </c>
      <c r="AJ335" t="str">
        <f t="shared" si="263"/>
        <v>1+0.0148696193476233i</v>
      </c>
      <c r="AK335">
        <f t="shared" si="283"/>
        <v>1.0001105466794873</v>
      </c>
      <c r="AL335">
        <f t="shared" si="284"/>
        <v>1.4868523574387426E-2</v>
      </c>
      <c r="AM335" t="str">
        <f t="shared" si="264"/>
        <v>1-0.0332682137077657i</v>
      </c>
      <c r="AN335">
        <f t="shared" si="285"/>
        <v>1.0005532339877301</v>
      </c>
      <c r="AO335">
        <f t="shared" si="286"/>
        <v>-3.325594838656655E-2</v>
      </c>
      <c r="AP335" s="42" t="str">
        <f t="shared" si="287"/>
        <v>0.918093434201309-6.86826140952386i</v>
      </c>
      <c r="AQ335">
        <f t="shared" si="288"/>
        <v>16.813851671558979</v>
      </c>
      <c r="AR335" s="44">
        <f t="shared" si="289"/>
        <v>-82.386298841714066</v>
      </c>
      <c r="AS335" t="str">
        <f t="shared" si="265"/>
        <v>-0.000166666666666667</v>
      </c>
      <c r="AT335" t="str">
        <f t="shared" si="266"/>
        <v>0.00117284122604379i</v>
      </c>
      <c r="AU335">
        <f t="shared" si="290"/>
        <v>1.17284122604379E-3</v>
      </c>
      <c r="AV335">
        <f t="shared" si="291"/>
        <v>1.5707963267948966</v>
      </c>
      <c r="AW335" t="str">
        <f t="shared" si="267"/>
        <v>1+0.213677136980308i</v>
      </c>
      <c r="AX335">
        <f t="shared" si="292"/>
        <v>1.0225741630161116</v>
      </c>
      <c r="AY335">
        <f t="shared" si="293"/>
        <v>0.21051140145340677</v>
      </c>
      <c r="AZ335" t="str">
        <f t="shared" si="268"/>
        <v>1+4.34936365917981i</v>
      </c>
      <c r="BA335">
        <f t="shared" si="294"/>
        <v>4.4628426187570165</v>
      </c>
      <c r="BB335">
        <f t="shared" si="295"/>
        <v>1.3448051638560581</v>
      </c>
      <c r="BC335" s="42" t="str">
        <f t="shared" si="296"/>
        <v>-0.562040366314223+0.262200231114116i</v>
      </c>
      <c r="BD335">
        <f t="shared" si="297"/>
        <v>-4.1494743445144238</v>
      </c>
      <c r="BE335" s="44">
        <f t="shared" si="298"/>
        <v>154.99024531368684</v>
      </c>
      <c r="BF335" s="42" t="str">
        <f t="shared" si="299"/>
        <v>0.412815114942924+0.631303577899764i</v>
      </c>
      <c r="BG335" s="20">
        <f t="shared" si="300"/>
        <v>-2.4491786308982331</v>
      </c>
      <c r="BH335" s="44">
        <f t="shared" si="301"/>
        <v>56.81896447219853</v>
      </c>
      <c r="BI335" s="42" t="str">
        <f t="shared" si="306"/>
        <v>1.28485415886013+4.10096446918257i</v>
      </c>
      <c r="BJ335" s="20">
        <f t="shared" si="302"/>
        <v>12.664377327044555</v>
      </c>
      <c r="BK335" s="44">
        <f t="shared" si="307"/>
        <v>72.603946471972833</v>
      </c>
      <c r="BL335">
        <f t="shared" si="303"/>
        <v>-2.4491786308982331</v>
      </c>
      <c r="BM335" s="44">
        <f t="shared" si="304"/>
        <v>56.81896447219853</v>
      </c>
    </row>
    <row r="336" spans="14:65" x14ac:dyDescent="0.35">
      <c r="N336" s="9">
        <v>18</v>
      </c>
      <c r="O336" s="35">
        <f t="shared" si="308"/>
        <v>15135.612484362096</v>
      </c>
      <c r="P336" s="34" t="str">
        <f t="shared" si="257"/>
        <v>16.3709677419355</v>
      </c>
      <c r="Q336" s="4" t="str">
        <f t="shared" si="258"/>
        <v>1+13.9888823346677i</v>
      </c>
      <c r="R336" s="4">
        <f t="shared" si="269"/>
        <v>14.02457945797941</v>
      </c>
      <c r="S336" s="4">
        <f t="shared" si="270"/>
        <v>1.4994323825365159</v>
      </c>
      <c r="T336" s="4" t="str">
        <f t="shared" si="259"/>
        <v>1+0.0152159772763052i</v>
      </c>
      <c r="U336" s="4">
        <f t="shared" si="271"/>
        <v>1.0001157562824781</v>
      </c>
      <c r="V336" s="4">
        <f t="shared" si="272"/>
        <v>1.5214803141468405E-2</v>
      </c>
      <c r="W336" t="str">
        <f t="shared" si="260"/>
        <v>1-0.199127457723076i</v>
      </c>
      <c r="X336" s="4">
        <f t="shared" si="273"/>
        <v>1.0196331420757445</v>
      </c>
      <c r="Y336" s="4">
        <f t="shared" si="274"/>
        <v>-0.19655643628614319</v>
      </c>
      <c r="Z336" t="str">
        <f t="shared" si="261"/>
        <v>0.999801763750977+0.0392159745740008i</v>
      </c>
      <c r="AA336" s="4">
        <f t="shared" si="275"/>
        <v>1.0005705669573501</v>
      </c>
      <c r="AB336" s="4">
        <f t="shared" si="276"/>
        <v>3.9203653410964427E-2</v>
      </c>
      <c r="AC336" s="48" t="str">
        <f t="shared" si="277"/>
        <v>-0.176820833174955-1.17646858514189i</v>
      </c>
      <c r="AD336" s="20">
        <f t="shared" si="278"/>
        <v>1.5086198940305566</v>
      </c>
      <c r="AE336" s="44">
        <f t="shared" si="279"/>
        <v>-98.547461295729406</v>
      </c>
      <c r="AF336" t="str">
        <f t="shared" si="280"/>
        <v>45.9520231294187</v>
      </c>
      <c r="AG336" t="str">
        <f t="shared" si="262"/>
        <v>1+6.71293115131112i</v>
      </c>
      <c r="AH336">
        <f t="shared" si="281"/>
        <v>6.7870055725808305</v>
      </c>
      <c r="AI336">
        <f t="shared" si="282"/>
        <v>1.422917560877073</v>
      </c>
      <c r="AJ336" t="str">
        <f t="shared" si="263"/>
        <v>1+0.0152159772763052i</v>
      </c>
      <c r="AK336">
        <f t="shared" si="283"/>
        <v>1.0001157562824781</v>
      </c>
      <c r="AL336">
        <f t="shared" si="284"/>
        <v>1.5214803141468405E-2</v>
      </c>
      <c r="AM336" t="str">
        <f t="shared" si="264"/>
        <v>1-0.0340431299528551i</v>
      </c>
      <c r="AN336">
        <f t="shared" si="285"/>
        <v>1.0005792995545066</v>
      </c>
      <c r="AO336">
        <f t="shared" si="286"/>
        <v>-3.4029987835326889E-2</v>
      </c>
      <c r="AP336" s="42" t="str">
        <f t="shared" si="287"/>
        <v>0.872018206088313-6.7189439354146i</v>
      </c>
      <c r="AQ336">
        <f t="shared" si="288"/>
        <v>16.618564284170255</v>
      </c>
      <c r="AR336" s="44">
        <f t="shared" si="289"/>
        <v>-82.605201507022912</v>
      </c>
      <c r="AS336" t="str">
        <f t="shared" si="265"/>
        <v>-0.000166666666666667</v>
      </c>
      <c r="AT336" t="str">
        <f t="shared" si="266"/>
        <v>0.00120016020766858i</v>
      </c>
      <c r="AU336">
        <f t="shared" si="290"/>
        <v>1.2001602076685801E-3</v>
      </c>
      <c r="AV336">
        <f t="shared" si="291"/>
        <v>1.5707963267948966</v>
      </c>
      <c r="AW336" t="str">
        <f t="shared" si="267"/>
        <v>1+0.218654316882564i</v>
      </c>
      <c r="AX336">
        <f t="shared" si="292"/>
        <v>1.0236257667191564</v>
      </c>
      <c r="AY336">
        <f t="shared" si="293"/>
        <v>0.21526638425584835</v>
      </c>
      <c r="AZ336" t="str">
        <f t="shared" si="268"/>
        <v>1+4.45067335331928i</v>
      </c>
      <c r="BA336">
        <f t="shared" si="294"/>
        <v>4.5616327447468068</v>
      </c>
      <c r="BB336">
        <f t="shared" si="295"/>
        <v>1.3497816283233257</v>
      </c>
      <c r="BC336" s="42" t="str">
        <f t="shared" si="296"/>
        <v>-0.56088615517465+0.261510527918476i</v>
      </c>
      <c r="BD336">
        <f t="shared" si="297"/>
        <v>-4.1682273119505533</v>
      </c>
      <c r="BE336" s="44">
        <f t="shared" si="298"/>
        <v>155.00293527832093</v>
      </c>
      <c r="BF336" s="42" t="str">
        <f t="shared" si="299"/>
        <v>0.406835278054237+0.613624431973428i</v>
      </c>
      <c r="BG336" s="20">
        <f t="shared" si="300"/>
        <v>-2.6596074179199931</v>
      </c>
      <c r="BH336" s="44">
        <f t="shared" si="301"/>
        <v>56.455473982591521</v>
      </c>
      <c r="BI336" s="42" t="str">
        <f t="shared" si="306"/>
        <v>1.26797163674975+3.9966045721974i</v>
      </c>
      <c r="BJ336" s="20">
        <f t="shared" si="302"/>
        <v>12.450336972219695</v>
      </c>
      <c r="BK336" s="44">
        <f t="shared" si="307"/>
        <v>72.397733771297936</v>
      </c>
      <c r="BL336">
        <f t="shared" si="303"/>
        <v>-2.6596074179199931</v>
      </c>
      <c r="BM336" s="44">
        <f t="shared" si="304"/>
        <v>56.455473982591521</v>
      </c>
    </row>
    <row r="337" spans="14:65" x14ac:dyDescent="0.35">
      <c r="N337" s="9">
        <v>19</v>
      </c>
      <c r="O337" s="35">
        <f t="shared" si="308"/>
        <v>15488.166189124853</v>
      </c>
      <c r="P337" s="34" t="str">
        <f t="shared" si="257"/>
        <v>16.3709677419355</v>
      </c>
      <c r="Q337" s="4" t="str">
        <f t="shared" si="258"/>
        <v>1+14.3147252629055i</v>
      </c>
      <c r="R337" s="4">
        <f t="shared" si="269"/>
        <v>14.349611818877364</v>
      </c>
      <c r="S337" s="4">
        <f t="shared" si="270"/>
        <v>1.5010515004940042</v>
      </c>
      <c r="T337" s="4" t="str">
        <f t="shared" si="259"/>
        <v>1+0.0155704029175464i</v>
      </c>
      <c r="U337" s="4">
        <f t="shared" si="271"/>
        <v>1.0001212113774083</v>
      </c>
      <c r="V337" s="4">
        <f t="shared" si="272"/>
        <v>1.5569144817636875E-2</v>
      </c>
      <c r="W337" t="str">
        <f t="shared" si="260"/>
        <v>1-0.203765732058706i</v>
      </c>
      <c r="X337" s="4">
        <f t="shared" si="273"/>
        <v>1.0205491039442542</v>
      </c>
      <c r="Y337" s="4">
        <f t="shared" si="274"/>
        <v>-0.20101381998991796</v>
      </c>
      <c r="Z337" t="str">
        <f t="shared" si="261"/>
        <v>0.99979242116439+0.0401294319670353i</v>
      </c>
      <c r="AA337" s="4">
        <f t="shared" si="275"/>
        <v>1.0005974498906889</v>
      </c>
      <c r="AB337" s="4">
        <f t="shared" si="276"/>
        <v>4.0116230013152447E-2</v>
      </c>
      <c r="AC337" s="48" t="str">
        <f t="shared" si="277"/>
        <v>-0.180598796378209-1.14965580899333i</v>
      </c>
      <c r="AD337" s="20">
        <f t="shared" si="278"/>
        <v>1.3172270435526381</v>
      </c>
      <c r="AE337" s="44">
        <f t="shared" si="279"/>
        <v>-98.927603700361729</v>
      </c>
      <c r="AF337" t="str">
        <f t="shared" si="280"/>
        <v>45.9520231294187</v>
      </c>
      <c r="AG337" t="str">
        <f t="shared" si="262"/>
        <v>1+6.86929540479986i</v>
      </c>
      <c r="AH337">
        <f t="shared" si="281"/>
        <v>6.9417014743076111</v>
      </c>
      <c r="AI337">
        <f t="shared" si="282"/>
        <v>1.4262364606261255</v>
      </c>
      <c r="AJ337" t="str">
        <f t="shared" si="263"/>
        <v>1+0.0155704029175464i</v>
      </c>
      <c r="AK337">
        <f t="shared" si="283"/>
        <v>1.0001212113774083</v>
      </c>
      <c r="AL337">
        <f t="shared" si="284"/>
        <v>1.5569144817636875E-2</v>
      </c>
      <c r="AM337" t="str">
        <f t="shared" si="264"/>
        <v>1-0.0348360963160598i</v>
      </c>
      <c r="AN337">
        <f t="shared" si="285"/>
        <v>1.0006065928258427</v>
      </c>
      <c r="AO337">
        <f t="shared" si="286"/>
        <v>-3.4822014744443124E-2</v>
      </c>
      <c r="AP337" s="42" t="str">
        <f t="shared" si="287"/>
        <v>0.827928607093976-6.57258376486577i</v>
      </c>
      <c r="AQ337">
        <f t="shared" si="288"/>
        <v>16.42309404150766</v>
      </c>
      <c r="AR337" s="44">
        <f t="shared" si="289"/>
        <v>-82.820437971873744</v>
      </c>
      <c r="AS337" t="str">
        <f t="shared" si="265"/>
        <v>-0.000166666666666667</v>
      </c>
      <c r="AT337" t="str">
        <f t="shared" si="266"/>
        <v>0.00122811553012147i</v>
      </c>
      <c r="AU337">
        <f t="shared" si="290"/>
        <v>1.2281155301214701E-3</v>
      </c>
      <c r="AV337">
        <f t="shared" si="291"/>
        <v>1.5707963267948966</v>
      </c>
      <c r="AW337" t="str">
        <f t="shared" si="267"/>
        <v>1+0.223747430197864i</v>
      </c>
      <c r="AX337">
        <f t="shared" si="292"/>
        <v>1.0247257743026414</v>
      </c>
      <c r="AY337">
        <f t="shared" si="293"/>
        <v>0.220121909048202</v>
      </c>
      <c r="AZ337" t="str">
        <f t="shared" si="268"/>
        <v>1+4.55434285338231i</v>
      </c>
      <c r="BA337">
        <f t="shared" si="294"/>
        <v>4.662835920998563</v>
      </c>
      <c r="BB337">
        <f t="shared" si="295"/>
        <v>1.3546555918255745</v>
      </c>
      <c r="BC337" s="42" t="str">
        <f t="shared" si="296"/>
        <v>-0.559682617824788+0.260936821208836i</v>
      </c>
      <c r="BD337">
        <f t="shared" si="297"/>
        <v>-4.1869600012117019</v>
      </c>
      <c r="BE337" s="44">
        <f t="shared" si="298"/>
        <v>155.00399173857761</v>
      </c>
      <c r="BF337" s="42" t="str">
        <f t="shared" si="299"/>
        <v>0.401065539415954+0.59631749693379i</v>
      </c>
      <c r="BG337" s="20">
        <f t="shared" si="300"/>
        <v>-2.8697329576590631</v>
      </c>
      <c r="BH337" s="44">
        <f t="shared" si="301"/>
        <v>56.076388038215875</v>
      </c>
      <c r="BI337" s="42" t="str">
        <f t="shared" si="306"/>
        <v>1.25165186454249+3.89459794631574i</v>
      </c>
      <c r="BJ337" s="20">
        <f t="shared" si="302"/>
        <v>12.236134040295967</v>
      </c>
      <c r="BK337" s="44">
        <f t="shared" si="307"/>
        <v>72.183553766703881</v>
      </c>
      <c r="BL337">
        <f t="shared" si="303"/>
        <v>-2.8697329576590631</v>
      </c>
      <c r="BM337" s="44">
        <f t="shared" si="304"/>
        <v>56.076388038215875</v>
      </c>
    </row>
    <row r="338" spans="14:65" x14ac:dyDescent="0.35">
      <c r="N338" s="9">
        <v>20</v>
      </c>
      <c r="O338" s="35">
        <f t="shared" si="308"/>
        <v>15848.931924611146</v>
      </c>
      <c r="P338" s="34" t="str">
        <f t="shared" si="257"/>
        <v>16.3709677419355</v>
      </c>
      <c r="Q338" s="4" t="str">
        <f t="shared" si="258"/>
        <v>1+14.6481580479555i</v>
      </c>
      <c r="R338" s="4">
        <f t="shared" si="269"/>
        <v>14.682252354386348</v>
      </c>
      <c r="S338" s="4">
        <f t="shared" si="270"/>
        <v>1.5026341168293293</v>
      </c>
      <c r="T338" s="4" t="str">
        <f t="shared" si="259"/>
        <v>1+0.015933084192513i</v>
      </c>
      <c r="U338" s="4">
        <f t="shared" si="271"/>
        <v>1.0001269235311516</v>
      </c>
      <c r="V338" s="4">
        <f t="shared" si="272"/>
        <v>1.5931736123411755E-2</v>
      </c>
      <c r="W338" t="str">
        <f t="shared" si="260"/>
        <v>1-0.208512045682632i</v>
      </c>
      <c r="X338" s="4">
        <f t="shared" si="273"/>
        <v>1.0215073534707206</v>
      </c>
      <c r="Y338" s="4">
        <f t="shared" si="274"/>
        <v>-0.2055666614679254</v>
      </c>
      <c r="Z338" t="str">
        <f t="shared" si="261"/>
        <v>0.999782638275261+0.0410641665160745i</v>
      </c>
      <c r="AA338" s="4">
        <f t="shared" si="275"/>
        <v>1.0006255990970356</v>
      </c>
      <c r="AB338" s="4">
        <f t="shared" si="276"/>
        <v>4.105002082780955E-2</v>
      </c>
      <c r="AC338" s="48" t="str">
        <f t="shared" si="277"/>
        <v>-0.184207467302438-1.123428913255i</v>
      </c>
      <c r="AD338" s="20">
        <f t="shared" si="278"/>
        <v>1.1261335027893269</v>
      </c>
      <c r="AE338" s="44">
        <f t="shared" si="279"/>
        <v>-99.3118668595651</v>
      </c>
      <c r="AF338" t="str">
        <f t="shared" si="280"/>
        <v>45.9520231294187</v>
      </c>
      <c r="AG338" t="str">
        <f t="shared" si="262"/>
        <v>1+7.02930184963807i</v>
      </c>
      <c r="AH338">
        <f t="shared" si="281"/>
        <v>7.1000763723586244</v>
      </c>
      <c r="AI338">
        <f t="shared" si="282"/>
        <v>1.4294829148635739</v>
      </c>
      <c r="AJ338" t="str">
        <f t="shared" si="263"/>
        <v>1+0.015933084192513i</v>
      </c>
      <c r="AK338">
        <f t="shared" si="283"/>
        <v>1.0001269235311516</v>
      </c>
      <c r="AL338">
        <f t="shared" si="284"/>
        <v>1.5931736123411755E-2</v>
      </c>
      <c r="AM338" t="str">
        <f t="shared" si="264"/>
        <v>1-0.0356475332386413i</v>
      </c>
      <c r="AN338">
        <f t="shared" si="285"/>
        <v>1.0006351715915247</v>
      </c>
      <c r="AO338">
        <f t="shared" si="286"/>
        <v>-3.5632445080044928E-2</v>
      </c>
      <c r="AP338" s="42" t="str">
        <f t="shared" si="287"/>
        <v>0.785742784703464-6.42914202840726i</v>
      </c>
      <c r="AQ338">
        <f t="shared" si="288"/>
        <v>16.227449984120604</v>
      </c>
      <c r="AR338" s="44">
        <f t="shared" si="289"/>
        <v>-83.032105384372215</v>
      </c>
      <c r="AS338" t="str">
        <f t="shared" si="265"/>
        <v>-0.000166666666666667</v>
      </c>
      <c r="AT338" t="str">
        <f t="shared" si="266"/>
        <v>0.00125672201568446i</v>
      </c>
      <c r="AU338">
        <f t="shared" si="290"/>
        <v>1.2567220156844601E-3</v>
      </c>
      <c r="AV338">
        <f t="shared" si="291"/>
        <v>1.5707963267948966</v>
      </c>
      <c r="AW338" t="str">
        <f t="shared" si="267"/>
        <v>1+0.228959177362301i</v>
      </c>
      <c r="AX338">
        <f t="shared" si="292"/>
        <v>1.0258763594597653</v>
      </c>
      <c r="AY338">
        <f t="shared" si="293"/>
        <v>0.22507963408037587</v>
      </c>
      <c r="AZ338" t="str">
        <f t="shared" si="268"/>
        <v>1+4.66042712631004i</v>
      </c>
      <c r="BA338">
        <f t="shared" si="294"/>
        <v>4.766506162761825</v>
      </c>
      <c r="BB338">
        <f t="shared" si="295"/>
        <v>1.3594287119124242</v>
      </c>
      <c r="BC338" s="42" t="str">
        <f t="shared" si="296"/>
        <v>-0.558427883012914+0.260477342242449i</v>
      </c>
      <c r="BD338">
        <f t="shared" si="297"/>
        <v>-4.205706734481133</v>
      </c>
      <c r="BE338" s="44">
        <f t="shared" si="298"/>
        <v>154.99341465433335</v>
      </c>
      <c r="BF338" s="42" t="str">
        <f t="shared" si="299"/>
        <v>0.395494363523856+0.579372158240336i</v>
      </c>
      <c r="BG338" s="20">
        <f t="shared" si="300"/>
        <v>-3.0795732316918119</v>
      </c>
      <c r="BH338" s="44">
        <f t="shared" si="301"/>
        <v>55.681547794768235</v>
      </c>
      <c r="BI338" s="42" t="str">
        <f t="shared" si="306"/>
        <v>1.23586514860412+3.79488036475856i</v>
      </c>
      <c r="BJ338" s="20">
        <f t="shared" si="302"/>
        <v>12.021743249639471</v>
      </c>
      <c r="BK338" s="44">
        <f t="shared" si="307"/>
        <v>71.961309269961177</v>
      </c>
      <c r="BL338">
        <f t="shared" si="303"/>
        <v>-3.0795732316918119</v>
      </c>
      <c r="BM338" s="44">
        <f t="shared" si="304"/>
        <v>55.681547794768235</v>
      </c>
    </row>
    <row r="339" spans="14:65" x14ac:dyDescent="0.35">
      <c r="N339" s="9">
        <v>21</v>
      </c>
      <c r="O339" s="35">
        <f t="shared" si="308"/>
        <v>16218.100973589309</v>
      </c>
      <c r="P339" s="34" t="str">
        <f t="shared" ref="P339:P402" si="309">COMPLEX(Adc,0)</f>
        <v>16.3709677419355</v>
      </c>
      <c r="Q339" s="4" t="str">
        <f t="shared" ref="Q339:Q402" si="310">IMSUM(COMPLEX(1,0),IMDIV(COMPLEX(0,2*PI()*O339),COMPLEX(wp_lf,0)))</f>
        <v>1+14.9893574802937i</v>
      </c>
      <c r="R339" s="4">
        <f t="shared" si="269"/>
        <v>15.022677446848039</v>
      </c>
      <c r="S339" s="4">
        <f t="shared" si="270"/>
        <v>1.5041810389372898</v>
      </c>
      <c r="T339" s="4" t="str">
        <f t="shared" ref="T339:T402" si="311">IMSUM(COMPLEX(1,0),IMDIV(COMPLEX(0,2*PI()*O339),COMPLEX(wz_esr,0)))</f>
        <v>1+0.0163042133996178i</v>
      </c>
      <c r="U339" s="4">
        <f t="shared" si="271"/>
        <v>1.0001329048554399</v>
      </c>
      <c r="V339" s="4">
        <f t="shared" si="272"/>
        <v>1.6302768927917998E-2</v>
      </c>
      <c r="W339" t="str">
        <f t="shared" ref="W339:W402" si="312">IMSUB(COMPLEX(1,0),IMDIV(COMPLEX(0,2*PI()*O339),COMPLEX(wz_rhp,0)))</f>
        <v>1-0.213368915153161i</v>
      </c>
      <c r="X339" s="4">
        <f t="shared" si="273"/>
        <v>1.0225098013973444</v>
      </c>
      <c r="Y339" s="4">
        <f t="shared" si="274"/>
        <v>-0.2102166193578538</v>
      </c>
      <c r="Z339" t="str">
        <f t="shared" ref="Z339:Z402" si="313">IMSUM(COMPLEX(1,0),IMDIV(COMPLEX(0,2*PI()*O339),COMPLEX(Q*(wsl/2),0)),IMDIV(IMPOWER(COMPLEX(0,2*PI()*O339),2),IMPOWER(COMPLEX(wsl/2,0),2)))</f>
        <v>0.999772394332773+0.0420206738297489i</v>
      </c>
      <c r="AA339" s="4">
        <f t="shared" si="275"/>
        <v>1.0006550741883997</v>
      </c>
      <c r="AB339" s="4">
        <f t="shared" si="276"/>
        <v>4.2005516967984637E-2</v>
      </c>
      <c r="AC339" s="48" t="str">
        <f t="shared" si="277"/>
        <v>-0.187654282811124-1.09777556240145i</v>
      </c>
      <c r="AD339" s="20">
        <f t="shared" si="278"/>
        <v>0.93535607818765154</v>
      </c>
      <c r="AE339" s="44">
        <f t="shared" si="279"/>
        <v>-99.700409212007216</v>
      </c>
      <c r="AF339" t="str">
        <f t="shared" si="280"/>
        <v>45.9520231294187</v>
      </c>
      <c r="AG339" t="str">
        <f t="shared" ref="AG339:AG402" si="314">IMSUM(COMPLEX(1,0),IMDIV(COMPLEX(0,2*PI()*O339),COMPLEX(wp_lf_DCM,0)))</f>
        <v>1+7.19303532336076i</v>
      </c>
      <c r="AH339">
        <f t="shared" si="281"/>
        <v>7.2622143429614932</v>
      </c>
      <c r="AI339">
        <f t="shared" si="282"/>
        <v>1.4326583710324781</v>
      </c>
      <c r="AJ339" t="str">
        <f t="shared" ref="AJ339:AJ402" si="315">IMSUM(COMPLEX(1,0),IMDIV(COMPLEX(0,2*PI()*O339),COMPLEX(wz1_dcm,0)))</f>
        <v>1+0.0163042133996178i</v>
      </c>
      <c r="AK339">
        <f t="shared" si="283"/>
        <v>1.0001329048554399</v>
      </c>
      <c r="AL339">
        <f t="shared" si="284"/>
        <v>1.6302768927917998E-2</v>
      </c>
      <c r="AM339" t="str">
        <f t="shared" ref="AM339:AM402" si="316">IMSUB(COMPLEX(1,0),IMDIV(COMPLEX(0,2*PI()*O339),COMPLEX(wz2_dcm,0)))</f>
        <v>1-0.0364778709551968i</v>
      </c>
      <c r="AN339">
        <f t="shared" si="285"/>
        <v>1.0006650963581292</v>
      </c>
      <c r="AO339">
        <f t="shared" si="286"/>
        <v>-3.64617042822835E-2</v>
      </c>
      <c r="AP339" s="42" t="str">
        <f t="shared" si="287"/>
        <v>0.745381938768535-6.28857899355614i</v>
      </c>
      <c r="AQ339">
        <f t="shared" si="288"/>
        <v>16.031640832164456</v>
      </c>
      <c r="AR339" s="44">
        <f t="shared" si="289"/>
        <v>-83.240300059530767</v>
      </c>
      <c r="AS339" t="str">
        <f t="shared" ref="AS339:AS402" si="317">COMPLEX(Adc_ea,0)</f>
        <v>-0.000166666666666667</v>
      </c>
      <c r="AT339" t="str">
        <f t="shared" ref="AT339:AT402" si="318">COMPLEX(0,2*PI()*O339*wp0_ea)</f>
        <v>0.00128599483189485i</v>
      </c>
      <c r="AU339">
        <f t="shared" si="290"/>
        <v>1.28599483189485E-3</v>
      </c>
      <c r="AV339">
        <f t="shared" si="291"/>
        <v>1.5707963267948966</v>
      </c>
      <c r="AW339" t="str">
        <f t="shared" ref="AW339:AW402" si="319">IMSUM(COMPLEX(1,0),IMDIV(COMPLEX(0,2*PI()*O339),COMPLEX(wp1_ea,0)))</f>
        <v>1+0.234292321713208i</v>
      </c>
      <c r="AX339">
        <f t="shared" si="292"/>
        <v>1.0270797885333764</v>
      </c>
      <c r="AY339">
        <f t="shared" si="293"/>
        <v>0.23014121271477794</v>
      </c>
      <c r="AZ339" t="str">
        <f t="shared" ref="AZ339:AZ402" si="320">IMSUM(COMPLEX(1,0),IMDIV(COMPLEX(0,2*PI()*O339),COMPLEX(wz_ea,0)))</f>
        <v>1+4.76898241938819i</v>
      </c>
      <c r="BA339">
        <f t="shared" si="294"/>
        <v>4.8726987713620913</v>
      </c>
      <c r="BB339">
        <f t="shared" si="295"/>
        <v>1.364102648999151</v>
      </c>
      <c r="BC339" s="42" t="str">
        <f t="shared" si="296"/>
        <v>-0.557120030108543+0.260130295607057i</v>
      </c>
      <c r="BD339">
        <f t="shared" si="297"/>
        <v>-4.2245018477597913</v>
      </c>
      <c r="BE339" s="44">
        <f t="shared" si="298"/>
        <v>154.97120442968759</v>
      </c>
      <c r="BF339" s="42" t="str">
        <f t="shared" si="299"/>
        <v>0.390110641247423+0.562778190317931i</v>
      </c>
      <c r="BG339" s="20">
        <f t="shared" si="300"/>
        <v>-3.2891457695721362</v>
      </c>
      <c r="BH339" s="44">
        <f t="shared" si="301"/>
        <v>55.270795217680401</v>
      </c>
      <c r="BI339" s="42" t="str">
        <f t="shared" si="306"/>
        <v>1.220582704373+3.69738974230197i</v>
      </c>
      <c r="BJ339" s="20">
        <f t="shared" si="302"/>
        <v>11.80713898440467</v>
      </c>
      <c r="BK339" s="44">
        <f t="shared" si="307"/>
        <v>71.730904370156807</v>
      </c>
      <c r="BL339">
        <f t="shared" si="303"/>
        <v>-3.2891457695721362</v>
      </c>
      <c r="BM339" s="44">
        <f t="shared" si="304"/>
        <v>55.270795217680401</v>
      </c>
    </row>
    <row r="340" spans="14:65" x14ac:dyDescent="0.35">
      <c r="N340" s="9">
        <v>22</v>
      </c>
      <c r="O340" s="35">
        <f t="shared" si="308"/>
        <v>16595.869074375616</v>
      </c>
      <c r="P340" s="34" t="str">
        <f t="shared" si="309"/>
        <v>16.3709677419355</v>
      </c>
      <c r="Q340" s="4" t="str">
        <f t="shared" si="310"/>
        <v>1+15.3385044683757i</v>
      </c>
      <c r="R340" s="4">
        <f t="shared" ref="R340:R403" si="321">IMABS(Q340)</f>
        <v>15.371067605289532</v>
      </c>
      <c r="S340" s="4">
        <f t="shared" ref="S340:S403" si="322">IMARGUMENT(Q340)</f>
        <v>1.5056930573859246</v>
      </c>
      <c r="T340" s="4" t="str">
        <f t="shared" si="311"/>
        <v>1+0.0166839873164789i</v>
      </c>
      <c r="U340" s="4">
        <f t="shared" ref="U340:U403" si="323">IMABS(T340)</f>
        <v>1.0001391680325176</v>
      </c>
      <c r="V340" s="4">
        <f t="shared" ref="V340:V403" si="324">IMARGUMENT(T340)</f>
        <v>1.6682439548798431E-2</v>
      </c>
      <c r="W340" t="str">
        <f t="shared" si="312"/>
        <v>1-0.218338915646777i</v>
      </c>
      <c r="X340" s="4">
        <f t="shared" ref="X340:X403" si="325">IMABS(W340)</f>
        <v>1.0235584409723806</v>
      </c>
      <c r="Y340" s="4">
        <f t="shared" ref="Y340:Y403" si="326">IMARGUMENT(W340)</f>
        <v>-0.2149653544187167</v>
      </c>
      <c r="Z340" t="str">
        <f t="shared" si="313"/>
        <v>0.999761667608148+0.0429994610608975i</v>
      </c>
      <c r="AA340" s="4">
        <f t="shared" ref="AA340:AA403" si="327">IMABS(Z340)</f>
        <v>1.0006859375798944</v>
      </c>
      <c r="AB340" s="4">
        <f t="shared" ref="AB340:AB403" si="328">IMARGUMENT(Z340)</f>
        <v>4.2983220770157322E-2</v>
      </c>
      <c r="AC340" s="48" t="str">
        <f t="shared" ref="AC340:AC403" si="329">(IMDIV(IMPRODUCT(P340,T340,W340),IMPRODUCT(Q340,Z340)))</f>
        <v>-0.190946355455368-1.07268362206119i</v>
      </c>
      <c r="AD340" s="20">
        <f t="shared" ref="AD340:AD403" si="330">20*LOG(IMABS(AC340))</f>
        <v>0.74491206228438511</v>
      </c>
      <c r="AE340" s="44">
        <f t="shared" ref="AE340:AE403" si="331">(180/PI())*IMARGUMENT(AC340)</f>
        <v>-100.09338874196986</v>
      </c>
      <c r="AF340" t="str">
        <f t="shared" ref="AF340:AF403" si="332">COMPLEX($B$68,0)</f>
        <v>45.9520231294187</v>
      </c>
      <c r="AG340" t="str">
        <f t="shared" si="314"/>
        <v>1+7.36058263962302i</v>
      </c>
      <c r="AH340">
        <f t="shared" ref="AH340:AH403" si="333">IMABS(AG340)</f>
        <v>7.4282014508708487</v>
      </c>
      <c r="AI340">
        <f t="shared" ref="AI340:AI403" si="334">IMARGUMENT(AG340)</f>
        <v>1.435764256509241</v>
      </c>
      <c r="AJ340" t="str">
        <f t="shared" si="315"/>
        <v>1+0.0166839873164789i</v>
      </c>
      <c r="AK340">
        <f t="shared" ref="AK340:AK403" si="335">IMABS(AJ340)</f>
        <v>1.0001391680325176</v>
      </c>
      <c r="AL340">
        <f t="shared" ref="AL340:AL403" si="336">IMARGUMENT(AJ340)</f>
        <v>1.6682439548798431E-2</v>
      </c>
      <c r="AM340" t="str">
        <f t="shared" si="316"/>
        <v>1-0.0373275497217746i</v>
      </c>
      <c r="AN340">
        <f t="shared" ref="AN340:AN403" si="337">IMABS(AM340)</f>
        <v>1.0006964304764117</v>
      </c>
      <c r="AO340">
        <f t="shared" ref="AO340:AO403" si="338">IMARGUMENT(AM340)</f>
        <v>-3.7310227470700494E-2</v>
      </c>
      <c r="AP340" s="42" t="str">
        <f t="shared" ref="AP340:AP403" si="339">(IMDIV(IMPRODUCT(AF340,AJ340,AM340),IMPRODUCT(AG340)))</f>
        <v>0.706770236002424-6.15085418644346i</v>
      </c>
      <c r="AQ340">
        <f t="shared" ref="AQ340:AQ403" si="340">20*LOG(IMABS(AP340))</f>
        <v>15.835674999781217</v>
      </c>
      <c r="AR340" s="44">
        <f t="shared" ref="AR340:AR403" si="341">(180/PI())*IMARGUMENT(AP340)</f>
        <v>-83.445117462333968</v>
      </c>
      <c r="AS340" t="str">
        <f t="shared" si="317"/>
        <v>-0.000166666666666667</v>
      </c>
      <c r="AT340" t="str">
        <f t="shared" si="318"/>
        <v>0.00131594949958727i</v>
      </c>
      <c r="AU340">
        <f t="shared" ref="AU340:AU403" si="342">IMABS(AT340)</f>
        <v>1.3159494995872701E-3</v>
      </c>
      <c r="AV340">
        <f t="shared" ref="AV340:AV403" si="343">IMARGUMENT(AT340)</f>
        <v>1.5707963267948966</v>
      </c>
      <c r="AW340" t="str">
        <f t="shared" si="319"/>
        <v>1+0.239749690954314i</v>
      </c>
      <c r="AX340">
        <f t="shared" ref="AX340:AX403" si="344">IMABS(AW340)</f>
        <v>1.0283384240184208</v>
      </c>
      <c r="AY340">
        <f t="shared" ref="AY340:AY403" si="345">IMARGUMENT(AW340)</f>
        <v>0.23530829080032395</v>
      </c>
      <c r="AZ340" t="str">
        <f t="shared" si="320"/>
        <v>1+4.88006629007007i</v>
      </c>
      <c r="BA340">
        <f t="shared" ref="BA340:BA403" si="346">IMABS(AZ340)</f>
        <v>4.9814703648097982</v>
      </c>
      <c r="BB340">
        <f t="shared" ref="BB340:BB403" si="347">IMARGUMENT(AZ340)</f>
        <v>1.3686790640461171</v>
      </c>
      <c r="BC340" s="42" t="str">
        <f t="shared" ref="BC340:BC403" si="348">IMPRODUCT(AS340,IMDIV(AZ340,IMPRODUCT(AT340,AW340)))</f>
        <v>-0.555757089856385+0.259893853918479i</v>
      </c>
      <c r="BD340">
        <f t="shared" ref="BD340:BD403" si="349">20*LOG(IMABS(BC340))</f>
        <v>-4.2433797245716702</v>
      </c>
      <c r="BE340" s="44">
        <f t="shared" ref="BE340:BE403" si="350">(180/PI())*IMARGUMENT(BC340)</f>
        <v>154.93736193046263</v>
      </c>
      <c r="BF340" s="42" t="str">
        <f t="shared" ref="BF340:BF403" si="351">IMPRODUCT(AC340,BC340)</f>
        <v>0.384903671399274+0.54652574392235i</v>
      </c>
      <c r="BG340" s="20">
        <f t="shared" ref="BG340:BG403" si="352">20*LOG(IMABS(BF340))</f>
        <v>-3.4984676622872843</v>
      </c>
      <c r="BH340" s="44">
        <f t="shared" ref="BH340:BH403" si="353">(180/PI())*IMARGUMENT(BF340)</f>
        <v>54.843973188492754</v>
      </c>
      <c r="BI340" s="42" t="str">
        <f t="shared" si="306"/>
        <v>1.20577662984758+3.60206606325832i</v>
      </c>
      <c r="BJ340" s="20">
        <f t="shared" ref="BJ340:BJ403" si="354">20*LOG(IMABS(BI340))</f>
        <v>11.592295275209541</v>
      </c>
      <c r="BK340" s="44">
        <f t="shared" si="307"/>
        <v>71.492244468128703</v>
      </c>
      <c r="BL340">
        <f t="shared" ref="BL340:BL403" si="355">IF($B$31=0,BJ340,BG340)</f>
        <v>-3.4984676622872843</v>
      </c>
      <c r="BM340" s="44">
        <f t="shared" ref="BM340:BM403" si="356">IF($B$31=0,BK340,BH340)</f>
        <v>54.843973188492754</v>
      </c>
    </row>
    <row r="341" spans="14:65" x14ac:dyDescent="0.35">
      <c r="N341" s="9">
        <v>23</v>
      </c>
      <c r="O341" s="35">
        <f t="shared" si="308"/>
        <v>16982.436524617482</v>
      </c>
      <c r="P341" s="34" t="str">
        <f t="shared" si="309"/>
        <v>16.3709677419355</v>
      </c>
      <c r="Q341" s="4" t="str">
        <f t="shared" si="310"/>
        <v>1+15.695784134556i</v>
      </c>
      <c r="R341" s="4">
        <f t="shared" si="321"/>
        <v>15.727607561182975</v>
      </c>
      <c r="S341" s="4">
        <f t="shared" si="322"/>
        <v>1.5071709461976477</v>
      </c>
      <c r="T341" s="4" t="str">
        <f t="shared" si="311"/>
        <v>1+0.0170726073042539i</v>
      </c>
      <c r="U341" s="4">
        <f t="shared" si="323"/>
        <v>1.0001457263419993</v>
      </c>
      <c r="V341" s="4">
        <f t="shared" si="324"/>
        <v>1.7070948854355037E-2</v>
      </c>
      <c r="W341" t="str">
        <f t="shared" si="312"/>
        <v>1-0.223424682323527i</v>
      </c>
      <c r="X341" s="4">
        <f t="shared" si="325"/>
        <v>1.0246553511651462</v>
      </c>
      <c r="Y341" s="4">
        <f t="shared" si="326"/>
        <v>-0.21981452740698421</v>
      </c>
      <c r="Z341" t="str">
        <f t="shared" si="313"/>
        <v>0.999750435348567+0.0440010471754658i</v>
      </c>
      <c r="AA341" s="4">
        <f t="shared" si="327"/>
        <v>1.000718254621243</v>
      </c>
      <c r="AB341" s="4">
        <f t="shared" si="328"/>
        <v>4.3983646040284083E-2</v>
      </c>
      <c r="AC341" s="48" t="str">
        <f t="shared" si="329"/>
        <v>-0.194090486912761-1.04814115930619i</v>
      </c>
      <c r="AD341" s="20">
        <f t="shared" si="330"/>
        <v>0.55481925373744678</v>
      </c>
      <c r="AE341" s="44">
        <f t="shared" si="331"/>
        <v>-100.49096288201436</v>
      </c>
      <c r="AF341" t="str">
        <f t="shared" si="332"/>
        <v>45.9520231294187</v>
      </c>
      <c r="AG341" t="str">
        <f t="shared" si="314"/>
        <v>1+7.53203263422965i</v>
      </c>
      <c r="AH341">
        <f t="shared" si="333"/>
        <v>7.5981257954248465</v>
      </c>
      <c r="AI341">
        <f t="shared" si="334"/>
        <v>1.4388019782613171</v>
      </c>
      <c r="AJ341" t="str">
        <f t="shared" si="315"/>
        <v>1+0.0170726073042539i</v>
      </c>
      <c r="AK341">
        <f t="shared" si="335"/>
        <v>1.0001457263419993</v>
      </c>
      <c r="AL341">
        <f t="shared" si="336"/>
        <v>1.7070948854355037E-2</v>
      </c>
      <c r="AM341" t="str">
        <f t="shared" si="316"/>
        <v>1-0.0381970200493036i</v>
      </c>
      <c r="AN341">
        <f t="shared" si="337"/>
        <v>1.0007292402746344</v>
      </c>
      <c r="AO341">
        <f t="shared" si="338"/>
        <v>-3.817845965329518E-2</v>
      </c>
      <c r="AP341" s="42" t="str">
        <f t="shared" si="339"/>
        <v>0.66983472421502-6.01592650538366i</v>
      </c>
      <c r="AQ341">
        <f t="shared" si="340"/>
        <v>15.639560609169138</v>
      </c>
      <c r="AR341" s="44">
        <f t="shared" si="341"/>
        <v>-83.646652194253164</v>
      </c>
      <c r="AS341" t="str">
        <f t="shared" si="317"/>
        <v>-0.000166666666666667</v>
      </c>
      <c r="AT341" t="str">
        <f t="shared" si="318"/>
        <v>0.00134660190112302i</v>
      </c>
      <c r="AU341">
        <f t="shared" si="342"/>
        <v>1.34660190112302E-3</v>
      </c>
      <c r="AV341">
        <f t="shared" si="343"/>
        <v>1.5707963267948966</v>
      </c>
      <c r="AW341" t="str">
        <f t="shared" si="319"/>
        <v>1+0.245334178655028i</v>
      </c>
      <c r="AX341">
        <f t="shared" si="344"/>
        <v>1.0296547281571318</v>
      </c>
      <c r="AY341">
        <f t="shared" si="345"/>
        <v>0.2405825038696402</v>
      </c>
      <c r="AZ341" t="str">
        <f t="shared" si="320"/>
        <v>1+4.99373763649426i</v>
      </c>
      <c r="BA341">
        <f t="shared" si="346"/>
        <v>5.0928789090394924</v>
      </c>
      <c r="BB341">
        <f t="shared" si="347"/>
        <v>1.3731596163970812</v>
      </c>
      <c r="BC341" s="42" t="str">
        <f t="shared" si="348"/>
        <v>-0.554337045377381+0.259766152381476i</v>
      </c>
      <c r="BD341">
        <f t="shared" si="349"/>
        <v>-4.2623748294595751</v>
      </c>
      <c r="BE341" s="44">
        <f t="shared" si="350"/>
        <v>154.89188852093571</v>
      </c>
      <c r="BF341" s="42" t="str">
        <f t="shared" si="351"/>
        <v>0.379863143156706+0.530605334389041i</v>
      </c>
      <c r="BG341" s="20">
        <f t="shared" si="352"/>
        <v>-3.7075555757221279</v>
      </c>
      <c r="BH341" s="44">
        <f t="shared" si="353"/>
        <v>54.400925638921336</v>
      </c>
      <c r="BI341" s="42" t="str">
        <f t="shared" si="306"/>
        <v>1.19141987940072+3.50885131324269i</v>
      </c>
      <c r="BJ341" s="20">
        <f t="shared" si="354"/>
        <v>11.377185779709549</v>
      </c>
      <c r="BK341" s="44">
        <f t="shared" si="307"/>
        <v>71.245236326682615</v>
      </c>
      <c r="BL341">
        <f t="shared" si="355"/>
        <v>-3.7075555757221279</v>
      </c>
      <c r="BM341" s="44">
        <f t="shared" si="356"/>
        <v>54.400925638921336</v>
      </c>
    </row>
    <row r="342" spans="14:65" x14ac:dyDescent="0.35">
      <c r="N342" s="9">
        <v>24</v>
      </c>
      <c r="O342" s="35">
        <f t="shared" si="308"/>
        <v>17378.008287493791</v>
      </c>
      <c r="P342" s="34" t="str">
        <f t="shared" si="309"/>
        <v>16.3709677419355</v>
      </c>
      <c r="Q342" s="4" t="str">
        <f t="shared" si="310"/>
        <v>1+16.0613859132425i</v>
      </c>
      <c r="R342" s="4">
        <f t="shared" si="321"/>
        <v>16.09248636644147</v>
      </c>
      <c r="S342" s="4">
        <f t="shared" si="322"/>
        <v>1.5086154631306048</v>
      </c>
      <c r="T342" s="4" t="str">
        <f t="shared" si="311"/>
        <v>1+0.0174702794144042i</v>
      </c>
      <c r="U342" s="4">
        <f t="shared" si="323"/>
        <v>1.0001525936889917</v>
      </c>
      <c r="V342" s="4">
        <f t="shared" si="324"/>
        <v>1.746850236796374E-2</v>
      </c>
      <c r="W342" t="str">
        <f t="shared" si="312"/>
        <v>1-0.228628911724218i</v>
      </c>
      <c r="X342" s="4">
        <f t="shared" si="325"/>
        <v>1.0258026999750978</v>
      </c>
      <c r="Y342" s="4">
        <f t="shared" si="326"/>
        <v>-0.22476579679543227</v>
      </c>
      <c r="Z342" t="str">
        <f t="shared" si="313"/>
        <v>0.9997386737289+0.0450259632276688i</v>
      </c>
      <c r="AA342" s="4">
        <f t="shared" si="327"/>
        <v>1.000752093734407</v>
      </c>
      <c r="AB342" s="4">
        <f t="shared" si="328"/>
        <v>4.5007318304486926E-2</v>
      </c>
      <c r="AC342" s="48" t="str">
        <f t="shared" si="329"/>
        <v>-0.197093180909306-1.02413644261926i</v>
      </c>
      <c r="AD342" s="20">
        <f t="shared" si="330"/>
        <v>0.36509597708579822</v>
      </c>
      <c r="AE342" s="44">
        <f t="shared" si="331"/>
        <v>-100.89328840678141</v>
      </c>
      <c r="AF342" t="str">
        <f t="shared" si="332"/>
        <v>45.9520231294187</v>
      </c>
      <c r="AG342" t="str">
        <f t="shared" si="314"/>
        <v>1+7.70747621223711i</v>
      </c>
      <c r="AH342">
        <f t="shared" si="333"/>
        <v>7.7720775576547689</v>
      </c>
      <c r="AI342">
        <f t="shared" si="334"/>
        <v>1.4417729225597311</v>
      </c>
      <c r="AJ342" t="str">
        <f t="shared" si="315"/>
        <v>1+0.0174702794144042i</v>
      </c>
      <c r="AK342">
        <f t="shared" si="335"/>
        <v>1.0001525936889917</v>
      </c>
      <c r="AL342">
        <f t="shared" si="336"/>
        <v>1.746850236796374E-2</v>
      </c>
      <c r="AM342" t="str">
        <f t="shared" si="316"/>
        <v>1-0.0390867429424597i</v>
      </c>
      <c r="AN342">
        <f t="shared" si="337"/>
        <v>1.0007635951981118</v>
      </c>
      <c r="AO342">
        <f t="shared" si="338"/>
        <v>-3.9066855939298546E-2</v>
      </c>
      <c r="AP342" s="42" t="str">
        <f t="shared" si="339"/>
        <v>0.63450524660604-5.88375432677314i</v>
      </c>
      <c r="AQ342">
        <f t="shared" si="340"/>
        <v>15.443305504343945</v>
      </c>
      <c r="AR342" s="44">
        <f t="shared" si="341"/>
        <v>-83.844997982983472</v>
      </c>
      <c r="AS342" t="str">
        <f t="shared" si="317"/>
        <v>-0.000166666666666667</v>
      </c>
      <c r="AT342" t="str">
        <f t="shared" si="318"/>
        <v>0.00137796828881113i</v>
      </c>
      <c r="AU342">
        <f t="shared" si="342"/>
        <v>1.37796828881113E-3</v>
      </c>
      <c r="AV342">
        <f t="shared" si="343"/>
        <v>1.5707963267948966</v>
      </c>
      <c r="AW342" t="str">
        <f t="shared" si="319"/>
        <v>1+0.251048745784643i</v>
      </c>
      <c r="AX342">
        <f t="shared" si="344"/>
        <v>1.0310312666258199</v>
      </c>
      <c r="AY342">
        <f t="shared" si="345"/>
        <v>0.24596547415344805</v>
      </c>
      <c r="AZ342" t="str">
        <f t="shared" si="320"/>
        <v>1+5.11005672871321i</v>
      </c>
      <c r="BA342">
        <f t="shared" si="346"/>
        <v>5.2069837497986438</v>
      </c>
      <c r="BB342">
        <f t="shared" si="347"/>
        <v>1.3775459617698591</v>
      </c>
      <c r="BC342" s="42" t="str">
        <f t="shared" si="348"/>
        <v>-0.552857833438446+0.259745283219839i</v>
      </c>
      <c r="BD342">
        <f t="shared" si="349"/>
        <v>-4.281521741121578</v>
      </c>
      <c r="BE342" s="44">
        <f t="shared" si="350"/>
        <v>154.83478611977603</v>
      </c>
      <c r="BF342" s="42" t="str">
        <f t="shared" si="351"/>
        <v>0.374979119326909+0.515007830715855i</v>
      </c>
      <c r="BG342" s="20">
        <f t="shared" si="352"/>
        <v>-3.9164257640357736</v>
      </c>
      <c r="BH342" s="44">
        <f t="shared" si="353"/>
        <v>53.941497712994597</v>
      </c>
      <c r="BI342" s="42" t="str">
        <f t="shared" si="306"/>
        <v>1.1774862380597+3.41768941456804i</v>
      </c>
      <c r="BJ342" s="20">
        <f t="shared" si="354"/>
        <v>11.16178376322237</v>
      </c>
      <c r="BK342" s="44">
        <f t="shared" si="307"/>
        <v>70.989788136792569</v>
      </c>
      <c r="BL342">
        <f t="shared" si="355"/>
        <v>-3.9164257640357736</v>
      </c>
      <c r="BM342" s="44">
        <f t="shared" si="356"/>
        <v>53.941497712994597</v>
      </c>
    </row>
    <row r="343" spans="14:65" x14ac:dyDescent="0.35">
      <c r="N343" s="9">
        <v>25</v>
      </c>
      <c r="O343" s="35">
        <f t="shared" si="308"/>
        <v>17782.794100389234</v>
      </c>
      <c r="P343" s="34" t="str">
        <f t="shared" si="309"/>
        <v>16.3709677419355</v>
      </c>
      <c r="Q343" s="4" t="str">
        <f t="shared" si="310"/>
        <v>1+16.4355036513378i</v>
      </c>
      <c r="R343" s="4">
        <f t="shared" si="321"/>
        <v>16.465897493703103</v>
      </c>
      <c r="S343" s="4">
        <f t="shared" si="322"/>
        <v>1.5100273499598245</v>
      </c>
      <c r="T343" s="4" t="str">
        <f t="shared" si="311"/>
        <v>1+0.0178772144979464i</v>
      </c>
      <c r="U343" s="4">
        <f t="shared" si="323"/>
        <v>1.0001597846335382</v>
      </c>
      <c r="V343" s="4">
        <f t="shared" si="324"/>
        <v>1.7875310374808457E-2</v>
      </c>
      <c r="W343" t="str">
        <f t="shared" si="312"/>
        <v>1-0.233954363200166i</v>
      </c>
      <c r="X343" s="4">
        <f t="shared" si="325"/>
        <v>1.0270027478348804</v>
      </c>
      <c r="Y343" s="4">
        <f t="shared" si="326"/>
        <v>-0.22982081632821594</v>
      </c>
      <c r="Z343" t="str">
        <f t="shared" si="313"/>
        <v>0.999726357801175+0.0460747526415641i</v>
      </c>
      <c r="AA343" s="4">
        <f t="shared" si="327"/>
        <v>1.0007875265576527</v>
      </c>
      <c r="AB343" s="4">
        <f t="shared" si="328"/>
        <v>4.6054775064413536E-2</v>
      </c>
      <c r="AC343" s="48" t="str">
        <f t="shared" si="329"/>
        <v>-0.199960655639647-1.00065794156563i</v>
      </c>
      <c r="AD343" s="20">
        <f t="shared" si="330"/>
        <v>0.17576110217168942</v>
      </c>
      <c r="AE343" s="44">
        <f t="shared" si="331"/>
        <v>-101.30052131753241</v>
      </c>
      <c r="AF343" t="str">
        <f t="shared" si="332"/>
        <v>45.9520231294187</v>
      </c>
      <c r="AG343" t="str">
        <f t="shared" si="314"/>
        <v>1+7.88700639615281i</v>
      </c>
      <c r="AH343">
        <f t="shared" si="333"/>
        <v>7.9501490484742066</v>
      </c>
      <c r="AI343">
        <f t="shared" si="334"/>
        <v>1.444678454742665</v>
      </c>
      <c r="AJ343" t="str">
        <f t="shared" si="315"/>
        <v>1+0.0178772144979464i</v>
      </c>
      <c r="AK343">
        <f t="shared" si="335"/>
        <v>1.0001597846335382</v>
      </c>
      <c r="AL343">
        <f t="shared" si="336"/>
        <v>1.7875310374808457E-2</v>
      </c>
      <c r="AM343" t="str">
        <f t="shared" si="316"/>
        <v>1-0.039997190144098i</v>
      </c>
      <c r="AN343">
        <f t="shared" si="337"/>
        <v>1.0007995679552542</v>
      </c>
      <c r="AO343">
        <f t="shared" si="338"/>
        <v>-3.9975881755660948E-2</v>
      </c>
      <c r="AP343" s="42" t="str">
        <f t="shared" si="339"/>
        <v>0.600714356399251-5.75429560369585i</v>
      </c>
      <c r="AQ343">
        <f t="shared" si="340"/>
        <v>15.246917264594824</v>
      </c>
      <c r="AR343" s="44">
        <f t="shared" si="341"/>
        <v>-84.040247675186663</v>
      </c>
      <c r="AS343" t="str">
        <f t="shared" si="317"/>
        <v>-0.000166666666666667</v>
      </c>
      <c r="AT343" t="str">
        <f t="shared" si="318"/>
        <v>0.00141006529352553i</v>
      </c>
      <c r="AU343">
        <f t="shared" si="342"/>
        <v>1.4100652935255299E-3</v>
      </c>
      <c r="AV343">
        <f t="shared" si="343"/>
        <v>1.5707963267948966</v>
      </c>
      <c r="AW343" t="str">
        <f t="shared" si="319"/>
        <v>1+0.256896422282297i</v>
      </c>
      <c r="AX343">
        <f t="shared" si="344"/>
        <v>1.0324707123117074</v>
      </c>
      <c r="AY343">
        <f t="shared" si="345"/>
        <v>0.25145880740642584</v>
      </c>
      <c r="AZ343" t="str">
        <f t="shared" si="320"/>
        <v>1+5.22908524064931i</v>
      </c>
      <c r="BA343">
        <f t="shared" si="346"/>
        <v>5.323845645205771</v>
      </c>
      <c r="BB343">
        <f t="shared" si="347"/>
        <v>1.3818397503927764</v>
      </c>
      <c r="BC343" s="42" t="str">
        <f t="shared" si="348"/>
        <v>-0.551317346013344+0.259829289983516i</v>
      </c>
      <c r="BD343">
        <f t="shared" si="349"/>
        <v>-4.3008551850369807</v>
      </c>
      <c r="BE343" s="44">
        <f t="shared" si="350"/>
        <v>154.76605727513598</v>
      </c>
      <c r="BF343" s="42" t="str">
        <f t="shared" si="351"/>
        <v>0.370242020447703+0.499724445431651i</v>
      </c>
      <c r="BG343" s="20">
        <f t="shared" si="352"/>
        <v>-4.1250940828652896</v>
      </c>
      <c r="BH343" s="44">
        <f t="shared" si="353"/>
        <v>53.465535957603528</v>
      </c>
      <c r="BI343" s="42" t="str">
        <f t="shared" si="306"/>
        <v>1.16395029638141+3.32852616511197i</v>
      </c>
      <c r="BJ343" s="20">
        <f t="shared" si="354"/>
        <v>10.946062079557837</v>
      </c>
      <c r="BK343" s="44">
        <f t="shared" si="307"/>
        <v>70.725809599949329</v>
      </c>
      <c r="BL343">
        <f t="shared" si="355"/>
        <v>-4.1250940828652896</v>
      </c>
      <c r="BM343" s="44">
        <f t="shared" si="356"/>
        <v>53.465535957603528</v>
      </c>
    </row>
    <row r="344" spans="14:65" x14ac:dyDescent="0.35">
      <c r="N344" s="9">
        <v>26</v>
      </c>
      <c r="O344" s="35">
        <f t="shared" si="308"/>
        <v>18197.008586099837</v>
      </c>
      <c r="P344" s="34" t="str">
        <f t="shared" si="309"/>
        <v>16.3709677419355</v>
      </c>
      <c r="Q344" s="4" t="str">
        <f t="shared" si="310"/>
        <v>1+16.8183357110188i</v>
      </c>
      <c r="R344" s="4">
        <f t="shared" si="321"/>
        <v>16.848038938954598</v>
      </c>
      <c r="S344" s="4">
        <f t="shared" si="322"/>
        <v>1.5114073327577642</v>
      </c>
      <c r="T344" s="4" t="str">
        <f t="shared" si="311"/>
        <v>1+0.0182936283172485i</v>
      </c>
      <c r="U344" s="4">
        <f t="shared" si="323"/>
        <v>1.0001673144214471</v>
      </c>
      <c r="V344" s="4">
        <f t="shared" si="324"/>
        <v>1.8291588030980258E-2</v>
      </c>
      <c r="W344" t="str">
        <f t="shared" si="312"/>
        <v>1-0.239403860376236i</v>
      </c>
      <c r="X344" s="4">
        <f t="shared" si="325"/>
        <v>1.0282578511069314</v>
      </c>
      <c r="Y344" s="4">
        <f t="shared" si="326"/>
        <v>-0.23498123240575314</v>
      </c>
      <c r="Z344" t="str">
        <f t="shared" si="313"/>
        <v>0.999713461441659+0.0471479714991818i</v>
      </c>
      <c r="AA344" s="4">
        <f t="shared" si="327"/>
        <v>1.0008246280963269</v>
      </c>
      <c r="AB344" s="4">
        <f t="shared" si="328"/>
        <v>4.7126566057293588E-2</v>
      </c>
      <c r="AC344" s="48" t="str">
        <f t="shared" si="329"/>
        <v>-0.202698855700816-0.97769432619428i</v>
      </c>
      <c r="AD344" s="20">
        <f t="shared" si="330"/>
        <v>-1.3165936840053107E-2</v>
      </c>
      <c r="AE344" s="44">
        <f t="shared" si="331"/>
        <v>-101.71281671703736</v>
      </c>
      <c r="AF344" t="str">
        <f t="shared" si="332"/>
        <v>45.9520231294187</v>
      </c>
      <c r="AG344" t="str">
        <f t="shared" si="314"/>
        <v>1+8.07071837525666i</v>
      </c>
      <c r="AH344">
        <f t="shared" si="333"/>
        <v>8.1324347579741154</v>
      </c>
      <c r="AI344">
        <f t="shared" si="334"/>
        <v>1.4475199190265493</v>
      </c>
      <c r="AJ344" t="str">
        <f t="shared" si="315"/>
        <v>1+0.0182936283172485i</v>
      </c>
      <c r="AK344">
        <f t="shared" si="335"/>
        <v>1.0001673144214471</v>
      </c>
      <c r="AL344">
        <f t="shared" si="336"/>
        <v>1.8291588030980258E-2</v>
      </c>
      <c r="AM344" t="str">
        <f t="shared" si="316"/>
        <v>1-0.0409288443853764i</v>
      </c>
      <c r="AN344">
        <f t="shared" si="337"/>
        <v>1.0008372346704146</v>
      </c>
      <c r="AO344">
        <f t="shared" si="338"/>
        <v>-4.0906013067248136E-2</v>
      </c>
      <c r="AP344" s="42" t="str">
        <f t="shared" si="339"/>
        <v>0.568397232068963-5.627507957606i</v>
      </c>
      <c r="AQ344">
        <f t="shared" si="340"/>
        <v>15.050403217641596</v>
      </c>
      <c r="AR344" s="44">
        <f t="shared" si="341"/>
        <v>-84.232493232033079</v>
      </c>
      <c r="AS344" t="str">
        <f t="shared" si="317"/>
        <v>-0.000166666666666667</v>
      </c>
      <c r="AT344" t="str">
        <f t="shared" si="318"/>
        <v>0.00144290993352298i</v>
      </c>
      <c r="AU344">
        <f t="shared" si="342"/>
        <v>1.4429099335229801E-3</v>
      </c>
      <c r="AV344">
        <f t="shared" si="343"/>
        <v>1.5707963267948966</v>
      </c>
      <c r="AW344" t="str">
        <f t="shared" si="319"/>
        <v>1+0.262880308663472i</v>
      </c>
      <c r="AX344">
        <f t="shared" si="344"/>
        <v>1.0339758491778241</v>
      </c>
      <c r="AY344">
        <f t="shared" si="345"/>
        <v>0.25706408953913662</v>
      </c>
      <c r="AZ344" t="str">
        <f t="shared" si="320"/>
        <v>1+5.35088628279517i</v>
      </c>
      <c r="BA344">
        <f t="shared" si="346"/>
        <v>5.4435267989976417</v>
      </c>
      <c r="BB344">
        <f t="shared" si="347"/>
        <v>1.3860426252803728</v>
      </c>
      <c r="BC344" s="42" t="str">
        <f t="shared" si="348"/>
        <v>-0.549713432157884+0.260016161742566i</v>
      </c>
      <c r="BD344">
        <f t="shared" si="349"/>
        <v>-4.3204100654286268</v>
      </c>
      <c r="BE344" s="44">
        <f t="shared" si="350"/>
        <v>154.68570525883237</v>
      </c>
      <c r="BF344" s="42" t="str">
        <f t="shared" si="351"/>
        <v>0.365642609716292+0.484746725204611i</v>
      </c>
      <c r="BG344" s="20">
        <f t="shared" si="352"/>
        <v>-4.3335760022686829</v>
      </c>
      <c r="BH344" s="44">
        <f t="shared" si="353"/>
        <v>52.972888541795029</v>
      </c>
      <c r="BI344" s="42" t="str">
        <f t="shared" si="306"/>
        <v>1.15078742604279+3.24130918049907i</v>
      </c>
      <c r="BJ344" s="20">
        <f t="shared" si="354"/>
        <v>10.729993152212975</v>
      </c>
      <c r="BK344" s="44">
        <f t="shared" si="307"/>
        <v>70.453212026799292</v>
      </c>
      <c r="BL344">
        <f t="shared" si="355"/>
        <v>-4.3335760022686829</v>
      </c>
      <c r="BM344" s="44">
        <f t="shared" si="356"/>
        <v>52.972888541795029</v>
      </c>
    </row>
    <row r="345" spans="14:65" x14ac:dyDescent="0.35">
      <c r="N345" s="9">
        <v>27</v>
      </c>
      <c r="O345" s="35">
        <f t="shared" si="308"/>
        <v>18620.871366628675</v>
      </c>
      <c r="P345" s="34" t="str">
        <f t="shared" si="309"/>
        <v>16.3709677419355</v>
      </c>
      <c r="Q345" s="4" t="str">
        <f t="shared" si="310"/>
        <v>1+17.2100850749106i</v>
      </c>
      <c r="R345" s="4">
        <f t="shared" si="321"/>
        <v>17.239113326550779</v>
      </c>
      <c r="S345" s="4">
        <f t="shared" si="322"/>
        <v>1.5127561221739008</v>
      </c>
      <c r="T345" s="4" t="str">
        <f t="shared" si="311"/>
        <v>1+0.0187197416604291i</v>
      </c>
      <c r="U345" s="4">
        <f t="shared" si="323"/>
        <v>1.000175199016569</v>
      </c>
      <c r="V345" s="4">
        <f t="shared" si="324"/>
        <v>1.8717555474986859E-2</v>
      </c>
      <c r="W345" t="str">
        <f t="shared" si="312"/>
        <v>1-0.244980292647963i</v>
      </c>
      <c r="X345" s="4">
        <f t="shared" si="325"/>
        <v>1.0295704656728852</v>
      </c>
      <c r="Y345" s="4">
        <f t="shared" si="326"/>
        <v>-0.24024868129319055</v>
      </c>
      <c r="Z345" t="str">
        <f t="shared" si="313"/>
        <v>0.999699957295444+0.0482461888353654i</v>
      </c>
      <c r="AA345" s="4">
        <f t="shared" si="327"/>
        <v>1.0008634768806635</v>
      </c>
      <c r="AB345" s="4">
        <f t="shared" si="328"/>
        <v>4.8223253520713778E-2</v>
      </c>
      <c r="AC345" s="48" t="str">
        <f t="shared" si="329"/>
        <v>-0.205313463554633-0.955234466192212i</v>
      </c>
      <c r="AD345" s="20">
        <f t="shared" si="330"/>
        <v>-0.20166512292391317</v>
      </c>
      <c r="AE345" s="44">
        <f t="shared" si="331"/>
        <v>-102.13032867443223</v>
      </c>
      <c r="AF345" t="str">
        <f t="shared" si="332"/>
        <v>45.9520231294187</v>
      </c>
      <c r="AG345" t="str">
        <f t="shared" si="314"/>
        <v>1+8.25870955607165i</v>
      </c>
      <c r="AH345">
        <f t="shared" si="333"/>
        <v>8.3190314058518382</v>
      </c>
      <c r="AI345">
        <f t="shared" si="334"/>
        <v>1.4502986383613075</v>
      </c>
      <c r="AJ345" t="str">
        <f t="shared" si="315"/>
        <v>1+0.0187197416604291i</v>
      </c>
      <c r="AK345">
        <f t="shared" si="335"/>
        <v>1.000175199016569</v>
      </c>
      <c r="AL345">
        <f t="shared" si="336"/>
        <v>1.8717555474986859E-2</v>
      </c>
      <c r="AM345" t="str">
        <f t="shared" si="316"/>
        <v>1-0.0418821996417051i</v>
      </c>
      <c r="AN345">
        <f t="shared" si="337"/>
        <v>1.0008766750438476</v>
      </c>
      <c r="AO345">
        <f t="shared" si="338"/>
        <v>-4.1857736600740172E-2</v>
      </c>
      <c r="AP345" s="42" t="str">
        <f t="shared" si="339"/>
        <v>0.537491593380069-5.50334876344593i</v>
      </c>
      <c r="AQ345">
        <f t="shared" si="340"/>
        <v>14.853770452497979</v>
      </c>
      <c r="AR345" s="44">
        <f t="shared" si="341"/>
        <v>-84.421825727346928</v>
      </c>
      <c r="AS345" t="str">
        <f t="shared" si="317"/>
        <v>-0.000166666666666667</v>
      </c>
      <c r="AT345" t="str">
        <f t="shared" si="318"/>
        <v>0.00147651962346635i</v>
      </c>
      <c r="AU345">
        <f t="shared" si="342"/>
        <v>1.4765196234663501E-3</v>
      </c>
      <c r="AV345">
        <f t="shared" si="343"/>
        <v>1.5707963267948966</v>
      </c>
      <c r="AW345" t="str">
        <f t="shared" si="319"/>
        <v>1+0.269003577663932i</v>
      </c>
      <c r="AX345">
        <f t="shared" si="344"/>
        <v>1.0355495762135172</v>
      </c>
      <c r="AY345">
        <f t="shared" si="345"/>
        <v>0.26278288305114733</v>
      </c>
      <c r="AZ345" t="str">
        <f t="shared" si="320"/>
        <v>1+5.47552443567551i</v>
      </c>
      <c r="BA345">
        <f t="shared" si="346"/>
        <v>5.5660908944859688</v>
      </c>
      <c r="BB345">
        <f t="shared" si="347"/>
        <v>1.390156220641888</v>
      </c>
      <c r="BC345" s="42" t="str">
        <f t="shared" si="348"/>
        <v>-0.548043900223238+0.260303827179966i</v>
      </c>
      <c r="BD345">
        <f t="shared" si="349"/>
        <v>-4.3402214964054497</v>
      </c>
      <c r="BE345" s="44">
        <f t="shared" si="350"/>
        <v>154.59373417952673</v>
      </c>
      <c r="BF345" s="42" t="str">
        <f t="shared" si="351"/>
        <v>0.361171978738867+0.470066542144797i</v>
      </c>
      <c r="BG345" s="20">
        <f t="shared" si="352"/>
        <v>-4.5418866193293699</v>
      </c>
      <c r="BH345" s="44">
        <f t="shared" si="353"/>
        <v>52.463405505094507</v>
      </c>
      <c r="BI345" s="42" t="str">
        <f t="shared" si="306"/>
        <v>1.13797375625789+3.15598783944153i</v>
      </c>
      <c r="BJ345" s="20">
        <f t="shared" si="354"/>
        <v>10.513548956092523</v>
      </c>
      <c r="BK345" s="44">
        <f t="shared" si="307"/>
        <v>70.171908452179864</v>
      </c>
      <c r="BL345">
        <f t="shared" si="355"/>
        <v>-4.5418866193293699</v>
      </c>
      <c r="BM345" s="44">
        <f t="shared" si="356"/>
        <v>52.463405505094507</v>
      </c>
    </row>
    <row r="346" spans="14:65" x14ac:dyDescent="0.35">
      <c r="N346" s="9">
        <v>28</v>
      </c>
      <c r="O346" s="35">
        <f t="shared" si="308"/>
        <v>19054.607179632505</v>
      </c>
      <c r="P346" s="34" t="str">
        <f t="shared" si="309"/>
        <v>16.3709677419355</v>
      </c>
      <c r="Q346" s="4" t="str">
        <f t="shared" si="310"/>
        <v>1+17.6109594537118i</v>
      </c>
      <c r="R346" s="4">
        <f t="shared" si="321"/>
        <v>17.639328016687056</v>
      </c>
      <c r="S346" s="4">
        <f t="shared" si="322"/>
        <v>1.5140744137130424</v>
      </c>
      <c r="T346" s="4" t="str">
        <f t="shared" si="311"/>
        <v>1+0.0191557804584234i</v>
      </c>
      <c r="U346" s="4">
        <f t="shared" si="323"/>
        <v>1.0001834551345925</v>
      </c>
      <c r="V346" s="4">
        <f t="shared" si="324"/>
        <v>1.9153437941722706E-2</v>
      </c>
      <c r="W346" t="str">
        <f t="shared" si="312"/>
        <v>1-0.25068661671355i</v>
      </c>
      <c r="X346" s="4">
        <f t="shared" si="325"/>
        <v>1.0309431506146622</v>
      </c>
      <c r="Y346" s="4">
        <f t="shared" si="326"/>
        <v>-0.24562478614642702</v>
      </c>
      <c r="Z346" t="str">
        <f t="shared" si="313"/>
        <v>0.999685816718425+0.0493699869394838i</v>
      </c>
      <c r="AA346" s="4">
        <f t="shared" si="327"/>
        <v>1.0009041551309443</v>
      </c>
      <c r="AB346" s="4">
        <f t="shared" si="328"/>
        <v>4.9345412462130998E-2</v>
      </c>
      <c r="AC346" s="48" t="str">
        <f t="shared" si="329"/>
        <v>-0.207809910533733-0.933267429813363i</v>
      </c>
      <c r="AD346" s="20">
        <f t="shared" si="330"/>
        <v>-0.38971583822211009</v>
      </c>
      <c r="AE346" s="44">
        <f t="shared" si="331"/>
        <v>-102.55321007968148</v>
      </c>
      <c r="AF346" t="str">
        <f t="shared" si="332"/>
        <v>45.9520231294187</v>
      </c>
      <c r="AG346" t="str">
        <f t="shared" si="314"/>
        <v>1+8.45107961401029i</v>
      </c>
      <c r="AH346">
        <f t="shared" si="333"/>
        <v>8.5100379930021646</v>
      </c>
      <c r="AI346">
        <f t="shared" si="334"/>
        <v>1.45301591432655</v>
      </c>
      <c r="AJ346" t="str">
        <f t="shared" si="315"/>
        <v>1+0.0191557804584234i</v>
      </c>
      <c r="AK346">
        <f t="shared" si="335"/>
        <v>1.0001834551345925</v>
      </c>
      <c r="AL346">
        <f t="shared" si="336"/>
        <v>1.9153437941722706E-2</v>
      </c>
      <c r="AM346" t="str">
        <f t="shared" si="316"/>
        <v>1-0.0428577613946607i</v>
      </c>
      <c r="AN346">
        <f t="shared" si="337"/>
        <v>1.000917972519108</v>
      </c>
      <c r="AO346">
        <f t="shared" si="338"/>
        <v>-4.2831550072222384E-2</v>
      </c>
      <c r="AP346" s="42" t="str">
        <f t="shared" si="339"/>
        <v>0.507937618435894-5.38177522854754i</v>
      </c>
      <c r="AQ346">
        <f t="shared" si="340"/>
        <v>14.657025832048362</v>
      </c>
      <c r="AR346" s="44">
        <f t="shared" si="341"/>
        <v>-84.608335348168879</v>
      </c>
      <c r="AS346" t="str">
        <f t="shared" si="317"/>
        <v>-0.000166666666666667</v>
      </c>
      <c r="AT346" t="str">
        <f t="shared" si="318"/>
        <v>0.00151091218365814i</v>
      </c>
      <c r="AU346">
        <f t="shared" si="342"/>
        <v>1.51091218365814E-3</v>
      </c>
      <c r="AV346">
        <f t="shared" si="343"/>
        <v>1.5707963267948966</v>
      </c>
      <c r="AW346" t="str">
        <f t="shared" si="319"/>
        <v>1+0.275269475921956i</v>
      </c>
      <c r="AX346">
        <f t="shared" si="344"/>
        <v>1.0371949114676318</v>
      </c>
      <c r="AY346">
        <f t="shared" si="345"/>
        <v>0.26861672326093833</v>
      </c>
      <c r="AZ346" t="str">
        <f t="shared" si="320"/>
        <v>1+5.60306578408882i</v>
      </c>
      <c r="BA346">
        <f t="shared" si="346"/>
        <v>5.6916031292445943</v>
      </c>
      <c r="BB346">
        <f t="shared" si="347"/>
        <v>1.3941821604161462</v>
      </c>
      <c r="BC346" s="42" t="str">
        <f t="shared" si="348"/>
        <v>-0.546306520431761+0.260690148597691i</v>
      </c>
      <c r="BD346">
        <f t="shared" si="349"/>
        <v>-4.3603248321252224</v>
      </c>
      <c r="BE346" s="44">
        <f t="shared" si="350"/>
        <v>154.49014911479091</v>
      </c>
      <c r="BF346" s="42" t="str">
        <f t="shared" si="351"/>
        <v>0.35682153409435+0.455676085756519i</v>
      </c>
      <c r="BG346" s="20">
        <f t="shared" si="352"/>
        <v>-4.7500406703473343</v>
      </c>
      <c r="BH346" s="44">
        <f t="shared" si="353"/>
        <v>51.936939035109418</v>
      </c>
      <c r="BI346" s="42" t="str">
        <f t="shared" si="306"/>
        <v>1.12548615112532+3.07251323208206i</v>
      </c>
      <c r="BJ346" s="20">
        <f t="shared" si="354"/>
        <v>10.296700999923134</v>
      </c>
      <c r="BK346" s="44">
        <f t="shared" si="307"/>
        <v>69.881813766622059</v>
      </c>
      <c r="BL346">
        <f t="shared" si="355"/>
        <v>-4.7500406703473343</v>
      </c>
      <c r="BM346" s="44">
        <f t="shared" si="356"/>
        <v>51.936939035109418</v>
      </c>
    </row>
    <row r="347" spans="14:65" x14ac:dyDescent="0.35">
      <c r="N347" s="9">
        <v>29</v>
      </c>
      <c r="O347" s="35">
        <f t="shared" si="308"/>
        <v>19498.445997580486</v>
      </c>
      <c r="P347" s="34" t="str">
        <f t="shared" si="309"/>
        <v>16.3709677419355</v>
      </c>
      <c r="Q347" s="4" t="str">
        <f t="shared" si="310"/>
        <v>1+18.0211713963237i</v>
      </c>
      <c r="R347" s="4">
        <f t="shared" si="321"/>
        <v>18.048895215377463</v>
      </c>
      <c r="S347" s="4">
        <f t="shared" si="322"/>
        <v>1.5153628880120478</v>
      </c>
      <c r="T347" s="4" t="str">
        <f t="shared" si="311"/>
        <v>1+0.0196019759047731i</v>
      </c>
      <c r="U347" s="4">
        <f t="shared" si="323"/>
        <v>1.0001921002784271</v>
      </c>
      <c r="V347" s="4">
        <f t="shared" si="324"/>
        <v>1.9599465878941829E-2</v>
      </c>
      <c r="W347" t="str">
        <f t="shared" si="312"/>
        <v>1-0.256525858141546i</v>
      </c>
      <c r="X347" s="4">
        <f t="shared" si="325"/>
        <v>1.0323785719857113</v>
      </c>
      <c r="Y347" s="4">
        <f t="shared" si="326"/>
        <v>-0.25111115384993965</v>
      </c>
      <c r="Z347" t="str">
        <f t="shared" si="313"/>
        <v>0.999671009716543+0.0505199616641658i</v>
      </c>
      <c r="AA347" s="4">
        <f t="shared" si="327"/>
        <v>1.0009467489303521</v>
      </c>
      <c r="AB347" s="4">
        <f t="shared" si="328"/>
        <v>5.0493630933124631E-2</v>
      </c>
      <c r="AC347" s="48" t="str">
        <f t="shared" si="329"/>
        <v>-0.210193387406063-0.911782482603046i</v>
      </c>
      <c r="AD347" s="20">
        <f t="shared" si="330"/>
        <v>-0.57729684672723713</v>
      </c>
      <c r="AE347" s="44">
        <f t="shared" si="331"/>
        <v>-102.98161248729296</v>
      </c>
      <c r="AF347" t="str">
        <f t="shared" si="332"/>
        <v>45.9520231294187</v>
      </c>
      <c r="AG347" t="str">
        <f t="shared" si="314"/>
        <v>1+8.64793054622341i</v>
      </c>
      <c r="AH347">
        <f t="shared" si="333"/>
        <v>8.7055558542981011</v>
      </c>
      <c r="AI347">
        <f t="shared" si="334"/>
        <v>1.4556730270656943</v>
      </c>
      <c r="AJ347" t="str">
        <f t="shared" si="315"/>
        <v>1+0.0196019759047731i</v>
      </c>
      <c r="AK347">
        <f t="shared" si="335"/>
        <v>1.0001921002784271</v>
      </c>
      <c r="AL347">
        <f t="shared" si="336"/>
        <v>1.9599465878941829E-2</v>
      </c>
      <c r="AM347" t="str">
        <f t="shared" si="316"/>
        <v>1-0.0438560468999966i</v>
      </c>
      <c r="AN347">
        <f t="shared" si="337"/>
        <v>1.0009612144582301</v>
      </c>
      <c r="AO347">
        <f t="shared" si="338"/>
        <v>-4.3827962418439635E-2</v>
      </c>
      <c r="AP347" s="42" t="str">
        <f t="shared" si="339"/>
        <v>0.47967786190317-5.26274446565462i</v>
      </c>
      <c r="AQ347">
        <f t="shared" si="340"/>
        <v>14.460176005347325</v>
      </c>
      <c r="AR347" s="44">
        <f t="shared" si="341"/>
        <v>-84.792111397557662</v>
      </c>
      <c r="AS347" t="str">
        <f t="shared" si="317"/>
        <v>-0.000166666666666667</v>
      </c>
      <c r="AT347" t="str">
        <f t="shared" si="318"/>
        <v>0.00154610584948898i</v>
      </c>
      <c r="AU347">
        <f t="shared" si="342"/>
        <v>1.5461058494889799E-3</v>
      </c>
      <c r="AV347">
        <f t="shared" si="343"/>
        <v>1.5707963267948966</v>
      </c>
      <c r="AW347" t="str">
        <f t="shared" si="319"/>
        <v>1+0.281681325699731i</v>
      </c>
      <c r="AX347">
        <f t="shared" si="344"/>
        <v>1.0389149961608783</v>
      </c>
      <c r="AY347">
        <f t="shared" si="345"/>
        <v>0.27456711432882097</v>
      </c>
      <c r="AZ347" t="str">
        <f t="shared" si="320"/>
        <v>1+5.73357795214613i</v>
      </c>
      <c r="BA347">
        <f t="shared" si="346"/>
        <v>5.8201302505473373</v>
      </c>
      <c r="BB347">
        <f t="shared" si="347"/>
        <v>1.3981220569265298</v>
      </c>
      <c r="BC347" s="42" t="str">
        <f t="shared" si="348"/>
        <v>-0.544499027839913+0.261172915853047i</v>
      </c>
      <c r="BD347">
        <f t="shared" si="349"/>
        <v>-4.3807556958152372</v>
      </c>
      <c r="BE347" s="44">
        <f t="shared" si="350"/>
        <v>154.37495626191225</v>
      </c>
      <c r="BF347" s="42" t="str">
        <f t="shared" si="351"/>
        <v>0.352582984706147+0.44156785549695i</v>
      </c>
      <c r="BG347" s="20">
        <f t="shared" si="352"/>
        <v>-4.958052542542478</v>
      </c>
      <c r="BH347" s="44">
        <f t="shared" si="353"/>
        <v>51.393343774619261</v>
      </c>
      <c r="BI347" s="42" t="str">
        <f t="shared" si="306"/>
        <v>1.1133021880019+2.99083811118223i</v>
      </c>
      <c r="BJ347" s="20">
        <f t="shared" si="354"/>
        <v>10.079420309532093</v>
      </c>
      <c r="BK347" s="44">
        <f t="shared" si="307"/>
        <v>69.582844864354556</v>
      </c>
      <c r="BL347">
        <f t="shared" si="355"/>
        <v>-4.958052542542478</v>
      </c>
      <c r="BM347" s="44">
        <f t="shared" si="356"/>
        <v>51.393343774619261</v>
      </c>
    </row>
    <row r="348" spans="14:65" x14ac:dyDescent="0.35">
      <c r="N348" s="9">
        <v>30</v>
      </c>
      <c r="O348" s="35">
        <f t="shared" si="308"/>
        <v>19952.623149688792</v>
      </c>
      <c r="P348" s="34" t="str">
        <f t="shared" si="309"/>
        <v>16.3709677419355</v>
      </c>
      <c r="Q348" s="4" t="str">
        <f t="shared" si="310"/>
        <v>1+18.4409384025484i</v>
      </c>
      <c r="R348" s="4">
        <f t="shared" si="321"/>
        <v>18.468032087003323</v>
      </c>
      <c r="S348" s="4">
        <f t="shared" si="322"/>
        <v>1.5166222111147074</v>
      </c>
      <c r="T348" s="4" t="str">
        <f t="shared" si="311"/>
        <v>1+0.0200585645782106i</v>
      </c>
      <c r="U348" s="4">
        <f t="shared" si="323"/>
        <v>1.0002011527752497</v>
      </c>
      <c r="V348" s="4">
        <f t="shared" si="324"/>
        <v>2.0055875066288285E-2</v>
      </c>
      <c r="W348" t="str">
        <f t="shared" si="312"/>
        <v>1-0.262501112975051i</v>
      </c>
      <c r="X348" s="4">
        <f t="shared" si="325"/>
        <v>1.0338795066704536</v>
      </c>
      <c r="Y348" s="4">
        <f t="shared" si="326"/>
        <v>-0.25670937166103952</v>
      </c>
      <c r="Z348" t="str">
        <f t="shared" si="313"/>
        <v>0.99965550488216+0.0516967227412333i</v>
      </c>
      <c r="AA348" s="4">
        <f t="shared" si="327"/>
        <v>1.0009913484058643</v>
      </c>
      <c r="AB348" s="4">
        <f t="shared" si="328"/>
        <v>5.1668510308403595E-2</v>
      </c>
      <c r="AC348" s="48" t="str">
        <f t="shared" si="329"/>
        <v>-0.212468854512441-0.890769085936483i</v>
      </c>
      <c r="AD348" s="20">
        <f t="shared" si="330"/>
        <v>-0.76438627772292367</v>
      </c>
      <c r="AE348" s="44">
        <f t="shared" si="331"/>
        <v>-103.41568594896428</v>
      </c>
      <c r="AF348" t="str">
        <f t="shared" si="332"/>
        <v>45.9520231294187</v>
      </c>
      <c r="AG348" t="str">
        <f t="shared" si="314"/>
        <v>1+8.84936672568111i</v>
      </c>
      <c r="AH348">
        <f t="shared" si="333"/>
        <v>8.9056887125921946</v>
      </c>
      <c r="AI348">
        <f t="shared" si="334"/>
        <v>1.4582712352551686</v>
      </c>
      <c r="AJ348" t="str">
        <f t="shared" si="315"/>
        <v>1+0.0200585645782106i</v>
      </c>
      <c r="AK348">
        <f t="shared" si="335"/>
        <v>1.0002011527752497</v>
      </c>
      <c r="AL348">
        <f t="shared" si="336"/>
        <v>2.0055875066288285E-2</v>
      </c>
      <c r="AM348" t="str">
        <f t="shared" si="316"/>
        <v>1-0.0448775854619027i</v>
      </c>
      <c r="AN348">
        <f t="shared" si="337"/>
        <v>1.001006492325045</v>
      </c>
      <c r="AO348">
        <f t="shared" si="338"/>
        <v>-4.48474940316958E-2</v>
      </c>
      <c r="AP348" s="42" t="str">
        <f t="shared" si="339"/>
        <v>0.452657174560087-5.14621356038981i</v>
      </c>
      <c r="AQ348">
        <f t="shared" si="340"/>
        <v>14.263227419648846</v>
      </c>
      <c r="AR348" s="44">
        <f t="shared" si="341"/>
        <v>-84.973242299464687</v>
      </c>
      <c r="AS348" t="str">
        <f t="shared" si="317"/>
        <v>-0.000166666666666667</v>
      </c>
      <c r="AT348" t="str">
        <f t="shared" si="318"/>
        <v>0.00158211928110636i</v>
      </c>
      <c r="AU348">
        <f t="shared" si="342"/>
        <v>1.5821192811063601E-3</v>
      </c>
      <c r="AV348">
        <f t="shared" si="343"/>
        <v>1.5707963267948966</v>
      </c>
      <c r="AW348" t="str">
        <f t="shared" si="319"/>
        <v>1+0.288242526644888i</v>
      </c>
      <c r="AX348">
        <f t="shared" si="344"/>
        <v>1.0407130988733777</v>
      </c>
      <c r="AY348">
        <f t="shared" si="345"/>
        <v>0.2806355250699078</v>
      </c>
      <c r="AZ348" t="str">
        <f t="shared" si="320"/>
        <v>1+5.86713013912658i</v>
      </c>
      <c r="BA348">
        <f t="shared" si="346"/>
        <v>5.9517405915788606</v>
      </c>
      <c r="BB348">
        <f t="shared" si="347"/>
        <v>1.4019775096499281</v>
      </c>
      <c r="BC348" s="42" t="str">
        <f t="shared" si="348"/>
        <v>-0.542619125713134+0.261749840245046i</v>
      </c>
      <c r="BD348">
        <f t="shared" si="349"/>
        <v>-4.40155000748332</v>
      </c>
      <c r="BE348" s="44">
        <f t="shared" si="350"/>
        <v>154.24816310725893</v>
      </c>
      <c r="BF348" s="42" t="str">
        <f t="shared" si="351"/>
        <v>0.348448330015912+0.427734653897463i</v>
      </c>
      <c r="BG348" s="20">
        <f t="shared" si="352"/>
        <v>-5.1659362852062349</v>
      </c>
      <c r="BH348" s="44">
        <f t="shared" si="353"/>
        <v>50.832477158294672</v>
      </c>
      <c r="BI348" s="42" t="str">
        <f t="shared" si="306"/>
        <v>1.10140013699135+2.91091684599867i</v>
      </c>
      <c r="BJ348" s="20">
        <f t="shared" si="354"/>
        <v>9.8616774121655268</v>
      </c>
      <c r="BK348" s="44">
        <f t="shared" si="307"/>
        <v>69.27492080779426</v>
      </c>
      <c r="BL348">
        <f t="shared" si="355"/>
        <v>-5.1659362852062349</v>
      </c>
      <c r="BM348" s="44">
        <f t="shared" si="356"/>
        <v>50.832477158294672</v>
      </c>
    </row>
    <row r="349" spans="14:65" x14ac:dyDescent="0.35">
      <c r="N349" s="9">
        <v>31</v>
      </c>
      <c r="O349" s="35">
        <f t="shared" si="308"/>
        <v>20417.379446695286</v>
      </c>
      <c r="P349" s="34" t="str">
        <f t="shared" si="309"/>
        <v>16.3709677419355</v>
      </c>
      <c r="Q349" s="4" t="str">
        <f t="shared" si="310"/>
        <v>1+18.8704830384088i</v>
      </c>
      <c r="R349" s="4">
        <f t="shared" si="321"/>
        <v>18.896960869485714</v>
      </c>
      <c r="S349" s="4">
        <f t="shared" si="322"/>
        <v>1.5178530347445165</v>
      </c>
      <c r="T349" s="4" t="str">
        <f t="shared" si="311"/>
        <v>1+0.0205257885680938i</v>
      </c>
      <c r="U349" s="4">
        <f t="shared" si="323"/>
        <v>1.0002106318152901</v>
      </c>
      <c r="V349" s="4">
        <f t="shared" si="324"/>
        <v>2.0522906736923519E-2</v>
      </c>
      <c r="W349" t="str">
        <f t="shared" si="312"/>
        <v>1-0.268615549373268i</v>
      </c>
      <c r="X349" s="4">
        <f t="shared" si="325"/>
        <v>1.0354488463295048</v>
      </c>
      <c r="Y349" s="4">
        <f t="shared" si="326"/>
        <v>-0.26242100365557597</v>
      </c>
      <c r="Z349" t="str">
        <f t="shared" si="313"/>
        <v>0.999639269327446+0.052900894104985i</v>
      </c>
      <c r="AA349" s="4">
        <f t="shared" si="327"/>
        <v>1.0010380479175689</v>
      </c>
      <c r="AB349" s="4">
        <f t="shared" si="328"/>
        <v>5.2870665569546865E-2</v>
      </c>
      <c r="AC349" s="48" t="str">
        <f t="shared" si="329"/>
        <v>-0.214641051491528-0.870216895389611i</v>
      </c>
      <c r="AD349" s="20">
        <f t="shared" si="330"/>
        <v>-0.95096161008683122</v>
      </c>
      <c r="AE349" s="44">
        <f t="shared" si="331"/>
        <v>-103.85557883485268</v>
      </c>
      <c r="AF349" t="str">
        <f t="shared" si="332"/>
        <v>45.9520231294187</v>
      </c>
      <c r="AG349" t="str">
        <f t="shared" si="314"/>
        <v>1+9.05549495651193i</v>
      </c>
      <c r="AH349">
        <f t="shared" si="333"/>
        <v>9.1105427339655787</v>
      </c>
      <c r="AI349">
        <f t="shared" si="334"/>
        <v>1.4608117761059756</v>
      </c>
      <c r="AJ349" t="str">
        <f t="shared" si="315"/>
        <v>1+0.0205257885680938i</v>
      </c>
      <c r="AK349">
        <f t="shared" si="335"/>
        <v>1.0002106318152901</v>
      </c>
      <c r="AL349">
        <f t="shared" si="336"/>
        <v>2.0522906736923519E-2</v>
      </c>
      <c r="AM349" t="str">
        <f t="shared" si="316"/>
        <v>1-0.0459229187136456i</v>
      </c>
      <c r="AN349">
        <f t="shared" si="337"/>
        <v>1.0010539018770068</v>
      </c>
      <c r="AO349">
        <f t="shared" si="338"/>
        <v>-4.5890676998346286E-2</v>
      </c>
      <c r="AP349" s="42" t="str">
        <f t="shared" si="339"/>
        <v>0.426822624293097-5.03213963348058i</v>
      </c>
      <c r="AQ349">
        <f t="shared" si="340"/>
        <v>14.066186332177544</v>
      </c>
      <c r="AR349" s="44">
        <f t="shared" si="341"/>
        <v>-85.151815605519161</v>
      </c>
      <c r="AS349" t="str">
        <f t="shared" si="317"/>
        <v>-0.000166666666666667</v>
      </c>
      <c r="AT349" t="str">
        <f t="shared" si="318"/>
        <v>0.0016189715733084i</v>
      </c>
      <c r="AU349">
        <f t="shared" si="342"/>
        <v>1.6189715733084E-3</v>
      </c>
      <c r="AV349">
        <f t="shared" si="343"/>
        <v>1.5707963267948966</v>
      </c>
      <c r="AW349" t="str">
        <f t="shared" si="319"/>
        <v>1+0.294956557593012i</v>
      </c>
      <c r="AX349">
        <f t="shared" si="344"/>
        <v>1.04259261980273</v>
      </c>
      <c r="AY349">
        <f t="shared" si="345"/>
        <v>0.28682338455486589</v>
      </c>
      <c r="AZ349" t="str">
        <f t="shared" si="320"/>
        <v>1+6.00379315616742i</v>
      </c>
      <c r="BA349">
        <f t="shared" si="346"/>
        <v>6.0865041084388292</v>
      </c>
      <c r="BB349">
        <f t="shared" si="347"/>
        <v>1.4057501040936151</v>
      </c>
      <c r="BC349" s="42" t="str">
        <f t="shared" si="348"/>
        <v>-0.540664489337446+0.262418548373547i</v>
      </c>
      <c r="BD349">
        <f t="shared" si="349"/>
        <v>-4.4227440101474507</v>
      </c>
      <c r="BE349" s="44">
        <f t="shared" si="350"/>
        <v>154.10977861398874</v>
      </c>
      <c r="BF349" s="42" t="str">
        <f t="shared" si="351"/>
        <v>0.344409848953796+0.414169580204863i</v>
      </c>
      <c r="BG349" s="20">
        <f t="shared" si="352"/>
        <v>-5.3737056202342863</v>
      </c>
      <c r="BH349" s="44">
        <f t="shared" si="353"/>
        <v>50.254199779136059</v>
      </c>
      <c r="BI349" s="42" t="str">
        <f t="shared" si="306"/>
        <v>1.08975894162987+2.83270537869048i</v>
      </c>
      <c r="BJ349" s="20">
        <f t="shared" si="354"/>
        <v>9.6434423220300864</v>
      </c>
      <c r="BK349" s="44">
        <f t="shared" si="307"/>
        <v>68.957963008469591</v>
      </c>
      <c r="BL349">
        <f t="shared" si="355"/>
        <v>-5.3737056202342863</v>
      </c>
      <c r="BM349" s="44">
        <f t="shared" si="356"/>
        <v>50.254199779136059</v>
      </c>
    </row>
    <row r="350" spans="14:65" x14ac:dyDescent="0.35">
      <c r="N350" s="9">
        <v>32</v>
      </c>
      <c r="O350" s="35">
        <f t="shared" si="308"/>
        <v>20892.961308540423</v>
      </c>
      <c r="P350" s="34" t="str">
        <f t="shared" si="309"/>
        <v>16.3709677419355</v>
      </c>
      <c r="Q350" s="4" t="str">
        <f t="shared" si="310"/>
        <v>1+19.3100330541566i</v>
      </c>
      <c r="R350" s="4">
        <f t="shared" si="321"/>
        <v>19.335908992147758</v>
      </c>
      <c r="S350" s="4">
        <f t="shared" si="322"/>
        <v>1.5190559965751373</v>
      </c>
      <c r="T350" s="4" t="str">
        <f t="shared" si="311"/>
        <v>1+0.0210038956027669i</v>
      </c>
      <c r="U350" s="4">
        <f t="shared" si="323"/>
        <v>1.0002205574924423</v>
      </c>
      <c r="V350" s="4">
        <f t="shared" si="324"/>
        <v>2.1000807701807928E-2</v>
      </c>
      <c r="W350" t="str">
        <f t="shared" si="312"/>
        <v>1-0.274872409291311i</v>
      </c>
      <c r="X350" s="4">
        <f t="shared" si="325"/>
        <v>1.0370896014277697</v>
      </c>
      <c r="Y350" s="4">
        <f t="shared" si="326"/>
        <v>-0.26824758697070517</v>
      </c>
      <c r="Z350" t="str">
        <f t="shared" si="313"/>
        <v>0.999622268614611+0.0541331142230177i</v>
      </c>
      <c r="AA350" s="4">
        <f t="shared" si="327"/>
        <v>1.0010869462567695</v>
      </c>
      <c r="AB350" s="4">
        <f t="shared" si="328"/>
        <v>5.4100725593481933E-2</v>
      </c>
      <c r="AC350" s="48" t="str">
        <f t="shared" si="329"/>
        <v>-0.216714506606368-0.850115758958387i</v>
      </c>
      <c r="AD350" s="20">
        <f t="shared" si="330"/>
        <v>-1.1369996575751422</v>
      </c>
      <c r="AE350" s="44">
        <f t="shared" si="331"/>
        <v>-104.30143764320702</v>
      </c>
      <c r="AF350" t="str">
        <f t="shared" si="332"/>
        <v>45.9520231294187</v>
      </c>
      <c r="AG350" t="str">
        <f t="shared" si="314"/>
        <v>1+9.26642453063243i</v>
      </c>
      <c r="AH350">
        <f t="shared" si="333"/>
        <v>9.3202265842578331</v>
      </c>
      <c r="AI350">
        <f t="shared" si="334"/>
        <v>1.4632958653951034</v>
      </c>
      <c r="AJ350" t="str">
        <f t="shared" si="315"/>
        <v>1+0.0210038956027669i</v>
      </c>
      <c r="AK350">
        <f t="shared" si="335"/>
        <v>1.0002205574924423</v>
      </c>
      <c r="AL350">
        <f t="shared" si="336"/>
        <v>2.1000807701807928E-2</v>
      </c>
      <c r="AM350" t="str">
        <f t="shared" si="316"/>
        <v>1-0.0469926009047525i</v>
      </c>
      <c r="AN350">
        <f t="shared" si="337"/>
        <v>1.0011035433659166</v>
      </c>
      <c r="AO350">
        <f t="shared" si="338"/>
        <v>-4.6958055340850756E-2</v>
      </c>
      <c r="AP350" s="42" t="str">
        <f t="shared" si="339"/>
        <v>0.402123418648132-4.92047989804332i</v>
      </c>
      <c r="AQ350">
        <f t="shared" si="340"/>
        <v>13.869058821649871</v>
      </c>
      <c r="AR350" s="44">
        <f t="shared" si="341"/>
        <v>-85.327918003575917</v>
      </c>
      <c r="AS350" t="str">
        <f t="shared" si="317"/>
        <v>-0.000166666666666667</v>
      </c>
      <c r="AT350" t="str">
        <f t="shared" si="318"/>
        <v>0.00165668226566824i</v>
      </c>
      <c r="AU350">
        <f t="shared" si="342"/>
        <v>1.65668226566824E-3</v>
      </c>
      <c r="AV350">
        <f t="shared" si="343"/>
        <v>1.5707963267948966</v>
      </c>
      <c r="AW350" t="str">
        <f t="shared" si="319"/>
        <v>1+0.301826978412185i</v>
      </c>
      <c r="AX350">
        <f t="shared" si="344"/>
        <v>1.044557095087401</v>
      </c>
      <c r="AY350">
        <f t="shared" si="345"/>
        <v>0.29313207749734277</v>
      </c>
      <c r="AZ350" t="str">
        <f t="shared" si="320"/>
        <v>1+6.1436394638093i</v>
      </c>
      <c r="BA350">
        <f t="shared" si="346"/>
        <v>6.2244924179626899</v>
      </c>
      <c r="BB350">
        <f t="shared" si="347"/>
        <v>1.4094414107742586</v>
      </c>
      <c r="BC350" s="42" t="str">
        <f t="shared" si="348"/>
        <v>-0.538632770292191+0.263176575997107i</v>
      </c>
      <c r="BD350">
        <f t="shared" si="349"/>
        <v>-4.444374294407897</v>
      </c>
      <c r="BE350" s="44">
        <f t="shared" si="350"/>
        <v>153.95981342783006</v>
      </c>
      <c r="BF350" s="42" t="str">
        <f t="shared" si="351"/>
        <v>0.340460089699744+0.400866024499238i</v>
      </c>
      <c r="BG350" s="20">
        <f t="shared" si="352"/>
        <v>-5.581373951983033</v>
      </c>
      <c r="BH350" s="44">
        <f t="shared" si="353"/>
        <v>49.65837578462299</v>
      </c>
      <c r="BI350" s="42" t="str">
        <f t="shared" si="306"/>
        <v>1.07835820084383+2.75616118309818i</v>
      </c>
      <c r="BJ350" s="20">
        <f t="shared" si="354"/>
        <v>9.4246845272419861</v>
      </c>
      <c r="BK350" s="44">
        <f t="shared" si="307"/>
        <v>68.631895424254083</v>
      </c>
      <c r="BL350">
        <f t="shared" si="355"/>
        <v>-5.581373951983033</v>
      </c>
      <c r="BM350" s="44">
        <f t="shared" si="356"/>
        <v>49.65837578462299</v>
      </c>
    </row>
    <row r="351" spans="14:65" x14ac:dyDescent="0.35">
      <c r="N351" s="9">
        <v>33</v>
      </c>
      <c r="O351" s="35">
        <f t="shared" si="308"/>
        <v>21379.620895022348</v>
      </c>
      <c r="P351" s="34" t="str">
        <f t="shared" si="309"/>
        <v>16.3709677419355</v>
      </c>
      <c r="Q351" s="4" t="str">
        <f t="shared" si="310"/>
        <v>1+19.7598215050282i</v>
      </c>
      <c r="R351" s="4">
        <f t="shared" si="321"/>
        <v>19.78510919632679</v>
      </c>
      <c r="S351" s="4">
        <f t="shared" si="322"/>
        <v>1.5202317204983415</v>
      </c>
      <c r="T351" s="4" t="str">
        <f t="shared" si="311"/>
        <v>1+0.0214931391809078i</v>
      </c>
      <c r="U351" s="4">
        <f t="shared" si="323"/>
        <v>1.0002309508467782</v>
      </c>
      <c r="V351" s="4">
        <f t="shared" si="324"/>
        <v>2.148983047667798E-2</v>
      </c>
      <c r="W351" t="str">
        <f t="shared" si="312"/>
        <v>1-0.281275010199125i</v>
      </c>
      <c r="X351" s="4">
        <f t="shared" si="325"/>
        <v>1.0388049053419597</v>
      </c>
      <c r="Y351" s="4">
        <f t="shared" si="326"/>
        <v>-0.2741906278408886</v>
      </c>
      <c r="Z351" t="str">
        <f t="shared" si="313"/>
        <v>0.999604466682864+0.0553940364347475i</v>
      </c>
      <c r="AA351" s="4">
        <f t="shared" si="327"/>
        <v>1.0011381468533036</v>
      </c>
      <c r="AB351" s="4">
        <f t="shared" si="328"/>
        <v>5.5359333445664814E-2</v>
      </c>
      <c r="AC351" s="48" t="str">
        <f t="shared" si="329"/>
        <v>-0.218693545686262-0.830455715142322i</v>
      </c>
      <c r="AD351" s="20">
        <f t="shared" si="330"/>
        <v>-1.3224765552107152</v>
      </c>
      <c r="AE351" s="44">
        <f t="shared" si="331"/>
        <v>-104.75340679812066</v>
      </c>
      <c r="AF351" t="str">
        <f t="shared" si="332"/>
        <v>45.9520231294187</v>
      </c>
      <c r="AG351" t="str">
        <f t="shared" si="314"/>
        <v>1+9.48226728569461i</v>
      </c>
      <c r="AH351">
        <f t="shared" si="333"/>
        <v>9.5348514869060352</v>
      </c>
      <c r="AI351">
        <f t="shared" si="334"/>
        <v>1.4657246975243585</v>
      </c>
      <c r="AJ351" t="str">
        <f t="shared" si="315"/>
        <v>1+0.0214931391809078i</v>
      </c>
      <c r="AK351">
        <f t="shared" si="335"/>
        <v>1.0002309508467782</v>
      </c>
      <c r="AL351">
        <f t="shared" si="336"/>
        <v>2.148983047667798E-2</v>
      </c>
      <c r="AM351" t="str">
        <f t="shared" si="316"/>
        <v>1-0.0480871991948793i</v>
      </c>
      <c r="AN351">
        <f t="shared" si="337"/>
        <v>1.0011555217479491</v>
      </c>
      <c r="AO351">
        <f t="shared" si="338"/>
        <v>-4.8050185263317023E-2</v>
      </c>
      <c r="AP351" s="42" t="str">
        <f t="shared" si="339"/>
        <v>0.3785108290253-4.81119171221491i</v>
      </c>
      <c r="AQ351">
        <f t="shared" si="340"/>
        <v>13.671850799558204</v>
      </c>
      <c r="AR351" s="44">
        <f t="shared" si="341"/>
        <v>-85.501635327879427</v>
      </c>
      <c r="AS351" t="str">
        <f t="shared" si="317"/>
        <v>-0.000166666666666667</v>
      </c>
      <c r="AT351" t="str">
        <f t="shared" si="318"/>
        <v>0.00169527135289411i</v>
      </c>
      <c r="AU351">
        <f t="shared" si="342"/>
        <v>1.6952713528941099E-3</v>
      </c>
      <c r="AV351">
        <f t="shared" si="343"/>
        <v>1.5707963267948966</v>
      </c>
      <c r="AW351" t="str">
        <f t="shared" si="319"/>
        <v>1+0.308857431890463i</v>
      </c>
      <c r="AX351">
        <f t="shared" si="344"/>
        <v>1.0466102011895222</v>
      </c>
      <c r="AY351">
        <f t="shared" si="345"/>
        <v>0.29956293942788154</v>
      </c>
      <c r="AZ351" t="str">
        <f t="shared" si="320"/>
        <v>1+6.28674321041553i</v>
      </c>
      <c r="BA351">
        <f t="shared" si="346"/>
        <v>6.3657788363801773</v>
      </c>
      <c r="BB351">
        <f t="shared" si="347"/>
        <v>1.4130529842933612</v>
      </c>
      <c r="BC351" s="42" t="str">
        <f t="shared" si="348"/>
        <v>-0.536521601207824+0.264021361918714i</v>
      </c>
      <c r="BD351">
        <f t="shared" si="349"/>
        <v>-4.466477821180125</v>
      </c>
      <c r="BE351" s="44">
        <f t="shared" si="350"/>
        <v>153.79828010062457</v>
      </c>
      <c r="BF351" s="42" t="str">
        <f t="shared" si="351"/>
        <v>0.336591860230465+0.387817662245428i</v>
      </c>
      <c r="BG351" s="20">
        <f t="shared" si="352"/>
        <v>-5.788954376390838</v>
      </c>
      <c r="BH351" s="44">
        <f t="shared" si="353"/>
        <v>49.044873302503937</v>
      </c>
      <c r="BI351" s="42" t="str">
        <f t="shared" si="306"/>
        <v>1.06717815224786+2.6812432257356i</v>
      </c>
      <c r="BJ351" s="20">
        <f t="shared" si="354"/>
        <v>9.2053729783780902</v>
      </c>
      <c r="BK351" s="44">
        <f t="shared" si="307"/>
        <v>68.296644772745083</v>
      </c>
      <c r="BL351">
        <f t="shared" si="355"/>
        <v>-5.788954376390838</v>
      </c>
      <c r="BM351" s="44">
        <f t="shared" si="356"/>
        <v>49.044873302503937</v>
      </c>
    </row>
    <row r="352" spans="14:65" x14ac:dyDescent="0.35">
      <c r="N352" s="9">
        <v>34</v>
      </c>
      <c r="O352" s="35">
        <f t="shared" si="308"/>
        <v>21877.61623949555</v>
      </c>
      <c r="P352" s="34" t="str">
        <f t="shared" si="309"/>
        <v>16.3709677419355</v>
      </c>
      <c r="Q352" s="4" t="str">
        <f t="shared" si="310"/>
        <v>1+20.2200868748139i</v>
      </c>
      <c r="R352" s="4">
        <f t="shared" si="321"/>
        <v>20.244799658801796</v>
      </c>
      <c r="S352" s="4">
        <f t="shared" si="322"/>
        <v>1.5213808168892591</v>
      </c>
      <c r="T352" s="4" t="str">
        <f t="shared" si="311"/>
        <v>1+0.0219937787059379i</v>
      </c>
      <c r="U352" s="4">
        <f t="shared" si="323"/>
        <v>1.0002418339090631</v>
      </c>
      <c r="V352" s="4">
        <f t="shared" si="324"/>
        <v>2.1990233411773825E-2</v>
      </c>
      <c r="W352" t="str">
        <f t="shared" si="312"/>
        <v>1-0.287826746840463i</v>
      </c>
      <c r="X352" s="4">
        <f t="shared" si="325"/>
        <v>1.0405980185435508</v>
      </c>
      <c r="Y352" s="4">
        <f t="shared" si="326"/>
        <v>-0.2802515974240844</v>
      </c>
      <c r="Z352" t="str">
        <f t="shared" si="313"/>
        <v>0.999585825771922+0.0566843292978219i</v>
      </c>
      <c r="AA352" s="4">
        <f t="shared" si="327"/>
        <v>1.0011917579924834</v>
      </c>
      <c r="AB352" s="4">
        <f t="shared" si="328"/>
        <v>5.6647146677943232E-2</v>
      </c>
      <c r="AC352" s="48" t="str">
        <f t="shared" si="329"/>
        <v>-0.220582300697538-0.81122699090628i</v>
      </c>
      <c r="AD352" s="20">
        <f t="shared" si="330"/>
        <v>-1.507367746911408</v>
      </c>
      <c r="AE352" s="44">
        <f t="shared" si="331"/>
        <v>-105.21162843522202</v>
      </c>
      <c r="AF352" t="str">
        <f t="shared" si="332"/>
        <v>45.9520231294187</v>
      </c>
      <c r="AG352" t="str">
        <f t="shared" si="314"/>
        <v>1+9.70313766438435i</v>
      </c>
      <c r="AH352">
        <f t="shared" si="333"/>
        <v>9.7545312821269974</v>
      </c>
      <c r="AI352">
        <f t="shared" si="334"/>
        <v>1.4680994456043899</v>
      </c>
      <c r="AJ352" t="str">
        <f t="shared" si="315"/>
        <v>1+0.0219937787059379i</v>
      </c>
      <c r="AK352">
        <f t="shared" si="335"/>
        <v>1.0002418339090631</v>
      </c>
      <c r="AL352">
        <f t="shared" si="336"/>
        <v>2.1990233411773825E-2</v>
      </c>
      <c r="AM352" t="str">
        <f t="shared" si="316"/>
        <v>1-0.0492072939545288i</v>
      </c>
      <c r="AN352">
        <f t="shared" si="337"/>
        <v>1.0012099469034093</v>
      </c>
      <c r="AO352">
        <f t="shared" si="338"/>
        <v>-4.9167635400477729E-2</v>
      </c>
      <c r="AP352" s="42" t="str">
        <f t="shared" si="339"/>
        <v>0.3559381165896-4.70423262740662i</v>
      </c>
      <c r="AQ352">
        <f t="shared" si="340"/>
        <v>13.474568021227483</v>
      </c>
      <c r="AR352" s="44">
        <f t="shared" si="341"/>
        <v>-85.673052570710695</v>
      </c>
      <c r="AS352" t="str">
        <f t="shared" si="317"/>
        <v>-0.000166666666666667</v>
      </c>
      <c r="AT352" t="str">
        <f t="shared" si="318"/>
        <v>0.00173475929543085i</v>
      </c>
      <c r="AU352">
        <f t="shared" si="342"/>
        <v>1.7347592954308499E-3</v>
      </c>
      <c r="AV352">
        <f t="shared" si="343"/>
        <v>1.5707963267948966</v>
      </c>
      <c r="AW352" t="str">
        <f t="shared" si="319"/>
        <v>1+0.316051645667341i</v>
      </c>
      <c r="AX352">
        <f t="shared" si="344"/>
        <v>1.0487557593305672</v>
      </c>
      <c r="AY352">
        <f t="shared" si="345"/>
        <v>0.30611725165548781</v>
      </c>
      <c r="AZ352" t="str">
        <f t="shared" si="320"/>
        <v>1+6.43318027148683i</v>
      </c>
      <c r="BA352">
        <f t="shared" si="346"/>
        <v>6.5104384188353519</v>
      </c>
      <c r="BB352">
        <f t="shared" si="347"/>
        <v>1.4165863625036896</v>
      </c>
      <c r="BC352" s="42" t="str">
        <f t="shared" si="348"/>
        <v>-0.534328601031643+0.264950241932166i</v>
      </c>
      <c r="BD352">
        <f t="shared" si="349"/>
        <v>-4.4890919424028333</v>
      </c>
      <c r="BE352" s="44">
        <f t="shared" si="350"/>
        <v>153.62519333124715</v>
      </c>
      <c r="BF352" s="42" t="str">
        <f t="shared" si="351"/>
        <v>0.332798219646579+0.375018449234296i</v>
      </c>
      <c r="BG352" s="20">
        <f t="shared" si="352"/>
        <v>-5.9964596893142295</v>
      </c>
      <c r="BH352" s="44">
        <f t="shared" si="353"/>
        <v>48.413564896025122</v>
      </c>
      <c r="BI352" s="42" t="str">
        <f t="shared" si="306"/>
        <v>1.05619965684541+2.60791192883288i</v>
      </c>
      <c r="BJ352" s="20">
        <f t="shared" si="354"/>
        <v>8.9854760788246395</v>
      </c>
      <c r="BK352" s="44">
        <f t="shared" si="307"/>
        <v>67.95214076053648</v>
      </c>
      <c r="BL352">
        <f t="shared" si="355"/>
        <v>-5.9964596893142295</v>
      </c>
      <c r="BM352" s="44">
        <f t="shared" si="356"/>
        <v>48.413564896025122</v>
      </c>
    </row>
    <row r="353" spans="14:65" x14ac:dyDescent="0.35">
      <c r="N353" s="9">
        <v>35</v>
      </c>
      <c r="O353" s="35">
        <f t="shared" si="308"/>
        <v>22387.211385683382</v>
      </c>
      <c r="P353" s="34" t="str">
        <f t="shared" si="309"/>
        <v>16.3709677419355</v>
      </c>
      <c r="Q353" s="4" t="str">
        <f t="shared" si="310"/>
        <v>1+20.691073202305i</v>
      </c>
      <c r="R353" s="4">
        <f t="shared" si="321"/>
        <v>20.715224118100775</v>
      </c>
      <c r="S353" s="4">
        <f t="shared" si="322"/>
        <v>1.5225038828687709</v>
      </c>
      <c r="T353" s="4" t="str">
        <f t="shared" si="311"/>
        <v>1+0.0225060796235598i</v>
      </c>
      <c r="U353" s="4">
        <f t="shared" si="323"/>
        <v>1.0002532297473585</v>
      </c>
      <c r="V353" s="4">
        <f t="shared" si="324"/>
        <v>2.2502280824360753E-2</v>
      </c>
      <c r="W353" t="str">
        <f t="shared" si="312"/>
        <v>1-0.294531093032811i</v>
      </c>
      <c r="X353" s="4">
        <f t="shared" si="325"/>
        <v>1.0424723328525809</v>
      </c>
      <c r="Y353" s="4">
        <f t="shared" si="326"/>
        <v>-0.28643192741586154</v>
      </c>
      <c r="Z353" t="str">
        <f t="shared" si="313"/>
        <v>0.999566306341913+0.0580046769425955i</v>
      </c>
      <c r="AA353" s="4">
        <f t="shared" si="327"/>
        <v>1.0012478930420927</v>
      </c>
      <c r="AB353" s="4">
        <f t="shared" si="328"/>
        <v>5.7964837631050099E-2</v>
      </c>
      <c r="AC353" s="48" t="str">
        <f t="shared" si="329"/>
        <v>-0.222384717956394-0.792419999534243i</v>
      </c>
      <c r="AD353" s="20">
        <f t="shared" si="330"/>
        <v>-1.691647974497525</v>
      </c>
      <c r="AE353" s="44">
        <f t="shared" si="331"/>
        <v>-105.67624217515346</v>
      </c>
      <c r="AF353" t="str">
        <f t="shared" si="332"/>
        <v>45.9520231294187</v>
      </c>
      <c r="AG353" t="str">
        <f t="shared" si="314"/>
        <v>1+9.9291527750999i</v>
      </c>
      <c r="AH353">
        <f t="shared" si="333"/>
        <v>9.9793824874725612</v>
      </c>
      <c r="AI353">
        <f t="shared" si="334"/>
        <v>1.47042126156176</v>
      </c>
      <c r="AJ353" t="str">
        <f t="shared" si="315"/>
        <v>1+0.0225060796235598i</v>
      </c>
      <c r="AK353">
        <f t="shared" si="335"/>
        <v>1.0002532297473585</v>
      </c>
      <c r="AL353">
        <f t="shared" si="336"/>
        <v>2.2502280824360753E-2</v>
      </c>
      <c r="AM353" t="str">
        <f t="shared" si="316"/>
        <v>1-0.0503534790727682i</v>
      </c>
      <c r="AN353">
        <f t="shared" si="337"/>
        <v>1.0012669338666547</v>
      </c>
      <c r="AO353">
        <f t="shared" si="338"/>
        <v>-5.0310987070009409E-2</v>
      </c>
      <c r="AP353" s="42" t="str">
        <f t="shared" si="339"/>
        <v>0.334360459956511-4.59956043244506i</v>
      </c>
      <c r="AQ353">
        <f t="shared" si="340"/>
        <v>13.277216096658277</v>
      </c>
      <c r="AR353" s="44">
        <f t="shared" si="341"/>
        <v>-85.842253895385724</v>
      </c>
      <c r="AS353" t="str">
        <f t="shared" si="317"/>
        <v>-0.000166666666666667</v>
      </c>
      <c r="AT353" t="str">
        <f t="shared" si="318"/>
        <v>0.00177516703030829i</v>
      </c>
      <c r="AU353">
        <f t="shared" si="342"/>
        <v>1.77516703030829E-3</v>
      </c>
      <c r="AV353">
        <f t="shared" si="343"/>
        <v>1.5707963267948966</v>
      </c>
      <c r="AW353" t="str">
        <f t="shared" si="319"/>
        <v>1+0.323413434210189i</v>
      </c>
      <c r="AX353">
        <f t="shared" si="344"/>
        <v>1.0509977399726549</v>
      </c>
      <c r="AY353">
        <f t="shared" si="345"/>
        <v>0.31279623601929252</v>
      </c>
      <c r="AZ353" t="str">
        <f t="shared" si="320"/>
        <v>1+6.58302828989124i</v>
      </c>
      <c r="BA353">
        <f t="shared" si="346"/>
        <v>6.6585479997900725</v>
      </c>
      <c r="BB353">
        <f t="shared" si="347"/>
        <v>1.4200430657613659</v>
      </c>
      <c r="BC353" s="42" t="str">
        <f t="shared" si="348"/>
        <v>-0.532051380823106+0.265960442865377i</v>
      </c>
      <c r="BD353">
        <f t="shared" si="349"/>
        <v>-4.5122544195306542</v>
      </c>
      <c r="BE353" s="44">
        <f t="shared" si="350"/>
        <v>153.44057022346115</v>
      </c>
      <c r="BF353" s="42" t="str">
        <f t="shared" si="351"/>
        <v>0.329072470274166+0.362462616869865i</v>
      </c>
      <c r="BG353" s="20">
        <f t="shared" si="352"/>
        <v>-6.2039023940281695</v>
      </c>
      <c r="BH353" s="44">
        <f t="shared" si="353"/>
        <v>47.764328048307704</v>
      </c>
      <c r="BI353" s="42" t="str">
        <f t="shared" si="306"/>
        <v>1.04540418518664+2.53612913526842i</v>
      </c>
      <c r="BJ353" s="20">
        <f t="shared" si="354"/>
        <v>8.7649616771276158</v>
      </c>
      <c r="BK353" s="44">
        <f t="shared" si="307"/>
        <v>67.59831632807547</v>
      </c>
      <c r="BL353">
        <f t="shared" si="355"/>
        <v>-6.2039023940281695</v>
      </c>
      <c r="BM353" s="44">
        <f t="shared" si="356"/>
        <v>47.764328048307704</v>
      </c>
    </row>
    <row r="354" spans="14:65" x14ac:dyDescent="0.35">
      <c r="N354" s="9">
        <v>36</v>
      </c>
      <c r="O354" s="35">
        <f t="shared" si="308"/>
        <v>22908.676527677751</v>
      </c>
      <c r="P354" s="34" t="str">
        <f t="shared" si="309"/>
        <v>16.3709677419355</v>
      </c>
      <c r="Q354" s="4" t="str">
        <f t="shared" si="310"/>
        <v>1+21.1730302106869i</v>
      </c>
      <c r="R354" s="4">
        <f t="shared" si="321"/>
        <v>21.196632003756168</v>
      </c>
      <c r="S354" s="4">
        <f t="shared" si="322"/>
        <v>1.5236015025629073</v>
      </c>
      <c r="T354" s="4" t="str">
        <f t="shared" si="311"/>
        <v>1+0.0230303135625016i</v>
      </c>
      <c r="U354" s="4">
        <f t="shared" si="323"/>
        <v>1.0002651625158137</v>
      </c>
      <c r="V354" s="4">
        <f t="shared" si="324"/>
        <v>2.3026243134099369E-2</v>
      </c>
      <c r="W354" t="str">
        <f t="shared" si="312"/>
        <v>1-0.301391603509268i</v>
      </c>
      <c r="X354" s="4">
        <f t="shared" si="325"/>
        <v>1.0444313757571093</v>
      </c>
      <c r="Y354" s="4">
        <f t="shared" si="326"/>
        <v>-0.29273300545021513</v>
      </c>
      <c r="Z354" t="str">
        <f t="shared" si="313"/>
        <v>0.999545866989508+0.0593557794348674i</v>
      </c>
      <c r="AA354" s="4">
        <f t="shared" si="327"/>
        <v>1.0013066706899179</v>
      </c>
      <c r="AB354" s="4">
        <f t="shared" si="328"/>
        <v>5.9313093741684149E-2</v>
      </c>
      <c r="AC354" s="48" t="str">
        <f t="shared" si="329"/>
        <v>-0.2241045659967-0.774025338387057i</v>
      </c>
      <c r="AD354" s="20">
        <f t="shared" si="330"/>
        <v>-1.8752912682332279</v>
      </c>
      <c r="AE354" s="44">
        <f t="shared" si="331"/>
        <v>-106.14738488475906</v>
      </c>
      <c r="AF354" t="str">
        <f t="shared" si="332"/>
        <v>45.9520231294187</v>
      </c>
      <c r="AG354" t="str">
        <f t="shared" si="314"/>
        <v>1+10.1604324540448i</v>
      </c>
      <c r="AH354">
        <f t="shared" si="333"/>
        <v>10.20952435979301</v>
      </c>
      <c r="AI354">
        <f t="shared" si="334"/>
        <v>1.472691276267091</v>
      </c>
      <c r="AJ354" t="str">
        <f t="shared" si="315"/>
        <v>1+0.0230303135625016i</v>
      </c>
      <c r="AK354">
        <f t="shared" si="335"/>
        <v>1.0002651625158137</v>
      </c>
      <c r="AL354">
        <f t="shared" si="336"/>
        <v>2.3026243134099369E-2</v>
      </c>
      <c r="AM354" t="str">
        <f t="shared" si="316"/>
        <v>1-0.0515263622721196i</v>
      </c>
      <c r="AN354">
        <f t="shared" si="337"/>
        <v>1.0013266030666506</v>
      </c>
      <c r="AO354">
        <f t="shared" si="338"/>
        <v>-5.1480834528111363E-2</v>
      </c>
      <c r="AP354" s="42" t="str">
        <f t="shared" si="339"/>
        <v>0.313734884697789-4.49713319385083i</v>
      </c>
      <c r="AQ354">
        <f t="shared" si="340"/>
        <v>13.079800501166858</v>
      </c>
      <c r="AR354" s="44">
        <f t="shared" si="341"/>
        <v>-86.009322650485203</v>
      </c>
      <c r="AS354" t="str">
        <f t="shared" si="317"/>
        <v>-0.000166666666666667</v>
      </c>
      <c r="AT354" t="str">
        <f t="shared" si="318"/>
        <v>0.00181651598224231i</v>
      </c>
      <c r="AU354">
        <f t="shared" si="342"/>
        <v>1.8165159822423099E-3</v>
      </c>
      <c r="AV354">
        <f t="shared" si="343"/>
        <v>1.5707963267948966</v>
      </c>
      <c r="AW354" t="str">
        <f t="shared" si="319"/>
        <v>1+0.330946700836741i</v>
      </c>
      <c r="AX354">
        <f t="shared" si="344"/>
        <v>1.0533402673375416</v>
      </c>
      <c r="AY354">
        <f t="shared" si="345"/>
        <v>0.31960104943433043</v>
      </c>
      <c r="AZ354" t="str">
        <f t="shared" si="320"/>
        <v>1+6.73636671703171i</v>
      </c>
      <c r="BA354">
        <f t="shared" si="346"/>
        <v>6.8101862343354886</v>
      </c>
      <c r="BB354">
        <f t="shared" si="347"/>
        <v>1.4234245962585659</v>
      </c>
      <c r="BC354" s="42" t="str">
        <f t="shared" si="348"/>
        <v>-0.529687550098809+0.267049076760711i</v>
      </c>
      <c r="BD354">
        <f t="shared" si="349"/>
        <v>-4.5360034396148423</v>
      </c>
      <c r="BE354" s="44">
        <f t="shared" si="350"/>
        <v>153.24443056018984</v>
      </c>
      <c r="BF354" s="42" t="str">
        <f t="shared" si="351"/>
        <v>0.325408150534409+0.350144667757363i</v>
      </c>
      <c r="BG354" s="20">
        <f t="shared" si="352"/>
        <v>-6.4112947078480769</v>
      </c>
      <c r="BH354" s="44">
        <f t="shared" si="353"/>
        <v>47.097045675430785</v>
      </c>
      <c r="BI354" s="42" t="str">
        <f t="shared" si="306"/>
        <v>1.03477380503171+2.46585807522505i</v>
      </c>
      <c r="BJ354" s="20">
        <f t="shared" si="354"/>
        <v>8.5437970615520147</v>
      </c>
      <c r="BK354" s="44">
        <f t="shared" si="307"/>
        <v>67.235107909704581</v>
      </c>
      <c r="BL354">
        <f t="shared" si="355"/>
        <v>-6.4112947078480769</v>
      </c>
      <c r="BM354" s="44">
        <f t="shared" si="356"/>
        <v>47.097045675430785</v>
      </c>
    </row>
    <row r="355" spans="14:65" x14ac:dyDescent="0.35">
      <c r="N355" s="9">
        <v>37</v>
      </c>
      <c r="O355" s="35">
        <f t="shared" si="308"/>
        <v>23442.288153199243</v>
      </c>
      <c r="P355" s="34" t="str">
        <f t="shared" si="309"/>
        <v>16.3709677419355</v>
      </c>
      <c r="Q355" s="4" t="str">
        <f t="shared" si="310"/>
        <v>1+21.6662134399447i</v>
      </c>
      <c r="R355" s="4">
        <f t="shared" si="321"/>
        <v>21.689278568574849</v>
      </c>
      <c r="S355" s="4">
        <f t="shared" si="322"/>
        <v>1.5246742473591186</v>
      </c>
      <c r="T355" s="4" t="str">
        <f t="shared" si="311"/>
        <v>1+0.0235667584785363i</v>
      </c>
      <c r="U355" s="4">
        <f t="shared" si="323"/>
        <v>1.0002776575057477</v>
      </c>
      <c r="V355" s="4">
        <f t="shared" si="324"/>
        <v>2.3562397001307488E-2</v>
      </c>
      <c r="W355" t="str">
        <f t="shared" si="312"/>
        <v>1-0.308411915803294i</v>
      </c>
      <c r="X355" s="4">
        <f t="shared" si="325"/>
        <v>1.0464788147924726</v>
      </c>
      <c r="Y355" s="4">
        <f t="shared" si="326"/>
        <v>-0.29915617028683994</v>
      </c>
      <c r="Z355" t="str">
        <f t="shared" si="313"/>
        <v>0.999524464360102+0.060738353147062i</v>
      </c>
      <c r="AA355" s="4">
        <f t="shared" si="327"/>
        <v>1.0013682151922769</v>
      </c>
      <c r="AB355" s="4">
        <f t="shared" si="328"/>
        <v>6.0692617854102238E-2</v>
      </c>
      <c r="AC355" s="48" t="str">
        <f t="shared" si="329"/>
        <v>-0.2257454431053-0.756033786576126i</v>
      </c>
      <c r="AD355" s="20">
        <f t="shared" si="330"/>
        <v>-2.0582709390570049</v>
      </c>
      <c r="AE355" s="44">
        <f t="shared" si="331"/>
        <v>-106.62519042594946</v>
      </c>
      <c r="AF355" t="str">
        <f t="shared" si="332"/>
        <v>45.9520231294187</v>
      </c>
      <c r="AG355" t="str">
        <f t="shared" si="314"/>
        <v>1+10.397099328766i</v>
      </c>
      <c r="AH355">
        <f t="shared" si="333"/>
        <v>10.445078958640114</v>
      </c>
      <c r="AI355">
        <f t="shared" si="334"/>
        <v>1.4749105996823941</v>
      </c>
      <c r="AJ355" t="str">
        <f t="shared" si="315"/>
        <v>1+0.0235667584785363i</v>
      </c>
      <c r="AK355">
        <f t="shared" si="335"/>
        <v>1.0002776575057477</v>
      </c>
      <c r="AL355">
        <f t="shared" si="336"/>
        <v>2.3562397001307488E-2</v>
      </c>
      <c r="AM355" t="str">
        <f t="shared" si="316"/>
        <v>1-0.0527265654307795i</v>
      </c>
      <c r="AN355">
        <f t="shared" si="337"/>
        <v>1.0013890805786361</v>
      </c>
      <c r="AO355">
        <f t="shared" si="338"/>
        <v>-5.2677785228226359E-2</v>
      </c>
      <c r="AP355" s="42" t="str">
        <f t="shared" si="339"/>
        <v>0.294020194701679-4.39690929249533i</v>
      </c>
      <c r="AQ355">
        <f t="shared" si="340"/>
        <v>12.88232658583647</v>
      </c>
      <c r="AR355" s="44">
        <f t="shared" si="341"/>
        <v>-86.174341385197806</v>
      </c>
      <c r="AS355" t="str">
        <f t="shared" si="317"/>
        <v>-0.000166666666666667</v>
      </c>
      <c r="AT355" t="str">
        <f t="shared" si="318"/>
        <v>0.00185882807499455i</v>
      </c>
      <c r="AU355">
        <f t="shared" si="342"/>
        <v>1.8588280749945499E-3</v>
      </c>
      <c r="AV355">
        <f t="shared" si="343"/>
        <v>1.5707963267948966</v>
      </c>
      <c r="AW355" t="str">
        <f t="shared" si="319"/>
        <v>1+0.338655439784672i</v>
      </c>
      <c r="AX355">
        <f t="shared" si="344"/>
        <v>1.0557876239546236</v>
      </c>
      <c r="AY355">
        <f t="shared" si="345"/>
        <v>0.32653277823704824</v>
      </c>
      <c r="AZ355" t="str">
        <f t="shared" si="320"/>
        <v>1+6.89327685497186i</v>
      </c>
      <c r="BA355">
        <f t="shared" si="346"/>
        <v>6.9654336404340782</v>
      </c>
      <c r="BB355">
        <f t="shared" si="347"/>
        <v>1.4267324374318977</v>
      </c>
      <c r="BC355" s="42" t="str">
        <f t="shared" si="348"/>
        <v>-0.527234723744833+0.268213135236171i</v>
      </c>
      <c r="BD355">
        <f t="shared" si="349"/>
        <v>-4.5603776287749413</v>
      </c>
      <c r="BE355" s="44">
        <f t="shared" si="350"/>
        <v>153.03679709359631</v>
      </c>
      <c r="BF355" s="42" t="str">
        <f t="shared" si="351"/>
        <v>0.321799028574335+0.338059371546673i</v>
      </c>
      <c r="BG355" s="20">
        <f t="shared" si="352"/>
        <v>-6.6186485678319409</v>
      </c>
      <c r="BH355" s="44">
        <f t="shared" si="353"/>
        <v>46.411606667646836</v>
      </c>
      <c r="BI355" s="42" t="str">
        <f t="shared" si="306"/>
        <v>1.02429117056029+2.39706333440355i</v>
      </c>
      <c r="BJ355" s="20">
        <f t="shared" si="354"/>
        <v>8.3219489570615295</v>
      </c>
      <c r="BK355" s="44">
        <f t="shared" si="307"/>
        <v>66.8624557083984</v>
      </c>
      <c r="BL355">
        <f t="shared" si="355"/>
        <v>-6.6186485678319409</v>
      </c>
      <c r="BM355" s="44">
        <f t="shared" si="356"/>
        <v>46.411606667646836</v>
      </c>
    </row>
    <row r="356" spans="14:65" x14ac:dyDescent="0.35">
      <c r="N356" s="9">
        <v>38</v>
      </c>
      <c r="O356" s="35">
        <f t="shared" si="308"/>
        <v>23988.329190194923</v>
      </c>
      <c r="P356" s="34" t="str">
        <f t="shared" si="309"/>
        <v>16.3709677419355</v>
      </c>
      <c r="Q356" s="4" t="str">
        <f t="shared" si="310"/>
        <v>1+22.1708843823544i</v>
      </c>
      <c r="R356" s="4">
        <f t="shared" si="321"/>
        <v>22.193425023995871</v>
      </c>
      <c r="S356" s="4">
        <f t="shared" si="322"/>
        <v>1.5257226761593199</v>
      </c>
      <c r="T356" s="4" t="str">
        <f t="shared" si="311"/>
        <v>1+0.0241156988018592i</v>
      </c>
      <c r="U356" s="4">
        <f t="shared" si="323"/>
        <v>1.0002907411991284</v>
      </c>
      <c r="V356" s="4">
        <f t="shared" si="324"/>
        <v>2.4111025468169404E-2</v>
      </c>
      <c r="W356" t="str">
        <f t="shared" si="312"/>
        <v>1-0.315595752177392i</v>
      </c>
      <c r="X356" s="4">
        <f t="shared" si="325"/>
        <v>1.0486184619738552</v>
      </c>
      <c r="Y356" s="4">
        <f t="shared" si="326"/>
        <v>-0.30570270678595579</v>
      </c>
      <c r="Z356" t="str">
        <f t="shared" si="313"/>
        <v>0.999502053055847+0.0621531311380621i</v>
      </c>
      <c r="AA356" s="4">
        <f t="shared" si="327"/>
        <v>1.0014326566340437</v>
      </c>
      <c r="AB356" s="4">
        <f t="shared" si="328"/>
        <v>6.2104128536157301E-2</v>
      </c>
      <c r="AC356" s="48" t="str">
        <f t="shared" si="329"/>
        <v>-0.227310784537015-0.738436302563378i</v>
      </c>
      <c r="AD356" s="20">
        <f t="shared" si="330"/>
        <v>-2.2405595726727636</v>
      </c>
      <c r="AE356" s="44">
        <f t="shared" si="331"/>
        <v>-107.10978939229616</v>
      </c>
      <c r="AF356" t="str">
        <f t="shared" si="332"/>
        <v>45.9520231294187</v>
      </c>
      <c r="AG356" t="str">
        <f t="shared" si="314"/>
        <v>1+10.6392788831731i</v>
      </c>
      <c r="AH356">
        <f t="shared" si="333"/>
        <v>10.68617121114635</v>
      </c>
      <c r="AI356">
        <f t="shared" si="334"/>
        <v>1.4770803210258556</v>
      </c>
      <c r="AJ356" t="str">
        <f t="shared" si="315"/>
        <v>1+0.0241156988018592i</v>
      </c>
      <c r="AK356">
        <f t="shared" si="335"/>
        <v>1.0002907411991284</v>
      </c>
      <c r="AL356">
        <f t="shared" si="336"/>
        <v>2.4111025468169404E-2</v>
      </c>
      <c r="AM356" t="str">
        <f t="shared" si="316"/>
        <v>1-0.0539547249123492i</v>
      </c>
      <c r="AN356">
        <f t="shared" si="337"/>
        <v>1.0014544983874041</v>
      </c>
      <c r="AO356">
        <f t="shared" si="338"/>
        <v>-5.3902460082792182E-2</v>
      </c>
      <c r="AP356" s="42" t="str">
        <f t="shared" si="339"/>
        <v>0.27517690541085-4.29884745686314i</v>
      </c>
      <c r="AQ356">
        <f t="shared" si="340"/>
        <v>12.684799587791538</v>
      </c>
      <c r="AR356" s="44">
        <f t="shared" si="341"/>
        <v>-86.33739186566811</v>
      </c>
      <c r="AS356" t="str">
        <f t="shared" si="317"/>
        <v>-0.000166666666666667</v>
      </c>
      <c r="AT356" t="str">
        <f t="shared" si="318"/>
        <v>0.00190212574299664i</v>
      </c>
      <c r="AU356">
        <f t="shared" si="342"/>
        <v>1.9021257429966401E-3</v>
      </c>
      <c r="AV356">
        <f t="shared" si="343"/>
        <v>1.5707963267948966</v>
      </c>
      <c r="AW356" t="str">
        <f t="shared" si="319"/>
        <v>1+0.346543738329411i</v>
      </c>
      <c r="AX356">
        <f t="shared" si="344"/>
        <v>1.0583442552285731</v>
      </c>
      <c r="AY356">
        <f t="shared" si="345"/>
        <v>0.3335924323380427</v>
      </c>
      <c r="AZ356" t="str">
        <f t="shared" si="320"/>
        <v>1+7.05384189954381i</v>
      </c>
      <c r="BA356">
        <f t="shared" si="346"/>
        <v>7.1243726421180291</v>
      </c>
      <c r="BB356">
        <f t="shared" si="347"/>
        <v>1.4299680534418016</v>
      </c>
      <c r="BC356" s="42" t="str">
        <f t="shared" si="348"/>
        <v>-0.524690529511909+0.269449484075212i</v>
      </c>
      <c r="BD356">
        <f t="shared" si="349"/>
        <v>-4.5854160628561864</v>
      </c>
      <c r="BE356" s="44">
        <f t="shared" si="350"/>
        <v>152.81769585027965</v>
      </c>
      <c r="BF356" s="42" t="str">
        <f t="shared" si="351"/>
        <v>0.318239096650603+0.326201760984565i</v>
      </c>
      <c r="BG356" s="20">
        <f t="shared" si="352"/>
        <v>-6.8259756355289491</v>
      </c>
      <c r="BH356" s="44">
        <f t="shared" si="353"/>
        <v>45.707906457983519</v>
      </c>
      <c r="BI356" s="42" t="str">
        <f t="shared" si="306"/>
        <v>1.01393951316034+2.32971082362481i</v>
      </c>
      <c r="BJ356" s="20">
        <f t="shared" si="354"/>
        <v>8.0993835249353445</v>
      </c>
      <c r="BK356" s="44">
        <f t="shared" si="307"/>
        <v>66.480303984611581</v>
      </c>
      <c r="BL356">
        <f t="shared" si="355"/>
        <v>-6.8259756355289491</v>
      </c>
      <c r="BM356" s="44">
        <f t="shared" si="356"/>
        <v>45.707906457983519</v>
      </c>
    </row>
    <row r="357" spans="14:65" x14ac:dyDescent="0.35">
      <c r="N357" s="9">
        <v>39</v>
      </c>
      <c r="O357" s="35">
        <f t="shared" si="308"/>
        <v>24547.089156850321</v>
      </c>
      <c r="P357" s="34" t="str">
        <f t="shared" si="309"/>
        <v>16.3709677419355</v>
      </c>
      <c r="Q357" s="4" t="str">
        <f t="shared" si="310"/>
        <v>1+22.68731062113i</v>
      </c>
      <c r="R357" s="4">
        <f t="shared" si="321"/>
        <v>22.709338678606166</v>
      </c>
      <c r="S357" s="4">
        <f t="shared" si="322"/>
        <v>1.5267473356296051</v>
      </c>
      <c r="T357" s="4" t="str">
        <f t="shared" si="311"/>
        <v>1+0.0246774255878958i</v>
      </c>
      <c r="U357" s="4">
        <f t="shared" si="323"/>
        <v>1.000304441324563</v>
      </c>
      <c r="V357" s="4">
        <f t="shared" si="324"/>
        <v>2.4672418102935759E-2</v>
      </c>
      <c r="W357" t="str">
        <f t="shared" si="312"/>
        <v>1-0.322946921596698i</v>
      </c>
      <c r="X357" s="4">
        <f t="shared" si="325"/>
        <v>1.0508542782749584</v>
      </c>
      <c r="Y357" s="4">
        <f t="shared" si="326"/>
        <v>-0.31237384067303198</v>
      </c>
      <c r="Z357" t="str">
        <f t="shared" si="313"/>
        <v>0.999478585539362+0.0636008635418855i</v>
      </c>
      <c r="AA357" s="4">
        <f t="shared" si="327"/>
        <v>1.001500131200709</v>
      </c>
      <c r="AB357" s="4">
        <f t="shared" si="328"/>
        <v>6.3548360399677928E-2</v>
      </c>
      <c r="AC357" s="48" t="str">
        <f t="shared" si="329"/>
        <v>-0.228803869421182-0.721224021697668i</v>
      </c>
      <c r="AD357" s="20">
        <f t="shared" si="330"/>
        <v>-2.4221290256748338</v>
      </c>
      <c r="AE357" s="44">
        <f t="shared" si="331"/>
        <v>-107.60130883347399</v>
      </c>
      <c r="AF357" t="str">
        <f t="shared" si="332"/>
        <v>45.9520231294187</v>
      </c>
      <c r="AG357" t="str">
        <f t="shared" si="314"/>
        <v>1+10.8870995240717i</v>
      </c>
      <c r="AH357">
        <f t="shared" si="333"/>
        <v>10.932928978413894</v>
      </c>
      <c r="AI357">
        <f t="shared" si="334"/>
        <v>1.4792015089524173</v>
      </c>
      <c r="AJ357" t="str">
        <f t="shared" si="315"/>
        <v>1+0.0246774255878958i</v>
      </c>
      <c r="AK357">
        <f t="shared" si="335"/>
        <v>1.000304441324563</v>
      </c>
      <c r="AL357">
        <f t="shared" si="336"/>
        <v>2.4672418102935759E-2</v>
      </c>
      <c r="AM357" t="str">
        <f t="shared" si="316"/>
        <v>1-0.0552114919032426i</v>
      </c>
      <c r="AN357">
        <f t="shared" si="337"/>
        <v>1.0015229946627195</v>
      </c>
      <c r="AO357">
        <f t="shared" si="338"/>
        <v>-5.5155493727877695E-2</v>
      </c>
      <c r="AP357" s="42" t="str">
        <f t="shared" si="339"/>
        <v>0.257167178952355-4.20290679313706i</v>
      </c>
      <c r="AQ357">
        <f t="shared" si="340"/>
        <v>12.48722464030865</v>
      </c>
      <c r="AR357" s="44">
        <f t="shared" si="341"/>
        <v>-86.498555092243649</v>
      </c>
      <c r="AS357" t="str">
        <f t="shared" si="317"/>
        <v>-0.000166666666666667</v>
      </c>
      <c r="AT357" t="str">
        <f t="shared" si="318"/>
        <v>0.00194643194324529i</v>
      </c>
      <c r="AU357">
        <f t="shared" si="342"/>
        <v>1.94643194324529E-3</v>
      </c>
      <c r="AV357">
        <f t="shared" si="343"/>
        <v>1.5707963267948966</v>
      </c>
      <c r="AW357" t="str">
        <f t="shared" si="319"/>
        <v>1+0.354615778951261i</v>
      </c>
      <c r="AX357">
        <f t="shared" si="344"/>
        <v>1.0610147740164648</v>
      </c>
      <c r="AY357">
        <f t="shared" si="345"/>
        <v>0.34078093919139346</v>
      </c>
      <c r="AZ357" t="str">
        <f t="shared" si="320"/>
        <v>1+7.21814698445952i</v>
      </c>
      <c r="BA357">
        <f t="shared" si="346"/>
        <v>7.2870876136672091</v>
      </c>
      <c r="BB357">
        <f t="shared" si="347"/>
        <v>1.4331328887184527</v>
      </c>
      <c r="BC357" s="42" t="str">
        <f t="shared" si="348"/>
        <v>-0.522052616105458+0.270754858096711i</v>
      </c>
      <c r="BD357">
        <f t="shared" si="349"/>
        <v>-4.6111582750689264</v>
      </c>
      <c r="BE357" s="44">
        <f t="shared" si="350"/>
        <v>152.58715645078792</v>
      </c>
      <c r="BF357" s="42" t="str">
        <f t="shared" si="351"/>
        <v>0.314722566257071+0.314567128128257i</v>
      </c>
      <c r="BG357" s="20">
        <f t="shared" si="352"/>
        <v>-7.0332873007437549</v>
      </c>
      <c r="BH357" s="44">
        <f t="shared" si="353"/>
        <v>44.985847617313944</v>
      </c>
      <c r="BI357" s="42" t="str">
        <f t="shared" si="306"/>
        <v>1.00370263382099+2.26376774964898i</v>
      </c>
      <c r="BJ357" s="20">
        <f t="shared" si="354"/>
        <v>7.8760663652397245</v>
      </c>
      <c r="BK357" s="44">
        <f t="shared" si="307"/>
        <v>66.088601358544267</v>
      </c>
      <c r="BL357">
        <f t="shared" si="355"/>
        <v>-7.0332873007437549</v>
      </c>
      <c r="BM357" s="44">
        <f t="shared" si="356"/>
        <v>44.985847617313944</v>
      </c>
    </row>
    <row r="358" spans="14:65" x14ac:dyDescent="0.35">
      <c r="N358" s="9">
        <v>40</v>
      </c>
      <c r="O358" s="35">
        <f t="shared" si="308"/>
        <v>25118.86431509586</v>
      </c>
      <c r="P358" s="34" t="str">
        <f t="shared" si="309"/>
        <v>16.3709677419355</v>
      </c>
      <c r="Q358" s="4" t="str">
        <f t="shared" si="310"/>
        <v>1+23.2157659722992i</v>
      </c>
      <c r="R358" s="4">
        <f t="shared" si="321"/>
        <v>23.237293079887024</v>
      </c>
      <c r="S358" s="4">
        <f t="shared" si="322"/>
        <v>1.5277487604465483</v>
      </c>
      <c r="T358" s="4" t="str">
        <f t="shared" si="311"/>
        <v>1+0.0252522366716237i</v>
      </c>
      <c r="U358" s="4">
        <f t="shared" si="323"/>
        <v>1.0003187869159109</v>
      </c>
      <c r="V358" s="4">
        <f t="shared" si="324"/>
        <v>2.5246871147166155E-2</v>
      </c>
      <c r="W358" t="str">
        <f t="shared" si="312"/>
        <v>1-0.330469321748544i</v>
      </c>
      <c r="X358" s="4">
        <f t="shared" si="325"/>
        <v>1.0531903781448739</v>
      </c>
      <c r="Y358" s="4">
        <f t="shared" si="326"/>
        <v>-0.31917073309731769</v>
      </c>
      <c r="Z358" t="str">
        <f t="shared" si="313"/>
        <v>0.9994540120329+0.0650823179654162i</v>
      </c>
      <c r="AA358" s="4">
        <f t="shared" si="327"/>
        <v>1.0015707814630037</v>
      </c>
      <c r="AB358" s="4">
        <f t="shared" si="328"/>
        <v>6.5026064425086863E-2</v>
      </c>
      <c r="AC358" s="48" t="str">
        <f t="shared" si="329"/>
        <v>-0.23022782737125-0.704388253696754i</v>
      </c>
      <c r="AD358" s="20">
        <f t="shared" si="330"/>
        <v>-2.602950423890646</v>
      </c>
      <c r="AE358" s="44">
        <f t="shared" si="331"/>
        <v>-108.09987196776304</v>
      </c>
      <c r="AF358" t="str">
        <f t="shared" si="332"/>
        <v>45.9520231294187</v>
      </c>
      <c r="AG358" t="str">
        <f t="shared" si="314"/>
        <v>1+11.1406926492457i</v>
      </c>
      <c r="AH358">
        <f t="shared" si="333"/>
        <v>11.185483123448767</v>
      </c>
      <c r="AI358">
        <f t="shared" si="334"/>
        <v>1.4812752117486152</v>
      </c>
      <c r="AJ358" t="str">
        <f t="shared" si="315"/>
        <v>1+0.0252522366716237i</v>
      </c>
      <c r="AK358">
        <f t="shared" si="335"/>
        <v>1.0003187869159109</v>
      </c>
      <c r="AL358">
        <f t="shared" si="336"/>
        <v>2.5246871147166155E-2</v>
      </c>
      <c r="AM358" t="str">
        <f t="shared" si="316"/>
        <v>1-0.056497532757954i</v>
      </c>
      <c r="AN358">
        <f t="shared" si="337"/>
        <v>1.0015947140474215</v>
      </c>
      <c r="AO358">
        <f t="shared" si="338"/>
        <v>-5.6437534790551372E-2</v>
      </c>
      <c r="AP358" s="42" t="str">
        <f t="shared" si="339"/>
        <v>0.239954761165446-4.10904681231198i</v>
      </c>
      <c r="AQ358">
        <f t="shared" si="340"/>
        <v>12.289606782778899</v>
      </c>
      <c r="AR358" s="44">
        <f t="shared" si="341"/>
        <v>-86.657911317521098</v>
      </c>
      <c r="AS358" t="str">
        <f t="shared" si="317"/>
        <v>-0.000166666666666667</v>
      </c>
      <c r="AT358" t="str">
        <f t="shared" si="318"/>
        <v>0.00199177016747432i</v>
      </c>
      <c r="AU358">
        <f t="shared" si="342"/>
        <v>1.9917701674743199E-3</v>
      </c>
      <c r="AV358">
        <f t="shared" si="343"/>
        <v>1.5707963267948966</v>
      </c>
      <c r="AW358" t="str">
        <f t="shared" si="319"/>
        <v>1+0.362875841553008i</v>
      </c>
      <c r="AX358">
        <f t="shared" si="344"/>
        <v>1.0638039652035538</v>
      </c>
      <c r="AY358">
        <f t="shared" si="345"/>
        <v>0.34809913759213956</v>
      </c>
      <c r="AZ358" t="str">
        <f t="shared" si="320"/>
        <v>1+7.38627922644992i</v>
      </c>
      <c r="BA358">
        <f t="shared" si="346"/>
        <v>7.4536649247927445</v>
      </c>
      <c r="BB358">
        <f t="shared" si="347"/>
        <v>1.4362283675698897</v>
      </c>
      <c r="BC358" s="42" t="str">
        <f t="shared" si="348"/>
        <v>-0.519318661879131+0.272125856360452i</v>
      </c>
      <c r="BD358">
        <f t="shared" si="349"/>
        <v>-4.6376442604017978</v>
      </c>
      <c r="BE358" s="44">
        <f t="shared" si="350"/>
        <v>152.34521244254515</v>
      </c>
      <c r="BF358" s="42" t="str">
        <f t="shared" si="351"/>
        <v>0.31124386398525+0.303151020671768i</v>
      </c>
      <c r="BG358" s="20">
        <f t="shared" si="352"/>
        <v>-7.2405946842924438</v>
      </c>
      <c r="BH358" s="44">
        <f t="shared" si="353"/>
        <v>44.245340474782033</v>
      </c>
      <c r="BI358" s="42" t="str">
        <f t="shared" si="306"/>
        <v>0.993564897145617+2.19920258703848i</v>
      </c>
      <c r="BJ358" s="20">
        <f t="shared" si="354"/>
        <v>7.6519625223770982</v>
      </c>
      <c r="BK358" s="44">
        <f t="shared" si="307"/>
        <v>65.687301125024035</v>
      </c>
      <c r="BL358">
        <f t="shared" si="355"/>
        <v>-7.2405946842924438</v>
      </c>
      <c r="BM358" s="44">
        <f t="shared" si="356"/>
        <v>44.245340474782033</v>
      </c>
    </row>
    <row r="359" spans="14:65" x14ac:dyDescent="0.35">
      <c r="N359" s="9">
        <v>41</v>
      </c>
      <c r="O359" s="35">
        <f t="shared" si="308"/>
        <v>25703.95782768865</v>
      </c>
      <c r="P359" s="34" t="str">
        <f t="shared" si="309"/>
        <v>16.3709677419355</v>
      </c>
      <c r="Q359" s="4" t="str">
        <f t="shared" si="310"/>
        <v>1+23.7565306298837i</v>
      </c>
      <c r="R359" s="4">
        <f t="shared" si="321"/>
        <v>23.777568159267304</v>
      </c>
      <c r="S359" s="4">
        <f t="shared" si="322"/>
        <v>1.5287274735400218</v>
      </c>
      <c r="T359" s="4" t="str">
        <f t="shared" si="311"/>
        <v>1+0.0258404368254875i</v>
      </c>
      <c r="U359" s="4">
        <f t="shared" si="323"/>
        <v>1.0003338083736508</v>
      </c>
      <c r="V359" s="4">
        <f t="shared" si="324"/>
        <v>2.583468766606014E-2</v>
      </c>
      <c r="W359" t="str">
        <f t="shared" si="312"/>
        <v>1-0.338166941109058i</v>
      </c>
      <c r="X359" s="4">
        <f t="shared" si="325"/>
        <v>1.0556310340545398</v>
      </c>
      <c r="Y359" s="4">
        <f t="shared" si="326"/>
        <v>-0.32609447498971278</v>
      </c>
      <c r="Z359" t="str">
        <f t="shared" si="313"/>
        <v>0.999428280412757+0.066598279895398i</v>
      </c>
      <c r="AA359" s="4">
        <f t="shared" si="327"/>
        <v>1.0016447566746538</v>
      </c>
      <c r="AB359" s="4">
        <f t="shared" si="328"/>
        <v>6.6538008290130457E-2</v>
      </c>
      <c r="AC359" s="48" t="str">
        <f t="shared" si="329"/>
        <v>-0.23158564480858-0.68792048008344i</v>
      </c>
      <c r="AD359" s="20">
        <f t="shared" si="330"/>
        <v>-2.7829941631302342</v>
      </c>
      <c r="AE359" s="44">
        <f t="shared" si="331"/>
        <v>-108.60559788291236</v>
      </c>
      <c r="AF359" t="str">
        <f t="shared" si="332"/>
        <v>45.9520231294187</v>
      </c>
      <c r="AG359" t="str">
        <f t="shared" si="314"/>
        <v>1+11.4001927171268i</v>
      </c>
      <c r="AH359">
        <f t="shared" si="333"/>
        <v>11.443967580678954</v>
      </c>
      <c r="AI359">
        <f t="shared" si="334"/>
        <v>1.4833024575402591</v>
      </c>
      <c r="AJ359" t="str">
        <f t="shared" si="315"/>
        <v>1+0.0258404368254875i</v>
      </c>
      <c r="AK359">
        <f t="shared" si="335"/>
        <v>1.0003338083736508</v>
      </c>
      <c r="AL359">
        <f t="shared" si="336"/>
        <v>2.583468766606014E-2</v>
      </c>
      <c r="AM359" t="str">
        <f t="shared" si="316"/>
        <v>1-0.0578135293523665i</v>
      </c>
      <c r="AN359">
        <f t="shared" si="337"/>
        <v>1.0016698079587789</v>
      </c>
      <c r="AO359">
        <f t="shared" si="338"/>
        <v>-5.774924615880566E-2</v>
      </c>
      <c r="AP359" s="42" t="str">
        <f t="shared" si="339"/>
        <v>0.223504920525536-4.01722745453141i</v>
      </c>
      <c r="AQ359">
        <f t="shared" si="340"/>
        <v>12.091950970532832</v>
      </c>
      <c r="AR359" s="44">
        <f t="shared" si="341"/>
        <v>-86.815540065097565</v>
      </c>
      <c r="AS359" t="str">
        <f t="shared" si="317"/>
        <v>-0.000166666666666667</v>
      </c>
      <c r="AT359" t="str">
        <f t="shared" si="318"/>
        <v>0.00203816445461033i</v>
      </c>
      <c r="AU359">
        <f t="shared" si="342"/>
        <v>2.0381644546103301E-3</v>
      </c>
      <c r="AV359">
        <f t="shared" si="343"/>
        <v>1.5707963267948966</v>
      </c>
      <c r="AW359" t="str">
        <f t="shared" si="319"/>
        <v>1+0.371328305729173i</v>
      </c>
      <c r="AX359">
        <f t="shared" si="344"/>
        <v>1.066716790266141</v>
      </c>
      <c r="AY359">
        <f t="shared" si="345"/>
        <v>0.35554777131565346</v>
      </c>
      <c r="AZ359" t="str">
        <f t="shared" si="320"/>
        <v>1+7.55832777145509i</v>
      </c>
      <c r="BA359">
        <f t="shared" si="346"/>
        <v>7.6241929868510852</v>
      </c>
      <c r="BB359">
        <f t="shared" si="347"/>
        <v>1.4392558938482654</v>
      </c>
      <c r="BC359" s="42" t="str">
        <f t="shared" si="348"/>
        <v>-0.516486384136111+0.273558937767161i</v>
      </c>
      <c r="BD359">
        <f t="shared" si="349"/>
        <v>-4.6649144766014929</v>
      </c>
      <c r="BE359" s="44">
        <f t="shared" si="350"/>
        <v>152.09190164516494</v>
      </c>
      <c r="BF359" s="42" t="str">
        <f t="shared" si="351"/>
        <v>0.307797628104915+0.291949238335515i</v>
      </c>
      <c r="BG359" s="20">
        <f t="shared" si="352"/>
        <v>-7.4479086397317227</v>
      </c>
      <c r="BH359" s="44">
        <f t="shared" si="353"/>
        <v>43.486303762252497</v>
      </c>
      <c r="BI359" s="42" t="str">
        <f t="shared" si="306"/>
        <v>0.983511226991826+2.13598505088794i</v>
      </c>
      <c r="BJ359" s="20">
        <f t="shared" si="354"/>
        <v>7.4270364939313351</v>
      </c>
      <c r="BK359" s="44">
        <f t="shared" si="307"/>
        <v>65.276361580067388</v>
      </c>
      <c r="BL359">
        <f t="shared" si="355"/>
        <v>-7.4479086397317227</v>
      </c>
      <c r="BM359" s="44">
        <f t="shared" si="356"/>
        <v>43.486303762252497</v>
      </c>
    </row>
    <row r="360" spans="14:65" x14ac:dyDescent="0.35">
      <c r="N360" s="9">
        <v>42</v>
      </c>
      <c r="O360" s="35">
        <f t="shared" si="308"/>
        <v>26302.679918953829</v>
      </c>
      <c r="P360" s="34" t="str">
        <f t="shared" si="309"/>
        <v>16.3709677419355</v>
      </c>
      <c r="Q360" s="4" t="str">
        <f t="shared" si="310"/>
        <v>1+24.309891314463i</v>
      </c>
      <c r="R360" s="4">
        <f t="shared" si="321"/>
        <v>24.33045038056229</v>
      </c>
      <c r="S360" s="4">
        <f t="shared" si="322"/>
        <v>1.5296839863324783</v>
      </c>
      <c r="T360" s="4" t="str">
        <f t="shared" si="311"/>
        <v>1+0.0264423379209949i</v>
      </c>
      <c r="U360" s="4">
        <f t="shared" si="323"/>
        <v>1.0003495375291218</v>
      </c>
      <c r="V360" s="4">
        <f t="shared" si="324"/>
        <v>2.6436177701928645E-2</v>
      </c>
      <c r="W360" t="str">
        <f t="shared" si="312"/>
        <v>1-0.346043861057917i</v>
      </c>
      <c r="X360" s="4">
        <f t="shared" si="325"/>
        <v>1.0581806810634331</v>
      </c>
      <c r="Y360" s="4">
        <f t="shared" si="326"/>
        <v>-0.33314608122733153</v>
      </c>
      <c r="Z360" t="str">
        <f t="shared" si="313"/>
        <v>0.999401336098718+0.068149553114913i</v>
      </c>
      <c r="AA360" s="4">
        <f t="shared" si="327"/>
        <v>1.0017222130838794</v>
      </c>
      <c r="AB360" s="4">
        <f t="shared" si="328"/>
        <v>6.8084976702580985E-2</v>
      </c>
      <c r="AC360" s="48" t="str">
        <f t="shared" si="329"/>
        <v>-0.232880171011242-0.67181235158369i</v>
      </c>
      <c r="AD360" s="20">
        <f t="shared" si="330"/>
        <v>-2.9622299125394851</v>
      </c>
      <c r="AE360" s="44">
        <f t="shared" si="331"/>
        <v>-109.11860122577312</v>
      </c>
      <c r="AF360" t="str">
        <f t="shared" si="332"/>
        <v>45.9520231294187</v>
      </c>
      <c r="AG360" t="str">
        <f t="shared" si="314"/>
        <v>1+11.6657373180859i</v>
      </c>
      <c r="AH360">
        <f t="shared" si="333"/>
        <v>11.708519427091627</v>
      </c>
      <c r="AI360">
        <f t="shared" si="334"/>
        <v>1.4852842545115916</v>
      </c>
      <c r="AJ360" t="str">
        <f t="shared" si="315"/>
        <v>1+0.0264423379209949i</v>
      </c>
      <c r="AK360">
        <f t="shared" si="335"/>
        <v>1.0003495375291218</v>
      </c>
      <c r="AL360">
        <f t="shared" si="336"/>
        <v>2.6436177701928645E-2</v>
      </c>
      <c r="AM360" t="str">
        <f t="shared" si="316"/>
        <v>1-0.0591601794452942i</v>
      </c>
      <c r="AN360">
        <f t="shared" si="337"/>
        <v>1.0017484349036936</v>
      </c>
      <c r="AO360">
        <f t="shared" si="338"/>
        <v>-5.909130525384846E-2</v>
      </c>
      <c r="AP360" s="42" t="str">
        <f t="shared" si="339"/>
        <v>0.207784388956318-3.92740911083266i</v>
      </c>
      <c r="AQ360">
        <f t="shared" si="340"/>
        <v>11.894262084544549</v>
      </c>
      <c r="AR360" s="44">
        <f t="shared" si="341"/>
        <v>-86.971520148935397</v>
      </c>
      <c r="AS360" t="str">
        <f t="shared" si="317"/>
        <v>-0.000166666666666667</v>
      </c>
      <c r="AT360" t="str">
        <f t="shared" si="318"/>
        <v>0.00208563940351847i</v>
      </c>
      <c r="AU360">
        <f t="shared" si="342"/>
        <v>2.0856394035184702E-3</v>
      </c>
      <c r="AV360">
        <f t="shared" si="343"/>
        <v>1.5707963267948966</v>
      </c>
      <c r="AW360" t="str">
        <f t="shared" si="319"/>
        <v>1+0.379977653088148i</v>
      </c>
      <c r="AX360">
        <f t="shared" si="344"/>
        <v>1.0697583918092799</v>
      </c>
      <c r="AY360">
        <f t="shared" si="345"/>
        <v>0.36312748261511035</v>
      </c>
      <c r="AZ360" t="str">
        <f t="shared" si="320"/>
        <v>1+7.73438384189099i</v>
      </c>
      <c r="BA360">
        <f t="shared" si="346"/>
        <v>7.7987623001156035</v>
      </c>
      <c r="BB360">
        <f t="shared" si="347"/>
        <v>1.4422168506703341</v>
      </c>
      <c r="BC360" s="42" t="str">
        <f t="shared" si="348"/>
        <v>-0.513553549037761+0.275050417115601i</v>
      </c>
      <c r="BD360">
        <f t="shared" si="349"/>
        <v>-4.6930098415111523</v>
      </c>
      <c r="BE360" s="44">
        <f t="shared" si="350"/>
        <v>151.82726650700343</v>
      </c>
      <c r="BF360" s="42" t="str">
        <f t="shared" si="351"/>
        <v>0.304378705849851+0.280957829268613i</v>
      </c>
      <c r="BG360" s="20">
        <f t="shared" si="352"/>
        <v>-7.6552397540506432</v>
      </c>
      <c r="BH360" s="44">
        <f t="shared" si="353"/>
        <v>42.708665281230253</v>
      </c>
      <c r="BI360" s="42" t="str">
        <f t="shared" si="306"/>
        <v>0.973527103734975+2.0740860702439i</v>
      </c>
      <c r="BJ360" s="20">
        <f t="shared" si="354"/>
        <v>7.2012522430334149</v>
      </c>
      <c r="BK360" s="44">
        <f t="shared" si="307"/>
        <v>64.855746358068131</v>
      </c>
      <c r="BL360">
        <f t="shared" si="355"/>
        <v>-7.6552397540506432</v>
      </c>
      <c r="BM360" s="44">
        <f t="shared" si="356"/>
        <v>42.708665281230253</v>
      </c>
    </row>
    <row r="361" spans="14:65" x14ac:dyDescent="0.35">
      <c r="N361" s="9">
        <v>43</v>
      </c>
      <c r="O361" s="35">
        <f t="shared" si="308"/>
        <v>26915.348039269167</v>
      </c>
      <c r="P361" s="34" t="str">
        <f t="shared" si="309"/>
        <v>16.3709677419355</v>
      </c>
      <c r="Q361" s="4" t="str">
        <f t="shared" si="310"/>
        <v>1+24.8761414251968i</v>
      </c>
      <c r="R361" s="4">
        <f t="shared" si="321"/>
        <v>24.896232891873264</v>
      </c>
      <c r="S361" s="4">
        <f t="shared" si="322"/>
        <v>1.5306187989746347</v>
      </c>
      <c r="T361" s="4" t="str">
        <f t="shared" si="311"/>
        <v>1+0.0270582590940738i</v>
      </c>
      <c r="U361" s="4">
        <f t="shared" si="323"/>
        <v>1.0003660077117784</v>
      </c>
      <c r="V361" s="4">
        <f t="shared" si="324"/>
        <v>2.7051658430847392E-2</v>
      </c>
      <c r="W361" t="str">
        <f t="shared" si="312"/>
        <v>1-0.354104258042343i</v>
      </c>
      <c r="X361" s="4">
        <f t="shared" si="325"/>
        <v>1.0608439213964127</v>
      </c>
      <c r="Y361" s="4">
        <f t="shared" si="326"/>
        <v>-0.34032648461401843</v>
      </c>
      <c r="Z361" t="str">
        <f t="shared" si="313"/>
        <v>0.99937312193828+0.0697369601295556i</v>
      </c>
      <c r="AA361" s="4">
        <f t="shared" si="327"/>
        <v>1.0018033142592289</v>
      </c>
      <c r="AB361" s="4">
        <f t="shared" si="328"/>
        <v>6.9667771736740422E-2</v>
      </c>
      <c r="AC361" s="48" t="str">
        <f t="shared" si="329"/>
        <v>-0.234114123898271-0.656055685494162i</v>
      </c>
      <c r="AD361" s="20">
        <f t="shared" si="330"/>
        <v>-3.1406266207564744</v>
      </c>
      <c r="AE361" s="44">
        <f t="shared" si="331"/>
        <v>-109.63899188121579</v>
      </c>
      <c r="AF361" t="str">
        <f t="shared" si="332"/>
        <v>45.9520231294187</v>
      </c>
      <c r="AG361" t="str">
        <f t="shared" si="314"/>
        <v>1+11.9374672473855i</v>
      </c>
      <c r="AH361">
        <f t="shared" si="333"/>
        <v>11.979278955029036</v>
      </c>
      <c r="AI361">
        <f t="shared" si="334"/>
        <v>1.4872215911346847</v>
      </c>
      <c r="AJ361" t="str">
        <f t="shared" si="315"/>
        <v>1+0.0270582590940738i</v>
      </c>
      <c r="AK361">
        <f t="shared" si="335"/>
        <v>1.0003660077117784</v>
      </c>
      <c r="AL361">
        <f t="shared" si="336"/>
        <v>2.7051658430847392E-2</v>
      </c>
      <c r="AM361" t="str">
        <f t="shared" si="316"/>
        <v>1-0.0605381970484416i</v>
      </c>
      <c r="AN361">
        <f t="shared" si="337"/>
        <v>1.0018307608083692</v>
      </c>
      <c r="AO361">
        <f t="shared" si="338"/>
        <v>-6.0464404304537284E-2</v>
      </c>
      <c r="AP361" s="42" t="str">
        <f t="shared" si="339"/>
        <v>0.192761304516081-3.83955264247463i</v>
      </c>
      <c r="AQ361">
        <f t="shared" si="340"/>
        <v>11.696544941027497</v>
      </c>
      <c r="AR361" s="44">
        <f t="shared" si="341"/>
        <v>-87.125929693253951</v>
      </c>
      <c r="AS361" t="str">
        <f t="shared" si="317"/>
        <v>-0.000166666666666667</v>
      </c>
      <c r="AT361" t="str">
        <f t="shared" si="318"/>
        <v>0.00213422018604507i</v>
      </c>
      <c r="AU361">
        <f t="shared" si="342"/>
        <v>2.13422018604507E-3</v>
      </c>
      <c r="AV361">
        <f t="shared" si="343"/>
        <v>1.5707963267948966</v>
      </c>
      <c r="AW361" t="str">
        <f t="shared" si="319"/>
        <v>1+0.38882846962839i</v>
      </c>
      <c r="AX361">
        <f t="shared" si="344"/>
        <v>1.0729340980663984</v>
      </c>
      <c r="AY361">
        <f t="shared" si="345"/>
        <v>0.37083880559569371</v>
      </c>
      <c r="AZ361" t="str">
        <f t="shared" si="320"/>
        <v>1+7.91454078501656i</v>
      </c>
      <c r="BA361">
        <f t="shared" si="346"/>
        <v>7.9774655021310208</v>
      </c>
      <c r="BB361">
        <f t="shared" si="347"/>
        <v>1.4451126001884456</v>
      </c>
      <c r="BC361" s="42" t="str">
        <f t="shared" si="348"/>
        <v>-0.510517982113659+0.276596461682419i</v>
      </c>
      <c r="BD361">
        <f t="shared" si="349"/>
        <v>-4.7219717265634022</v>
      </c>
      <c r="BE361" s="44">
        <f t="shared" si="350"/>
        <v>151.55135447166856</v>
      </c>
      <c r="BF361" s="42" t="str">
        <f t="shared" si="351"/>
        <v>0.300982151391172+0.270173086412532i</v>
      </c>
      <c r="BG361" s="20">
        <f t="shared" si="352"/>
        <v>-7.862598347319862</v>
      </c>
      <c r="BH361" s="44">
        <f t="shared" si="353"/>
        <v>41.912362590452766</v>
      </c>
      <c r="BI361" s="42" t="str">
        <f t="shared" si="306"/>
        <v>0.963598563140718+2.01347776203375i</v>
      </c>
      <c r="BJ361" s="20">
        <f t="shared" si="354"/>
        <v>6.9745732144640922</v>
      </c>
      <c r="BK361" s="44">
        <f t="shared" si="307"/>
        <v>64.425424778414623</v>
      </c>
      <c r="BL361">
        <f t="shared" si="355"/>
        <v>-7.862598347319862</v>
      </c>
      <c r="BM361" s="44">
        <f t="shared" si="356"/>
        <v>41.912362590452766</v>
      </c>
    </row>
    <row r="362" spans="14:65" x14ac:dyDescent="0.35">
      <c r="N362" s="9">
        <v>44</v>
      </c>
      <c r="O362" s="35">
        <f t="shared" si="308"/>
        <v>27542.287033381719</v>
      </c>
      <c r="P362" s="34" t="str">
        <f t="shared" si="309"/>
        <v>16.3709677419355</v>
      </c>
      <c r="Q362" s="4" t="str">
        <f t="shared" si="310"/>
        <v>1+25.4555811953889i</v>
      </c>
      <c r="R362" s="4">
        <f t="shared" si="321"/>
        <v>25.475215681030786</v>
      </c>
      <c r="S362" s="4">
        <f t="shared" si="322"/>
        <v>1.5315324005775293</v>
      </c>
      <c r="T362" s="4" t="str">
        <f t="shared" si="311"/>
        <v>1+0.0276885269142827i</v>
      </c>
      <c r="U362" s="4">
        <f t="shared" si="323"/>
        <v>1.0003832538195965</v>
      </c>
      <c r="V362" s="4">
        <f t="shared" si="324"/>
        <v>2.768145432254334E-2</v>
      </c>
      <c r="W362" t="str">
        <f t="shared" si="312"/>
        <v>1-0.362352405791506i</v>
      </c>
      <c r="X362" s="4">
        <f t="shared" si="325"/>
        <v>1.0636255290199141</v>
      </c>
      <c r="Y362" s="4">
        <f t="shared" si="326"/>
        <v>-0.34763652968821246</v>
      </c>
      <c r="Z362" t="str">
        <f t="shared" si="313"/>
        <v>0.999343578085426+0.0713613426035367i</v>
      </c>
      <c r="AA362" s="4">
        <f t="shared" si="327"/>
        <v>1.0018882314304132</v>
      </c>
      <c r="AB362" s="4">
        <f t="shared" si="328"/>
        <v>7.128721317356923E-2</v>
      </c>
      <c r="AC362" s="48" t="str">
        <f t="shared" si="329"/>
        <v>-0.235290095559498-0.640642463025895i</v>
      </c>
      <c r="AD362" s="20">
        <f t="shared" si="330"/>
        <v>-3.3181525250758965</v>
      </c>
      <c r="AE362" s="44">
        <f t="shared" si="331"/>
        <v>-110.16687464096974</v>
      </c>
      <c r="AF362" t="str">
        <f t="shared" si="332"/>
        <v>45.9520231294187</v>
      </c>
      <c r="AG362" t="str">
        <f t="shared" si="314"/>
        <v>1+12.2155265798306i</v>
      </c>
      <c r="AH362">
        <f t="shared" si="333"/>
        <v>12.256389746681029</v>
      </c>
      <c r="AI362">
        <f t="shared" si="334"/>
        <v>1.4891154364079024</v>
      </c>
      <c r="AJ362" t="str">
        <f t="shared" si="315"/>
        <v>1+0.0276885269142827i</v>
      </c>
      <c r="AK362">
        <f t="shared" si="335"/>
        <v>1.0003832538195965</v>
      </c>
      <c r="AL362">
        <f t="shared" si="336"/>
        <v>2.768145432254334E-2</v>
      </c>
      <c r="AM362" t="str">
        <f t="shared" si="316"/>
        <v>1-0.0619483128049819i</v>
      </c>
      <c r="AN362">
        <f t="shared" si="337"/>
        <v>1.0019169593630921</v>
      </c>
      <c r="AO362">
        <f t="shared" si="338"/>
        <v>-6.1869250623722116E-2</v>
      </c>
      <c r="AP362" s="42" t="str">
        <f t="shared" si="339"/>
        <v>0.178405155939309-3.75361939801379i</v>
      </c>
      <c r="AQ362">
        <f t="shared" si="340"/>
        <v>11.498804300937117</v>
      </c>
      <c r="AR362" s="44">
        <f t="shared" si="341"/>
        <v>-87.278846152865029</v>
      </c>
      <c r="AS362" t="str">
        <f t="shared" si="317"/>
        <v>-0.000166666666666667</v>
      </c>
      <c r="AT362" t="str">
        <f t="shared" si="318"/>
        <v>0.00218393256036405i</v>
      </c>
      <c r="AU362">
        <f t="shared" si="342"/>
        <v>2.1839325603640498E-3</v>
      </c>
      <c r="AV362">
        <f t="shared" si="343"/>
        <v>1.5707963267948966</v>
      </c>
      <c r="AW362" t="str">
        <f t="shared" si="319"/>
        <v>1+0.397885448169982i</v>
      </c>
      <c r="AX362">
        <f t="shared" si="344"/>
        <v>1.0762494273473169</v>
      </c>
      <c r="AY362">
        <f t="shared" si="345"/>
        <v>0.37868215948691308</v>
      </c>
      <c r="AZ362" t="str">
        <f t="shared" si="320"/>
        <v>1+8.09889412242768i</v>
      </c>
      <c r="BA362">
        <f t="shared" si="346"/>
        <v>8.1603974171785048</v>
      </c>
      <c r="BB362">
        <f t="shared" si="347"/>
        <v>1.447944483408536</v>
      </c>
      <c r="BC362" s="42" t="str">
        <f t="shared" si="348"/>
        <v>-0.507377579361074+0.278193088393374i</v>
      </c>
      <c r="BD362">
        <f t="shared" si="349"/>
        <v>-4.7518419462268522</v>
      </c>
      <c r="BE362" s="44">
        <f t="shared" si="350"/>
        <v>151.26421835305922</v>
      </c>
      <c r="BF362" s="42" t="str">
        <f t="shared" si="351"/>
        <v>0.297603224477726+0.259591543773926i</v>
      </c>
      <c r="BG362" s="20">
        <f t="shared" si="352"/>
        <v>-8.0699944713027421</v>
      </c>
      <c r="BH362" s="44">
        <f t="shared" si="353"/>
        <v>41.097343712089426</v>
      </c>
      <c r="BI362" s="42" t="str">
        <f t="shared" si="306"/>
        <v>0.953712196820712+1.95413340532307i</v>
      </c>
      <c r="BJ362" s="20">
        <f t="shared" si="354"/>
        <v>6.7469623547102797</v>
      </c>
      <c r="BK362" s="44">
        <f t="shared" si="307"/>
        <v>63.985372200194234</v>
      </c>
      <c r="BL362">
        <f t="shared" si="355"/>
        <v>-8.0699944713027421</v>
      </c>
      <c r="BM362" s="44">
        <f t="shared" si="356"/>
        <v>41.097343712089426</v>
      </c>
    </row>
    <row r="363" spans="14:65" x14ac:dyDescent="0.35">
      <c r="N363" s="9">
        <v>45</v>
      </c>
      <c r="O363" s="35">
        <f t="shared" si="308"/>
        <v>28183.829312644593</v>
      </c>
      <c r="P363" s="34" t="str">
        <f t="shared" si="309"/>
        <v>16.3709677419355</v>
      </c>
      <c r="Q363" s="4" t="str">
        <f t="shared" si="310"/>
        <v>1+26.0485178516752i</v>
      </c>
      <c r="R363" s="4">
        <f t="shared" si="321"/>
        <v>26.067705734664134</v>
      </c>
      <c r="S363" s="4">
        <f t="shared" si="322"/>
        <v>1.5324252694409135</v>
      </c>
      <c r="T363" s="4" t="str">
        <f t="shared" si="311"/>
        <v>1+0.0283334755579626i</v>
      </c>
      <c r="U363" s="4">
        <f t="shared" si="323"/>
        <v>1.0004013123927786</v>
      </c>
      <c r="V363" s="4">
        <f t="shared" si="324"/>
        <v>2.8325897303558223E-2</v>
      </c>
      <c r="W363" t="str">
        <f t="shared" si="312"/>
        <v>1-0.37079267758252i</v>
      </c>
      <c r="X363" s="4">
        <f t="shared" si="325"/>
        <v>1.0665304542059804</v>
      </c>
      <c r="Y363" s="4">
        <f t="shared" si="326"/>
        <v>-0.35507696637179742</v>
      </c>
      <c r="Z363" t="str">
        <f t="shared" si="313"/>
        <v>0.999312641873684+0.0730235618059452i</v>
      </c>
      <c r="AA363" s="4">
        <f t="shared" si="327"/>
        <v>1.0019771438448029</v>
      </c>
      <c r="AB363" s="4">
        <f t="shared" si="328"/>
        <v>7.2944138844230011E-2</v>
      </c>
      <c r="AC363" s="48" t="str">
        <f t="shared" si="329"/>
        <v>-0.236410557540723-0.625564826630364i</v>
      </c>
      <c r="AD363" s="20">
        <f t="shared" si="330"/>
        <v>-3.4947751638294022</v>
      </c>
      <c r="AE363" s="44">
        <f t="shared" si="331"/>
        <v>-110.70234886315085</v>
      </c>
      <c r="AF363" t="str">
        <f t="shared" si="332"/>
        <v>45.9520231294187</v>
      </c>
      <c r="AG363" t="str">
        <f t="shared" si="314"/>
        <v>1+12.5000627461599i</v>
      </c>
      <c r="AH363">
        <f t="shared" si="333"/>
        <v>12.539998750316309</v>
      </c>
      <c r="AI363">
        <f t="shared" si="334"/>
        <v>1.4909667401023536</v>
      </c>
      <c r="AJ363" t="str">
        <f t="shared" si="315"/>
        <v>1+0.0283334755579626i</v>
      </c>
      <c r="AK363">
        <f t="shared" si="335"/>
        <v>1.0004013123927786</v>
      </c>
      <c r="AL363">
        <f t="shared" si="336"/>
        <v>2.8325897303558223E-2</v>
      </c>
      <c r="AM363" t="str">
        <f t="shared" si="316"/>
        <v>1-0.063391274376954i</v>
      </c>
      <c r="AN363">
        <f t="shared" si="337"/>
        <v>1.0020072123827923</v>
      </c>
      <c r="AO363">
        <f t="shared" si="338"/>
        <v>-6.330656688623168E-2</v>
      </c>
      <c r="AP363" s="42" t="str">
        <f t="shared" si="339"/>
        <v>0.16468672901017-3.66957122828376i</v>
      </c>
      <c r="AQ363">
        <f t="shared" si="340"/>
        <v>11.301044879393574</v>
      </c>
      <c r="AR363" s="44">
        <f t="shared" si="341"/>
        <v>-87.430346333872421</v>
      </c>
      <c r="AS363" t="str">
        <f t="shared" si="317"/>
        <v>-0.000166666666666667</v>
      </c>
      <c r="AT363" t="str">
        <f t="shared" si="318"/>
        <v>0.0022348028846343i</v>
      </c>
      <c r="AU363">
        <f t="shared" si="342"/>
        <v>2.2348028846343E-3</v>
      </c>
      <c r="AV363">
        <f t="shared" si="343"/>
        <v>1.5707963267948966</v>
      </c>
      <c r="AW363" t="str">
        <f t="shared" si="319"/>
        <v>1+0.40715339084283i</v>
      </c>
      <c r="AX363">
        <f t="shared" si="344"/>
        <v>1.07971009242056</v>
      </c>
      <c r="AY363">
        <f t="shared" si="345"/>
        <v>0.38665784183709823</v>
      </c>
      <c r="AZ363" t="str">
        <f t="shared" si="320"/>
        <v>1+8.28754160070404i</v>
      </c>
      <c r="BA363">
        <f t="shared" si="346"/>
        <v>8.3476551068788218</v>
      </c>
      <c r="BB363">
        <f t="shared" si="347"/>
        <v>1.4507138200517689</v>
      </c>
      <c r="BC363" s="42" t="str">
        <f t="shared" si="348"/>
        <v>-0.504130318915201+0.279836161656932i</v>
      </c>
      <c r="BD363">
        <f t="shared" si="349"/>
        <v>-4.7826627432122839</v>
      </c>
      <c r="BE363" s="44">
        <f t="shared" si="350"/>
        <v>150.96591671736488</v>
      </c>
      <c r="BF363" s="42" t="str">
        <f t="shared" si="351"/>
        <v>0.29423738971975+0.249209972553927i</v>
      </c>
      <c r="BG363" s="20">
        <f t="shared" si="352"/>
        <v>-8.277437907041687</v>
      </c>
      <c r="BH363" s="44">
        <f t="shared" si="353"/>
        <v>40.263567854214095</v>
      </c>
      <c r="BI363" s="42" t="str">
        <f t="shared" si="306"/>
        <v>0.943855154232642+1.89602741571878i</v>
      </c>
      <c r="BJ363" s="20">
        <f t="shared" si="354"/>
        <v>6.5183821361812919</v>
      </c>
      <c r="BK363" s="44">
        <f t="shared" si="307"/>
        <v>63.535570383492477</v>
      </c>
      <c r="BL363">
        <f t="shared" si="355"/>
        <v>-8.277437907041687</v>
      </c>
      <c r="BM363" s="44">
        <f t="shared" si="356"/>
        <v>40.263567854214095</v>
      </c>
    </row>
    <row r="364" spans="14:65" x14ac:dyDescent="0.35">
      <c r="N364" s="9">
        <v>46</v>
      </c>
      <c r="O364" s="35">
        <f t="shared" si="308"/>
        <v>28840.315031266062</v>
      </c>
      <c r="P364" s="34" t="str">
        <f t="shared" si="309"/>
        <v>16.3709677419355</v>
      </c>
      <c r="Q364" s="4" t="str">
        <f t="shared" si="310"/>
        <v>1+26.6552657769193i</v>
      </c>
      <c r="R364" s="4">
        <f t="shared" si="321"/>
        <v>26.674017200980533</v>
      </c>
      <c r="S364" s="4">
        <f t="shared" si="322"/>
        <v>1.5332978732779625</v>
      </c>
      <c r="T364" s="4" t="str">
        <f t="shared" si="311"/>
        <v>1+0.028993446985421i</v>
      </c>
      <c r="U364" s="4">
        <f t="shared" si="323"/>
        <v>1.0004202216909135</v>
      </c>
      <c r="V364" s="4">
        <f t="shared" si="324"/>
        <v>2.8985326923732676E-2</v>
      </c>
      <c r="W364" t="str">
        <f t="shared" si="312"/>
        <v>1-0.379429548559208i</v>
      </c>
      <c r="X364" s="4">
        <f t="shared" si="325"/>
        <v>1.0695638280719129</v>
      </c>
      <c r="Y364" s="4">
        <f t="shared" si="326"/>
        <v>-0.36264844347592828</v>
      </c>
      <c r="Z364" t="str">
        <f t="shared" si="313"/>
        <v>0.999280247683199+0.0747244990674038i</v>
      </c>
      <c r="AA364" s="4">
        <f t="shared" si="327"/>
        <v>1.002070239140286</v>
      </c>
      <c r="AB364" s="4">
        <f t="shared" si="328"/>
        <v>7.4639404976815565E-2</v>
      </c>
      <c r="AC364" s="48" t="str">
        <f t="shared" si="329"/>
        <v>-0.237477865893651-0.610815077313795i</v>
      </c>
      <c r="AD364" s="20">
        <f t="shared" si="330"/>
        <v>-3.6704613921888511</v>
      </c>
      <c r="AE364" s="44">
        <f t="shared" si="331"/>
        <v>-111.24550812337392</v>
      </c>
      <c r="AF364" t="str">
        <f t="shared" si="332"/>
        <v>45.9520231294187</v>
      </c>
      <c r="AG364" t="str">
        <f t="shared" si="314"/>
        <v>1+12.7912266112151i</v>
      </c>
      <c r="AH364">
        <f t="shared" si="333"/>
        <v>12.830256358290637</v>
      </c>
      <c r="AI364">
        <f t="shared" si="334"/>
        <v>1.4927764330153104</v>
      </c>
      <c r="AJ364" t="str">
        <f t="shared" si="315"/>
        <v>1+0.028993446985421i</v>
      </c>
      <c r="AK364">
        <f t="shared" si="335"/>
        <v>1.0004202216909135</v>
      </c>
      <c r="AL364">
        <f t="shared" si="336"/>
        <v>2.8985326923732676E-2</v>
      </c>
      <c r="AM364" t="str">
        <f t="shared" si="316"/>
        <v>1-0.0648678468416832i</v>
      </c>
      <c r="AN364">
        <f t="shared" si="337"/>
        <v>1.002101710184089</v>
      </c>
      <c r="AO364">
        <f t="shared" si="338"/>
        <v>-6.4777091408211224E-2</v>
      </c>
      <c r="AP364" s="42" t="str">
        <f t="shared" si="339"/>
        <v>0.151578054740839-3.58737049942622i</v>
      </c>
      <c r="AQ364">
        <f t="shared" si="340"/>
        <v>11.103271355040432</v>
      </c>
      <c r="AR364" s="44">
        <f t="shared" si="341"/>
        <v>-87.580506414657592</v>
      </c>
      <c r="AS364" t="str">
        <f t="shared" si="317"/>
        <v>-0.000166666666666667</v>
      </c>
      <c r="AT364" t="str">
        <f t="shared" si="318"/>
        <v>0.00228685813097508i</v>
      </c>
      <c r="AU364">
        <f t="shared" si="342"/>
        <v>2.2868581309750799E-3</v>
      </c>
      <c r="AV364">
        <f t="shared" si="343"/>
        <v>1.5707963267948966</v>
      </c>
      <c r="AW364" t="str">
        <f t="shared" si="319"/>
        <v>1+0.416637211632813i</v>
      </c>
      <c r="AX364">
        <f t="shared" si="344"/>
        <v>1.0833220048153576</v>
      </c>
      <c r="AY364">
        <f t="shared" si="345"/>
        <v>0.39476602165698127</v>
      </c>
      <c r="AZ364" t="str">
        <f t="shared" si="320"/>
        <v>1+8.48058324323562i</v>
      </c>
      <c r="BA364">
        <f t="shared" si="346"/>
        <v>8.539337921961442</v>
      </c>
      <c r="BB364">
        <f t="shared" si="347"/>
        <v>1.45342190845666</v>
      </c>
      <c r="BC364" s="42" t="str">
        <f t="shared" si="348"/>
        <v>-0.500774273264238+0.281521391933171i</v>
      </c>
      <c r="BD364">
        <f t="shared" si="349"/>
        <v>-4.8144767692517192</v>
      </c>
      <c r="BE364" s="44">
        <f t="shared" si="350"/>
        <v>150.65651427030102</v>
      </c>
      <c r="BF364" s="42" t="str">
        <f t="shared" si="351"/>
        <v>0.290880316488382+0.239025377080955i</v>
      </c>
      <c r="BG364" s="20">
        <f t="shared" si="352"/>
        <v>-8.4849381614405832</v>
      </c>
      <c r="BH364" s="44">
        <f t="shared" si="353"/>
        <v>39.411006146927065</v>
      </c>
      <c r="BI364" s="42" t="str">
        <f t="shared" si="306"/>
        <v>0.934015146172814+1.8391353197369i</v>
      </c>
      <c r="BJ364" s="20">
        <f t="shared" si="354"/>
        <v>6.2887945857887315</v>
      </c>
      <c r="BK364" s="44">
        <f t="shared" si="307"/>
        <v>63.076007855643503</v>
      </c>
      <c r="BL364">
        <f t="shared" si="355"/>
        <v>-8.4849381614405832</v>
      </c>
      <c r="BM364" s="44">
        <f t="shared" si="356"/>
        <v>39.411006146927065</v>
      </c>
    </row>
    <row r="365" spans="14:65" x14ac:dyDescent="0.35">
      <c r="N365" s="9">
        <v>47</v>
      </c>
      <c r="O365" s="35">
        <f t="shared" si="308"/>
        <v>29512.092266663854</v>
      </c>
      <c r="P365" s="34" t="str">
        <f t="shared" si="309"/>
        <v>16.3709677419355</v>
      </c>
      <c r="Q365" s="4" t="str">
        <f t="shared" si="310"/>
        <v>1+27.2761466769026i</v>
      </c>
      <c r="R365" s="4">
        <f t="shared" si="321"/>
        <v>27.294471556340937</v>
      </c>
      <c r="S365" s="4">
        <f t="shared" si="322"/>
        <v>1.5341506694362821</v>
      </c>
      <c r="T365" s="4" t="str">
        <f t="shared" si="311"/>
        <v>1+0.029668791122245i</v>
      </c>
      <c r="U365" s="4">
        <f t="shared" si="323"/>
        <v>1.000440021773747</v>
      </c>
      <c r="V365" s="4">
        <f t="shared" si="324"/>
        <v>2.9660090526057312E-2</v>
      </c>
      <c r="W365" t="str">
        <f t="shared" si="312"/>
        <v>1-0.388267598104889i</v>
      </c>
      <c r="X365" s="4">
        <f t="shared" si="325"/>
        <v>1.072730967082679</v>
      </c>
      <c r="Y365" s="4">
        <f t="shared" si="326"/>
        <v>-0.37035150208238121</v>
      </c>
      <c r="Z365" t="str">
        <f t="shared" si="313"/>
        <v>0.999246326801552+0.0764650562473644i</v>
      </c>
      <c r="AA365" s="4">
        <f t="shared" si="327"/>
        <v>1.0021677137352343</v>
      </c>
      <c r="AB365" s="4">
        <f t="shared" si="328"/>
        <v>7.6373886546006423E-2</v>
      </c>
      <c r="AC365" s="48" t="str">
        <f t="shared" si="329"/>
        <v>-0.238494265999721-0.596385671945004i</v>
      </c>
      <c r="AD365" s="20">
        <f t="shared" si="330"/>
        <v>-3.845177401600917</v>
      </c>
      <c r="AE365" s="44">
        <f t="shared" si="331"/>
        <v>-111.79643985849788</v>
      </c>
      <c r="AF365" t="str">
        <f t="shared" si="332"/>
        <v>45.9520231294187</v>
      </c>
      <c r="AG365" t="str">
        <f t="shared" si="314"/>
        <v>1+13.0891725539316i</v>
      </c>
      <c r="AH365">
        <f t="shared" si="333"/>
        <v>13.127316486875614</v>
      </c>
      <c r="AI365">
        <f t="shared" si="334"/>
        <v>1.4945454272296608</v>
      </c>
      <c r="AJ365" t="str">
        <f t="shared" si="315"/>
        <v>1+0.029668791122245i</v>
      </c>
      <c r="AK365">
        <f t="shared" si="335"/>
        <v>1.000440021773747</v>
      </c>
      <c r="AL365">
        <f t="shared" si="336"/>
        <v>2.9660090526057312E-2</v>
      </c>
      <c r="AM365" t="str">
        <f t="shared" si="316"/>
        <v>1-0.066378813097436i</v>
      </c>
      <c r="AN365">
        <f t="shared" si="337"/>
        <v>1.0022006519795446</v>
      </c>
      <c r="AO365">
        <f t="shared" si="338"/>
        <v>-6.6281578427491938E-2</v>
      </c>
      <c r="AP365" s="42" t="str">
        <f t="shared" si="339"/>
        <v>0.139052359324219-3.50698010411146i</v>
      </c>
      <c r="AQ365">
        <f t="shared" si="340"/>
        <v>10.905488379353178</v>
      </c>
      <c r="AR365" s="44">
        <f t="shared" si="341"/>
        <v>-87.729401967077692</v>
      </c>
      <c r="AS365" t="str">
        <f t="shared" si="317"/>
        <v>-0.000166666666666667</v>
      </c>
      <c r="AT365" t="str">
        <f t="shared" si="318"/>
        <v>0.00234012589976707i</v>
      </c>
      <c r="AU365">
        <f t="shared" si="342"/>
        <v>2.3401258997670701E-3</v>
      </c>
      <c r="AV365">
        <f t="shared" si="343"/>
        <v>1.5707963267948966</v>
      </c>
      <c r="AW365" t="str">
        <f t="shared" si="319"/>
        <v>1+0.426341938987253i</v>
      </c>
      <c r="AX365">
        <f t="shared" si="344"/>
        <v>1.0870912790283116</v>
      </c>
      <c r="AY365">
        <f t="shared" si="345"/>
        <v>0.40300673254218838</v>
      </c>
      <c r="AZ365" t="str">
        <f t="shared" si="320"/>
        <v>1+8.67812140325664i</v>
      </c>
      <c r="BA365">
        <f t="shared" si="346"/>
        <v>8.7355475552286368</v>
      </c>
      <c r="BB365">
        <f t="shared" si="347"/>
        <v>1.4560700255186907</v>
      </c>
      <c r="BC365" s="42" t="str">
        <f t="shared" si="348"/>
        <v>-0.497307621975403+0.283244335112129i</v>
      </c>
      <c r="BD365">
        <f t="shared" si="349"/>
        <v>-4.8473270612761468</v>
      </c>
      <c r="BE365" s="44">
        <f t="shared" si="350"/>
        <v>150.33608224770211</v>
      </c>
      <c r="BF365" s="42" t="str">
        <f t="shared" si="351"/>
        <v>0.287527879399553+0.229034990494027i</v>
      </c>
      <c r="BG365" s="20">
        <f t="shared" si="352"/>
        <v>-8.6925044628770642</v>
      </c>
      <c r="BH365" s="44">
        <f t="shared" si="353"/>
        <v>38.539642389204325</v>
      </c>
      <c r="BI365" s="42" t="str">
        <f t="shared" si="306"/>
        <v>0.924180449694919+1.78343372895328i</v>
      </c>
      <c r="BJ365" s="20">
        <f t="shared" si="354"/>
        <v>6.05816131807702</v>
      </c>
      <c r="BK365" s="44">
        <f t="shared" si="307"/>
        <v>62.606680280624374</v>
      </c>
      <c r="BL365">
        <f t="shared" si="355"/>
        <v>-8.6925044628770642</v>
      </c>
      <c r="BM365" s="44">
        <f t="shared" si="356"/>
        <v>38.539642389204325</v>
      </c>
    </row>
    <row r="366" spans="14:65" x14ac:dyDescent="0.35">
      <c r="N366" s="9">
        <v>48</v>
      </c>
      <c r="O366" s="35">
        <f t="shared" si="308"/>
        <v>30199.517204020212</v>
      </c>
      <c r="P366" s="34" t="str">
        <f t="shared" si="309"/>
        <v>16.3709677419355</v>
      </c>
      <c r="Q366" s="4" t="str">
        <f t="shared" si="310"/>
        <v>1+27.9114897508964i</v>
      </c>
      <c r="R366" s="4">
        <f t="shared" si="321"/>
        <v>27.929397775720027</v>
      </c>
      <c r="S366" s="4">
        <f t="shared" si="322"/>
        <v>1.5349841051152051</v>
      </c>
      <c r="T366" s="4" t="str">
        <f t="shared" si="311"/>
        <v>1+0.0303598660448347i</v>
      </c>
      <c r="U366" s="4">
        <f t="shared" si="323"/>
        <v>1.000460754585736</v>
      </c>
      <c r="V366" s="4">
        <f t="shared" si="324"/>
        <v>3.035054341992785E-2</v>
      </c>
      <c r="W366" t="str">
        <f t="shared" si="312"/>
        <v>1-0.397311512270413i</v>
      </c>
      <c r="X366" s="4">
        <f t="shared" si="325"/>
        <v>1.0760373775025673</v>
      </c>
      <c r="Y366" s="4">
        <f t="shared" si="326"/>
        <v>-0.37818656882156587</v>
      </c>
      <c r="Z366" t="str">
        <f t="shared" si="313"/>
        <v>0.999210807278005+0.0782461562122817i</v>
      </c>
      <c r="AA366" s="4">
        <f t="shared" si="327"/>
        <v>1.0022697732363075</v>
      </c>
      <c r="AB366" s="4">
        <f t="shared" si="328"/>
        <v>7.8148477625365212E-2</v>
      </c>
      <c r="AC366" s="48" t="str">
        <f t="shared" si="329"/>
        <v>-0.23946189717658-0.582269220561804i</v>
      </c>
      <c r="AD366" s="20">
        <f t="shared" si="330"/>
        <v>-4.0188887430566922</v>
      </c>
      <c r="AE366" s="44">
        <f t="shared" si="331"/>
        <v>-112.35522500419185</v>
      </c>
      <c r="AF366" t="str">
        <f t="shared" si="332"/>
        <v>45.9520231294187</v>
      </c>
      <c r="AG366" t="str">
        <f t="shared" si="314"/>
        <v>1+13.3940585491918i</v>
      </c>
      <c r="AH366">
        <f t="shared" si="333"/>
        <v>13.431336657949497</v>
      </c>
      <c r="AI366">
        <f t="shared" si="334"/>
        <v>1.4962746163785199</v>
      </c>
      <c r="AJ366" t="str">
        <f t="shared" si="315"/>
        <v>1+0.0303598660448347i</v>
      </c>
      <c r="AK366">
        <f t="shared" si="335"/>
        <v>1.000460754585736</v>
      </c>
      <c r="AL366">
        <f t="shared" si="336"/>
        <v>3.035054341992785E-2</v>
      </c>
      <c r="AM366" t="str">
        <f t="shared" si="316"/>
        <v>1-0.0679249742785202i</v>
      </c>
      <c r="AN366">
        <f t="shared" si="337"/>
        <v>1.0023042462898866</v>
      </c>
      <c r="AO366">
        <f t="shared" si="338"/>
        <v>-6.7820798384637587E-2</v>
      </c>
      <c r="AP366" s="42" t="str">
        <f t="shared" si="339"/>
        <v>0.127084015827946-3.42836347107935i</v>
      </c>
      <c r="AQ366">
        <f t="shared" si="340"/>
        <v>10.70770058591274</v>
      </c>
      <c r="AR366" s="44">
        <f t="shared" si="341"/>
        <v>-87.877107977802495</v>
      </c>
      <c r="AS366" t="str">
        <f t="shared" si="317"/>
        <v>-0.000166666666666667</v>
      </c>
      <c r="AT366" t="str">
        <f t="shared" si="318"/>
        <v>0.00239463443428634i</v>
      </c>
      <c r="AU366">
        <f t="shared" si="342"/>
        <v>2.39463443428634E-3</v>
      </c>
      <c r="AV366">
        <f t="shared" si="343"/>
        <v>1.5707963267948966</v>
      </c>
      <c r="AW366" t="str">
        <f t="shared" si="319"/>
        <v>1+0.436272718481044i</v>
      </c>
      <c r="AX366">
        <f t="shared" si="344"/>
        <v>1.0910242366193521</v>
      </c>
      <c r="AY366">
        <f t="shared" si="345"/>
        <v>0.41137986580734121</v>
      </c>
      <c r="AZ366" t="str">
        <f t="shared" si="320"/>
        <v>1+8.88026081811414i</v>
      </c>
      <c r="BA366">
        <f t="shared" si="346"/>
        <v>8.9363880957427764</v>
      </c>
      <c r="BB366">
        <f t="shared" si="347"/>
        <v>1.4586594266645683</v>
      </c>
      <c r="BC366" s="42" t="str">
        <f t="shared" si="348"/>
        <v>-0.493728664889593+0.285000392776274i</v>
      </c>
      <c r="BD366">
        <f t="shared" si="349"/>
        <v>-4.8812570128300869</v>
      </c>
      <c r="BE366" s="44">
        <f t="shared" si="350"/>
        <v>150.00469880743341</v>
      </c>
      <c r="BF366" s="42" t="str">
        <f t="shared" si="351"/>
        <v>0.284176159346571+0.219236270124006i</v>
      </c>
      <c r="BG366" s="20">
        <f t="shared" si="352"/>
        <v>-8.9001457558867809</v>
      </c>
      <c r="BH366" s="44">
        <f t="shared" si="353"/>
        <v>37.649473803241506</v>
      </c>
      <c r="BI366" s="42" t="str">
        <f t="shared" si="306"/>
        <v>0.914339914373905+1.72890031375881i</v>
      </c>
      <c r="BJ366" s="20">
        <f t="shared" si="354"/>
        <v>5.8264435730826571</v>
      </c>
      <c r="BK366" s="44">
        <f t="shared" si="307"/>
        <v>62.12759082963094</v>
      </c>
      <c r="BL366">
        <f t="shared" si="355"/>
        <v>-8.9001457558867809</v>
      </c>
      <c r="BM366" s="44">
        <f t="shared" si="356"/>
        <v>37.649473803241506</v>
      </c>
    </row>
    <row r="367" spans="14:65" x14ac:dyDescent="0.35">
      <c r="N367" s="9">
        <v>49</v>
      </c>
      <c r="O367" s="35">
        <f t="shared" si="308"/>
        <v>30902.954325135954</v>
      </c>
      <c r="P367" s="34" t="str">
        <f t="shared" si="309"/>
        <v>16.3709677419355</v>
      </c>
      <c r="Q367" s="4" t="str">
        <f t="shared" si="310"/>
        <v>1+28.5616318662084i</v>
      </c>
      <c r="R367" s="4">
        <f t="shared" si="321"/>
        <v>28.579132507142532</v>
      </c>
      <c r="S367" s="4">
        <f t="shared" si="322"/>
        <v>1.5357986175793807</v>
      </c>
      <c r="T367" s="4" t="str">
        <f t="shared" si="311"/>
        <v>1+0.0310670381702618i</v>
      </c>
      <c r="U367" s="4">
        <f t="shared" si="323"/>
        <v>1.0004824640445591</v>
      </c>
      <c r="V367" s="4">
        <f t="shared" si="324"/>
        <v>3.1057049057851255E-2</v>
      </c>
      <c r="W367" t="str">
        <f t="shared" si="312"/>
        <v>1-0.406566086258782i</v>
      </c>
      <c r="X367" s="4">
        <f t="shared" si="325"/>
        <v>1.0794887597820477</v>
      </c>
      <c r="Y367" s="4">
        <f t="shared" si="326"/>
        <v>-0.38615394907114803</v>
      </c>
      <c r="Z367" t="str">
        <f t="shared" si="313"/>
        <v>0.999173613770885+0.080068743324933i</v>
      </c>
      <c r="AA367" s="4">
        <f t="shared" si="327"/>
        <v>1.0023766328649146</v>
      </c>
      <c r="AB367" s="4">
        <f t="shared" si="328"/>
        <v>7.996409174196549E-2</v>
      </c>
      <c r="AC367" s="48" t="str">
        <f t="shared" si="329"/>
        <v>-0.240382797075689-0.568458483680432i</v>
      </c>
      <c r="AD367" s="20">
        <f t="shared" si="330"/>
        <v>-4.1915603543975468</v>
      </c>
      <c r="AE367" s="44">
        <f t="shared" si="331"/>
        <v>-112.92193762767722</v>
      </c>
      <c r="AF367" t="str">
        <f t="shared" si="332"/>
        <v>45.9520231294187</v>
      </c>
      <c r="AG367" t="str">
        <f t="shared" si="314"/>
        <v>1+13.706046251586i</v>
      </c>
      <c r="AH367">
        <f t="shared" si="333"/>
        <v>13.742478082595388</v>
      </c>
      <c r="AI367">
        <f t="shared" si="334"/>
        <v>1.4979648759141986</v>
      </c>
      <c r="AJ367" t="str">
        <f t="shared" si="315"/>
        <v>1+0.0310670381702618i</v>
      </c>
      <c r="AK367">
        <f t="shared" si="335"/>
        <v>1.0004824640445591</v>
      </c>
      <c r="AL367">
        <f t="shared" si="336"/>
        <v>3.1057049057851255E-2</v>
      </c>
      <c r="AM367" t="str">
        <f t="shared" si="316"/>
        <v>1-0.0695071501800602i</v>
      </c>
      <c r="AN367">
        <f t="shared" si="337"/>
        <v>1.0024127113749872</v>
      </c>
      <c r="AO367">
        <f t="shared" si="338"/>
        <v>-6.9395538204293547E-2</v>
      </c>
      <c r="AP367" s="42" t="str">
        <f t="shared" si="339"/>
        <v>0.115648497594129-3.35148457312327i</v>
      </c>
      <c r="AQ367">
        <f t="shared" si="340"/>
        <v>10.50991259965798</v>
      </c>
      <c r="AR367" s="44">
        <f t="shared" si="341"/>
        <v>-88.023698869720903</v>
      </c>
      <c r="AS367" t="str">
        <f t="shared" si="317"/>
        <v>-0.000166666666666667</v>
      </c>
      <c r="AT367" t="str">
        <f t="shared" si="318"/>
        <v>0.0024504126356794i</v>
      </c>
      <c r="AU367">
        <f t="shared" si="342"/>
        <v>2.4504126356794001E-3</v>
      </c>
      <c r="AV367">
        <f t="shared" si="343"/>
        <v>1.5707963267948966</v>
      </c>
      <c r="AW367" t="str">
        <f t="shared" si="319"/>
        <v>1+0.446434815544927i</v>
      </c>
      <c r="AX367">
        <f t="shared" si="344"/>
        <v>1.0951274101814057</v>
      </c>
      <c r="AY367">
        <f t="shared" si="345"/>
        <v>0.41988516366749729</v>
      </c>
      <c r="AZ367" t="str">
        <f t="shared" si="320"/>
        <v>1+9.08710866480155i</v>
      </c>
      <c r="BA367">
        <f t="shared" si="346"/>
        <v>9.1419660842682742</v>
      </c>
      <c r="BB367">
        <f t="shared" si="347"/>
        <v>1.4611913458584782</v>
      </c>
      <c r="BC367" s="42" t="str">
        <f t="shared" si="348"/>
        <v>-0.490035835733384+0.286784813421422i</v>
      </c>
      <c r="BD367">
        <f t="shared" si="349"/>
        <v>-4.9163103405781712</v>
      </c>
      <c r="BE367" s="44">
        <f t="shared" si="350"/>
        <v>149.66244942042397</v>
      </c>
      <c r="BF367" s="42" t="str">
        <f t="shared" si="351"/>
        <v>0.280821445041031+0.209626892521002i</v>
      </c>
      <c r="BG367" s="20">
        <f t="shared" si="352"/>
        <v>-9.1078706949757091</v>
      </c>
      <c r="BH367" s="44">
        <f t="shared" si="353"/>
        <v>36.740511792746773</v>
      </c>
      <c r="BI367" s="42" t="str">
        <f t="shared" si="306"/>
        <v>0.904482969818082+1.67551377654301i</v>
      </c>
      <c r="BJ367" s="20">
        <f t="shared" si="354"/>
        <v>5.5936022590798293</v>
      </c>
      <c r="BK367" s="44">
        <f t="shared" si="307"/>
        <v>61.638750550703143</v>
      </c>
      <c r="BL367">
        <f t="shared" si="355"/>
        <v>-9.1078706949757091</v>
      </c>
      <c r="BM367" s="44">
        <f t="shared" si="356"/>
        <v>36.740511792746773</v>
      </c>
    </row>
    <row r="368" spans="14:65" x14ac:dyDescent="0.35">
      <c r="N368" s="9">
        <v>50</v>
      </c>
      <c r="O368" s="35">
        <f t="shared" si="308"/>
        <v>31622.77660168384</v>
      </c>
      <c r="P368" s="34" t="str">
        <f t="shared" si="309"/>
        <v>16.3709677419355</v>
      </c>
      <c r="Q368" s="4" t="str">
        <f t="shared" si="310"/>
        <v>1+29.2269177367937i</v>
      </c>
      <c r="R368" s="4">
        <f t="shared" si="321"/>
        <v>29.244020250186296</v>
      </c>
      <c r="S368" s="4">
        <f t="shared" si="322"/>
        <v>1.5365946343686496</v>
      </c>
      <c r="T368" s="4" t="str">
        <f t="shared" si="311"/>
        <v>1+0.0317906824505475i</v>
      </c>
      <c r="U368" s="4">
        <f t="shared" si="323"/>
        <v>1.000505196133769</v>
      </c>
      <c r="V368" s="4">
        <f t="shared" si="324"/>
        <v>3.1779979215634954E-2</v>
      </c>
      <c r="W368" t="str">
        <f t="shared" si="312"/>
        <v>1-0.416036226967624i</v>
      </c>
      <c r="X368" s="4">
        <f t="shared" si="325"/>
        <v>1.0830910128652422</v>
      </c>
      <c r="Y368" s="4">
        <f t="shared" si="326"/>
        <v>-0.39425382010197546</v>
      </c>
      <c r="Z368" t="str">
        <f t="shared" si="313"/>
        <v>0.999134667387777+0.0819337839451303i</v>
      </c>
      <c r="AA368" s="4">
        <f t="shared" si="327"/>
        <v>1.0024885179031484</v>
      </c>
      <c r="AB368" s="4">
        <f t="shared" si="328"/>
        <v>8.1821662232994308E-2</v>
      </c>
      <c r="AC368" s="48" t="str">
        <f t="shared" si="329"/>
        <v>-0.241258905879196-0.554946369612292i</v>
      </c>
      <c r="AD368" s="20">
        <f t="shared" si="330"/>
        <v>-4.3631565918490791</v>
      </c>
      <c r="AE368" s="44">
        <f t="shared" si="331"/>
        <v>-113.49664455715093</v>
      </c>
      <c r="AF368" t="str">
        <f t="shared" si="332"/>
        <v>45.9520231294187</v>
      </c>
      <c r="AG368" t="str">
        <f t="shared" si="314"/>
        <v>1+14.0253010811239i</v>
      </c>
      <c r="AH368">
        <f t="shared" si="333"/>
        <v>14.060905746650009</v>
      </c>
      <c r="AI368">
        <f t="shared" si="334"/>
        <v>1.4996170633807697</v>
      </c>
      <c r="AJ368" t="str">
        <f t="shared" si="315"/>
        <v>1+0.0317906824505475i</v>
      </c>
      <c r="AK368">
        <f t="shared" si="335"/>
        <v>1.000505196133769</v>
      </c>
      <c r="AL368">
        <f t="shared" si="336"/>
        <v>3.1779979215634954E-2</v>
      </c>
      <c r="AM368" t="str">
        <f t="shared" si="316"/>
        <v>1-0.0711261796926614i</v>
      </c>
      <c r="AN368">
        <f t="shared" si="337"/>
        <v>1.0025262756844195</v>
      </c>
      <c r="AO368">
        <f t="shared" si="338"/>
        <v>-7.1006601576408465E-2</v>
      </c>
      <c r="AP368" s="42" t="str">
        <f t="shared" si="339"/>
        <v>0.104722333307544-3.27630793363292i</v>
      </c>
      <c r="AQ368">
        <f t="shared" si="340"/>
        <v>10.312129046132991</v>
      </c>
      <c r="AR368" s="44">
        <f t="shared" si="341"/>
        <v>-88.169248523346411</v>
      </c>
      <c r="AS368" t="str">
        <f t="shared" si="317"/>
        <v>-0.000166666666666667</v>
      </c>
      <c r="AT368" t="str">
        <f t="shared" si="318"/>
        <v>0.00250749007828694i</v>
      </c>
      <c r="AU368">
        <f t="shared" si="342"/>
        <v>2.5074900782869401E-3</v>
      </c>
      <c r="AV368">
        <f t="shared" si="343"/>
        <v>1.5707963267948966</v>
      </c>
      <c r="AW368" t="str">
        <f t="shared" si="319"/>
        <v>1+0.456833618257274i</v>
      </c>
      <c r="AX368">
        <f t="shared" si="344"/>
        <v>1.099407547168034</v>
      </c>
      <c r="AY368">
        <f t="shared" si="345"/>
        <v>0.42852221250542549</v>
      </c>
      <c r="AZ368" t="str">
        <f t="shared" si="320"/>
        <v>1+9.29877461678514i</v>
      </c>
      <c r="BA368">
        <f t="shared" si="346"/>
        <v>9.3523905699969365</v>
      </c>
      <c r="BB368">
        <f t="shared" si="347"/>
        <v>1.4636669956377886</v>
      </c>
      <c r="BC368" s="42" t="str">
        <f t="shared" si="348"/>
        <v>-0.486227716087704+0.288592694709064i</v>
      </c>
      <c r="BD368">
        <f t="shared" si="349"/>
        <v>-4.9525310457783558</v>
      </c>
      <c r="BE368" s="44">
        <f t="shared" si="350"/>
        <v>149.30942725846924</v>
      </c>
      <c r="BF368" s="42" t="str">
        <f t="shared" si="351"/>
        <v>0.277460235016883+0.20020474807751i</v>
      </c>
      <c r="BG368" s="20">
        <f t="shared" si="352"/>
        <v>-9.3156876376274447</v>
      </c>
      <c r="BH368" s="44">
        <f t="shared" si="353"/>
        <v>35.812782701318376</v>
      </c>
      <c r="BI368" s="42" t="str">
        <f t="shared" si="306"/>
        <v>0.894599634316307+1.6232538241358i</v>
      </c>
      <c r="BJ368" s="20">
        <f t="shared" si="354"/>
        <v>5.3595980003546178</v>
      </c>
      <c r="BK368" s="44">
        <f t="shared" si="307"/>
        <v>61.140178735122802</v>
      </c>
      <c r="BL368">
        <f t="shared" si="355"/>
        <v>-9.3156876376274447</v>
      </c>
      <c r="BM368" s="44">
        <f t="shared" si="356"/>
        <v>35.812782701318376</v>
      </c>
    </row>
    <row r="369" spans="14:65" x14ac:dyDescent="0.35">
      <c r="N369" s="9">
        <v>51</v>
      </c>
      <c r="O369" s="35">
        <f t="shared" si="308"/>
        <v>32359.365692962871</v>
      </c>
      <c r="P369" s="34" t="str">
        <f t="shared" si="309"/>
        <v>16.3709677419355</v>
      </c>
      <c r="Q369" s="4" t="str">
        <f t="shared" si="310"/>
        <v>1+29.907700106027i</v>
      </c>
      <c r="R369" s="4">
        <f t="shared" si="321"/>
        <v>29.924413538648462</v>
      </c>
      <c r="S369" s="4">
        <f t="shared" si="322"/>
        <v>1.537372573504223</v>
      </c>
      <c r="T369" s="4" t="str">
        <f t="shared" si="311"/>
        <v>1+0.032531182571468i</v>
      </c>
      <c r="U369" s="4">
        <f t="shared" si="323"/>
        <v>1.0005289989997781</v>
      </c>
      <c r="V369" s="4">
        <f t="shared" si="324"/>
        <v>3.2519714176100924E-2</v>
      </c>
      <c r="W369" t="str">
        <f t="shared" si="312"/>
        <v>1-0.425726955590895i</v>
      </c>
      <c r="X369" s="4">
        <f t="shared" si="325"/>
        <v>1.0868502384030156</v>
      </c>
      <c r="Y369" s="4">
        <f t="shared" si="326"/>
        <v>-0.4024862242009527</v>
      </c>
      <c r="Z369" t="str">
        <f t="shared" si="313"/>
        <v>0.999093885518182+0.0838422669420971i</v>
      </c>
      <c r="AA369" s="4">
        <f t="shared" si="327"/>
        <v>1.0026056641600467</v>
      </c>
      <c r="AB369" s="4">
        <f t="shared" si="328"/>
        <v>8.3722142603953636E-2</v>
      </c>
      <c r="AC369" s="48" t="str">
        <f t="shared" si="329"/>
        <v>-0.242092070303934-0.541725931791886i</v>
      </c>
      <c r="AD369" s="20">
        <f t="shared" si="330"/>
        <v>-4.5336412659663079</v>
      </c>
      <c r="AE369" s="44">
        <f t="shared" si="331"/>
        <v>-114.07940500956539</v>
      </c>
      <c r="AF369" t="str">
        <f t="shared" si="332"/>
        <v>45.9520231294187</v>
      </c>
      <c r="AG369" t="str">
        <f t="shared" si="314"/>
        <v>1+14.3519923109417i</v>
      </c>
      <c r="AH369">
        <f t="shared" si="333"/>
        <v>14.386788498248304</v>
      </c>
      <c r="AI369">
        <f t="shared" si="334"/>
        <v>1.5012320186895427</v>
      </c>
      <c r="AJ369" t="str">
        <f t="shared" si="315"/>
        <v>1+0.032531182571468i</v>
      </c>
      <c r="AK369">
        <f t="shared" si="335"/>
        <v>1.0005289989997781</v>
      </c>
      <c r="AL369">
        <f t="shared" si="336"/>
        <v>3.2519714176100924E-2</v>
      </c>
      <c r="AM369" t="str">
        <f t="shared" si="316"/>
        <v>1-0.0727829212472021i</v>
      </c>
      <c r="AN369">
        <f t="shared" si="337"/>
        <v>1.0026451783284436</v>
      </c>
      <c r="AO369">
        <f t="shared" si="338"/>
        <v>-7.2654809236879031E-2</v>
      </c>
      <c r="AP369" s="42" t="str">
        <f t="shared" si="339"/>
        <v>0.0942830636932841-3.20279863180469i</v>
      </c>
      <c r="AQ369">
        <f t="shared" si="340"/>
        <v>10.114354560744509</v>
      </c>
      <c r="AR369" s="44">
        <f t="shared" si="341"/>
        <v>-88.313830298154457</v>
      </c>
      <c r="AS369" t="str">
        <f t="shared" si="317"/>
        <v>-0.000166666666666667</v>
      </c>
      <c r="AT369" t="str">
        <f t="shared" si="318"/>
        <v>0.00256589702532455i</v>
      </c>
      <c r="AU369">
        <f t="shared" si="342"/>
        <v>2.5658970253245499E-3</v>
      </c>
      <c r="AV369">
        <f t="shared" si="343"/>
        <v>1.5707963267948966</v>
      </c>
      <c r="AW369" t="str">
        <f t="shared" si="319"/>
        <v>1+0.467474640200929i</v>
      </c>
      <c r="AX369">
        <f t="shared" si="344"/>
        <v>1.1038716135633655</v>
      </c>
      <c r="AY369">
        <f t="shared" si="345"/>
        <v>0.43729043626616443</v>
      </c>
      <c r="AZ369" t="str">
        <f t="shared" si="320"/>
        <v>1+9.51537090215438i</v>
      </c>
      <c r="BA369">
        <f t="shared" si="346"/>
        <v>9.5677731685887224</v>
      </c>
      <c r="BB369">
        <f t="shared" si="347"/>
        <v>1.4660875671758427</v>
      </c>
      <c r="BC369" s="42" t="str">
        <f t="shared" si="348"/>
        <v>-0.482303049642721+0.290418986820731i</v>
      </c>
      <c r="BD369">
        <f t="shared" si="349"/>
        <v>-4.9899633706192086</v>
      </c>
      <c r="BE369" s="44">
        <f t="shared" si="350"/>
        <v>148.94573357629258</v>
      </c>
      <c r="BF369" s="42" t="str">
        <f t="shared" si="351"/>
        <v>0.274089240047423+0.19096793519877i</v>
      </c>
      <c r="BG369" s="20">
        <f t="shared" si="352"/>
        <v>-9.5236046365855191</v>
      </c>
      <c r="BH369" s="44">
        <f t="shared" si="353"/>
        <v>34.86632856672729</v>
      </c>
      <c r="BI369" s="42" t="str">
        <f t="shared" si="306"/>
        <v>0.884680524490612+1.57210113934309i</v>
      </c>
      <c r="BJ369" s="20">
        <f t="shared" si="354"/>
        <v>5.1243911901252819</v>
      </c>
      <c r="BK369" s="44">
        <f t="shared" si="307"/>
        <v>60.631903278138083</v>
      </c>
      <c r="BL369">
        <f t="shared" si="355"/>
        <v>-9.5236046365855191</v>
      </c>
      <c r="BM369" s="44">
        <f t="shared" si="356"/>
        <v>34.86632856672729</v>
      </c>
    </row>
    <row r="370" spans="14:65" x14ac:dyDescent="0.35">
      <c r="N370" s="9">
        <v>52</v>
      </c>
      <c r="O370" s="35">
        <f t="shared" si="308"/>
        <v>33113.11214825909</v>
      </c>
      <c r="P370" s="34" t="str">
        <f t="shared" si="309"/>
        <v>16.3709677419355</v>
      </c>
      <c r="Q370" s="4" t="str">
        <f t="shared" si="310"/>
        <v>1+30.6043399337318i</v>
      </c>
      <c r="R370" s="4">
        <f t="shared" si="321"/>
        <v>30.620673127470777</v>
      </c>
      <c r="S370" s="4">
        <f t="shared" si="322"/>
        <v>1.5381328436911714</v>
      </c>
      <c r="T370" s="4" t="str">
        <f t="shared" si="311"/>
        <v>1+0.033288931155989i</v>
      </c>
      <c r="U370" s="4">
        <f t="shared" si="323"/>
        <v>1.0005539230533795</v>
      </c>
      <c r="V370" s="4">
        <f t="shared" si="324"/>
        <v>3.3276642916355147E-2</v>
      </c>
      <c r="W370" t="str">
        <f t="shared" si="312"/>
        <v>1-0.435643410281182i</v>
      </c>
      <c r="X370" s="4">
        <f t="shared" si="325"/>
        <v>1.0907727448563327</v>
      </c>
      <c r="Y370" s="4">
        <f t="shared" si="326"/>
        <v>-0.41085106180341252</v>
      </c>
      <c r="Z370" t="str">
        <f t="shared" si="313"/>
        <v>0.999051181658286+0.0857952042187802i</v>
      </c>
      <c r="AA370" s="4">
        <f t="shared" si="327"/>
        <v>1.002728318459073</v>
      </c>
      <c r="AB370" s="4">
        <f t="shared" si="328"/>
        <v>8.5666506888039992E-2</v>
      </c>
      <c r="AC370" s="48" t="str">
        <f t="shared" si="329"/>
        <v>-0.242884047420102-0.528790366119499i</v>
      </c>
      <c r="AD370" s="20">
        <f t="shared" si="330"/>
        <v>-4.7029776821607969</v>
      </c>
      <c r="AE370" s="44">
        <f t="shared" si="331"/>
        <v>-114.67027021860582</v>
      </c>
      <c r="AF370" t="str">
        <f t="shared" si="332"/>
        <v>45.9520231294187</v>
      </c>
      <c r="AG370" t="str">
        <f t="shared" si="314"/>
        <v>1+14.6862931570539i</v>
      </c>
      <c r="AH370">
        <f t="shared" si="333"/>
        <v>14.720299137413214</v>
      </c>
      <c r="AI370">
        <f t="shared" si="334"/>
        <v>1.5028105643968113</v>
      </c>
      <c r="AJ370" t="str">
        <f t="shared" si="315"/>
        <v>1+0.033288931155989i</v>
      </c>
      <c r="AK370">
        <f t="shared" si="335"/>
        <v>1.0005539230533795</v>
      </c>
      <c r="AL370">
        <f t="shared" si="336"/>
        <v>3.3276642916355147E-2</v>
      </c>
      <c r="AM370" t="str">
        <f t="shared" si="316"/>
        <v>1-0.0744782532699838i</v>
      </c>
      <c r="AN370">
        <f t="shared" si="337"/>
        <v>1.0027696695703097</v>
      </c>
      <c r="AO370">
        <f t="shared" si="338"/>
        <v>-7.4340999247115722E-2</v>
      </c>
      <c r="AP370" s="42" t="str">
        <f t="shared" si="339"/>
        <v>0.0843091998036827-3.13092230662089i</v>
      </c>
      <c r="AQ370">
        <f t="shared" si="340"/>
        <v>9.9165937980428804</v>
      </c>
      <c r="AR370" s="44">
        <f t="shared" si="341"/>
        <v>-88.457517053784414</v>
      </c>
      <c r="AS370" t="str">
        <f t="shared" si="317"/>
        <v>-0.000166666666666667</v>
      </c>
      <c r="AT370" t="str">
        <f t="shared" si="318"/>
        <v>0.00262566444492863i</v>
      </c>
      <c r="AU370">
        <f t="shared" si="342"/>
        <v>2.6256644449286302E-3</v>
      </c>
      <c r="AV370">
        <f t="shared" si="343"/>
        <v>1.5707963267948966</v>
      </c>
      <c r="AW370" t="str">
        <f t="shared" si="319"/>
        <v>1+0.478363523386577i</v>
      </c>
      <c r="AX370">
        <f t="shared" si="344"/>
        <v>1.1085267973787645</v>
      </c>
      <c r="AY370">
        <f t="shared" si="345"/>
        <v>0.44618909002293089</v>
      </c>
      <c r="AZ370" t="str">
        <f t="shared" si="320"/>
        <v>1+9.73701236312676i</v>
      </c>
      <c r="BA370">
        <f t="shared" si="346"/>
        <v>9.7882281215592535</v>
      </c>
      <c r="BB370">
        <f t="shared" si="347"/>
        <v>1.4684542303695987</v>
      </c>
      <c r="BC370" s="42" t="str">
        <f t="shared" si="348"/>
        <v>-0.478260756658569+0.292258496981416i</v>
      </c>
      <c r="BD370">
        <f t="shared" si="349"/>
        <v>-5.0286517493442346</v>
      </c>
      <c r="BE370" s="44">
        <f t="shared" si="350"/>
        <v>148.57147808521279</v>
      </c>
      <c r="BF370" s="42" t="str">
        <f t="shared" si="351"/>
        <v>0.270705385919771+0.181914753974311i</v>
      </c>
      <c r="BG370" s="20">
        <f t="shared" si="352"/>
        <v>-9.7316294315050413</v>
      </c>
      <c r="BH370" s="44">
        <f t="shared" si="353"/>
        <v>33.901207866606946</v>
      </c>
      <c r="BI370" s="42" t="str">
        <f t="shared" ref="BI370:BI433" si="357">IMPRODUCT(AP370,BC370)</f>
        <v>0.874716865807222+1.52203735142003i</v>
      </c>
      <c r="BJ370" s="20">
        <f t="shared" si="354"/>
        <v>4.8879420486986502</v>
      </c>
      <c r="BK370" s="44">
        <f t="shared" ref="BK370:BK433" si="358">(180/PI())*IMARGUMENT(BI370)</f>
        <v>60.113961031428389</v>
      </c>
      <c r="BL370">
        <f t="shared" si="355"/>
        <v>-9.7316294315050413</v>
      </c>
      <c r="BM370" s="44">
        <f t="shared" si="356"/>
        <v>33.901207866606946</v>
      </c>
    </row>
    <row r="371" spans="14:65" x14ac:dyDescent="0.35">
      <c r="N371" s="9">
        <v>53</v>
      </c>
      <c r="O371" s="35">
        <f t="shared" si="308"/>
        <v>33884.41561392029</v>
      </c>
      <c r="P371" s="34" t="str">
        <f t="shared" si="309"/>
        <v>16.3709677419355</v>
      </c>
      <c r="Q371" s="4" t="str">
        <f t="shared" si="310"/>
        <v>1+31.3172065875659i</v>
      </c>
      <c r="R371" s="4">
        <f t="shared" si="321"/>
        <v>31.333168184023158</v>
      </c>
      <c r="S371" s="4">
        <f t="shared" si="322"/>
        <v>1.5388758445172475</v>
      </c>
      <c r="T371" s="4" t="str">
        <f t="shared" si="311"/>
        <v>1+0.0340643299724402i</v>
      </c>
      <c r="U371" s="4">
        <f t="shared" si="323"/>
        <v>1.0005800210760114</v>
      </c>
      <c r="V371" s="4">
        <f t="shared" si="324"/>
        <v>3.4051163298647005E-2</v>
      </c>
      <c r="W371" t="str">
        <f t="shared" si="312"/>
        <v>1-0.445790848874025i</v>
      </c>
      <c r="X371" s="4">
        <f t="shared" si="325"/>
        <v>1.094865051474301</v>
      </c>
      <c r="Y371" s="4">
        <f t="shared" si="326"/>
        <v>-0.41934808467047291</v>
      </c>
      <c r="Z371" t="str">
        <f t="shared" si="313"/>
        <v>0.999006465227477+0.0877936312483744i</v>
      </c>
      <c r="AA371" s="4">
        <f t="shared" si="327"/>
        <v>1.0028567391477576</v>
      </c>
      <c r="AB371" s="4">
        <f t="shared" si="328"/>
        <v>8.7655750006242081E-2</v>
      </c>
      <c r="AC371" s="48" t="str">
        <f t="shared" si="329"/>
        <v>-0.243636508291892-0.516133008321969i</v>
      </c>
      <c r="AD371" s="20">
        <f t="shared" si="330"/>
        <v>-4.8711286859644725</v>
      </c>
      <c r="AE371" s="44">
        <f t="shared" si="331"/>
        <v>-115.26928306486954</v>
      </c>
      <c r="AF371" t="str">
        <f t="shared" si="332"/>
        <v>45.9520231294187</v>
      </c>
      <c r="AG371" t="str">
        <f t="shared" si="314"/>
        <v>1+15.0283808701942i</v>
      </c>
      <c r="AH371">
        <f t="shared" si="333"/>
        <v>15.061614507735182</v>
      </c>
      <c r="AI371">
        <f t="shared" si="334"/>
        <v>1.5043535059832747</v>
      </c>
      <c r="AJ371" t="str">
        <f t="shared" si="315"/>
        <v>1+0.0340643299724402i</v>
      </c>
      <c r="AK371">
        <f t="shared" si="335"/>
        <v>1.0005800210760114</v>
      </c>
      <c r="AL371">
        <f t="shared" si="336"/>
        <v>3.4051163298647005E-2</v>
      </c>
      <c r="AM371" t="str">
        <f t="shared" si="316"/>
        <v>1-0.076213074648486i</v>
      </c>
      <c r="AN371">
        <f t="shared" si="337"/>
        <v>1.0029000113407995</v>
      </c>
      <c r="AO371">
        <f t="shared" si="338"/>
        <v>-7.6066027271994074E-2</v>
      </c>
      <c r="AP371" s="42" t="str">
        <f t="shared" si="339"/>
        <v>0.0747801828534618-3.06064515969421i</v>
      </c>
      <c r="AQ371">
        <f t="shared" si="340"/>
        <v>9.7188514410436806</v>
      </c>
      <c r="AR371" s="44">
        <f t="shared" si="341"/>
        <v>-88.600381171039118</v>
      </c>
      <c r="AS371" t="str">
        <f t="shared" si="317"/>
        <v>-0.000166666666666667</v>
      </c>
      <c r="AT371" t="str">
        <f t="shared" si="318"/>
        <v>0.00268682402657621i</v>
      </c>
      <c r="AU371">
        <f t="shared" si="342"/>
        <v>2.68682402657621E-3</v>
      </c>
      <c r="AV371">
        <f t="shared" si="343"/>
        <v>1.5707963267948966</v>
      </c>
      <c r="AW371" t="str">
        <f t="shared" si="319"/>
        <v>1+0.489506041244218i</v>
      </c>
      <c r="AX371">
        <f t="shared" si="344"/>
        <v>1.1133805119610214</v>
      </c>
      <c r="AY371">
        <f t="shared" si="345"/>
        <v>0.45521725376104522</v>
      </c>
      <c r="AZ371" t="str">
        <f t="shared" si="320"/>
        <v>1+9.96381651693873i</v>
      </c>
      <c r="BA371">
        <f t="shared" si="346"/>
        <v>10.013872357046552</v>
      </c>
      <c r="BB371">
        <f t="shared" si="347"/>
        <v>1.4707681339500205</v>
      </c>
      <c r="BC371" s="42" t="str">
        <f t="shared" si="348"/>
        <v>-0.474099948541364+0.294105895214222i</v>
      </c>
      <c r="BD371">
        <f t="shared" si="349"/>
        <v>-5.0686407541168048</v>
      </c>
      <c r="BE371" s="44">
        <f t="shared" si="350"/>
        <v>148.18677931562425</v>
      </c>
      <c r="BF371" s="42" t="str">
        <f t="shared" si="351"/>
        <v>0.267305816506126+0.173043699307891i</v>
      </c>
      <c r="BG371" s="20">
        <f t="shared" si="352"/>
        <v>-9.9397694400812657</v>
      </c>
      <c r="BH371" s="44">
        <f t="shared" si="353"/>
        <v>32.917496250754731</v>
      </c>
      <c r="BI371" s="42" t="str">
        <f t="shared" si="357"/>
        <v>0.864700503782201+1.4730450053368i</v>
      </c>
      <c r="BJ371" s="20">
        <f t="shared" si="354"/>
        <v>4.650210686926874</v>
      </c>
      <c r="BK371" s="44">
        <f t="shared" si="358"/>
        <v>59.586398144585154</v>
      </c>
      <c r="BL371">
        <f t="shared" si="355"/>
        <v>-9.9397694400812657</v>
      </c>
      <c r="BM371" s="44">
        <f t="shared" si="356"/>
        <v>32.917496250754731</v>
      </c>
    </row>
    <row r="372" spans="14:65" x14ac:dyDescent="0.35">
      <c r="N372" s="9">
        <v>54</v>
      </c>
      <c r="O372" s="35">
        <f t="shared" si="308"/>
        <v>34673.685045253202</v>
      </c>
      <c r="P372" s="34" t="str">
        <f t="shared" si="309"/>
        <v>16.3709677419355</v>
      </c>
      <c r="Q372" s="4" t="str">
        <f t="shared" si="310"/>
        <v>1+32.0466780388648i</v>
      </c>
      <c r="R372" s="4">
        <f t="shared" si="321"/>
        <v>32.062276483847171</v>
      </c>
      <c r="S372" s="4">
        <f t="shared" si="322"/>
        <v>1.5396019666480572</v>
      </c>
      <c r="T372" s="4" t="str">
        <f t="shared" si="311"/>
        <v>1+0.0348577901475371i</v>
      </c>
      <c r="U372" s="4">
        <f t="shared" si="323"/>
        <v>1.0006073483309874</v>
      </c>
      <c r="V372" s="4">
        <f t="shared" si="324"/>
        <v>3.4843682264844737E-2</v>
      </c>
      <c r="W372" t="str">
        <f t="shared" si="312"/>
        <v>1-0.456174651675677i</v>
      </c>
      <c r="X372" s="4">
        <f t="shared" si="325"/>
        <v>1.0991338921311748</v>
      </c>
      <c r="Y372" s="4">
        <f t="shared" si="326"/>
        <v>-0.42797688914974452</v>
      </c>
      <c r="Z372" t="str">
        <f t="shared" si="313"/>
        <v>0.99895964137621+0.0898386076233418i</v>
      </c>
      <c r="AA372" s="4">
        <f t="shared" si="327"/>
        <v>1.0029911966304523</v>
      </c>
      <c r="AB372" s="4">
        <f t="shared" si="328"/>
        <v>8.9690888127653939E-2</v>
      </c>
      <c r="AC372" s="48" t="str">
        <f t="shared" si="329"/>
        <v>-0.24435104144705-0.503747331334593i</v>
      </c>
      <c r="AD372" s="20">
        <f t="shared" si="330"/>
        <v>-5.0380567131664442</v>
      </c>
      <c r="AE372" s="44">
        <f t="shared" si="331"/>
        <v>-115.87647771041776</v>
      </c>
      <c r="AF372" t="str">
        <f t="shared" si="332"/>
        <v>45.9520231294187</v>
      </c>
      <c r="AG372" t="str">
        <f t="shared" si="314"/>
        <v>1+15.3784368297958i</v>
      </c>
      <c r="AH372">
        <f t="shared" si="333"/>
        <v>15.410915590191905</v>
      </c>
      <c r="AI372">
        <f t="shared" si="334"/>
        <v>1.505861632134589</v>
      </c>
      <c r="AJ372" t="str">
        <f t="shared" si="315"/>
        <v>1+0.0348577901475371i</v>
      </c>
      <c r="AK372">
        <f t="shared" si="335"/>
        <v>1.0006073483309874</v>
      </c>
      <c r="AL372">
        <f t="shared" si="336"/>
        <v>3.4843682264844737E-2</v>
      </c>
      <c r="AM372" t="str">
        <f t="shared" si="316"/>
        <v>1-0.0779883052079654i</v>
      </c>
      <c r="AN372">
        <f t="shared" si="337"/>
        <v>1.0030364777759633</v>
      </c>
      <c r="AO372">
        <f t="shared" si="338"/>
        <v>-7.7830766855597866E-2</v>
      </c>
      <c r="AP372" s="42" t="str">
        <f t="shared" si="339"/>
        <v>0.0656763455613002-2.99193395706683i</v>
      </c>
      <c r="AQ372">
        <f t="shared" si="340"/>
        <v>9.5211322106045824</v>
      </c>
      <c r="AR372" s="44">
        <f t="shared" si="341"/>
        <v>-88.742494572615698</v>
      </c>
      <c r="AS372" t="str">
        <f t="shared" si="317"/>
        <v>-0.000166666666666667</v>
      </c>
      <c r="AT372" t="str">
        <f t="shared" si="318"/>
        <v>0.002749408197887i</v>
      </c>
      <c r="AU372">
        <f t="shared" si="342"/>
        <v>2.7494081978869998E-3</v>
      </c>
      <c r="AV372">
        <f t="shared" si="343"/>
        <v>1.5707963267948966</v>
      </c>
      <c r="AW372" t="str">
        <f t="shared" si="319"/>
        <v>1+0.5009081016843i</v>
      </c>
      <c r="AX372">
        <f t="shared" si="344"/>
        <v>1.1184403990973184</v>
      </c>
      <c r="AY372">
        <f t="shared" si="345"/>
        <v>0.46437382642882485</v>
      </c>
      <c r="AZ372" t="str">
        <f t="shared" si="320"/>
        <v>1+10.1959036181546i</v>
      </c>
      <c r="BA372">
        <f t="shared" si="346"/>
        <v>10.244825551989553</v>
      </c>
      <c r="BB372">
        <f t="shared" si="347"/>
        <v>1.4730304056132382</v>
      </c>
      <c r="BC372" s="42" t="str">
        <f t="shared" si="348"/>
        <v>-0.469819942434051+0.295955721382292i</v>
      </c>
      <c r="BD372">
        <f t="shared" si="349"/>
        <v>-5.1099750356096205</v>
      </c>
      <c r="BE372" s="44">
        <f t="shared" si="350"/>
        <v>147.79176496537002</v>
      </c>
      <c r="BF372" s="42" t="str">
        <f t="shared" si="351"/>
        <v>0.263887897065887+0.164353453466949i</v>
      </c>
      <c r="BG372" s="20">
        <f t="shared" si="352"/>
        <v>-10.148031748776079</v>
      </c>
      <c r="BH372" s="44">
        <f t="shared" si="353"/>
        <v>31.915287254952247</v>
      </c>
      <c r="BI372" s="42" t="str">
        <f t="shared" si="357"/>
        <v>0.854623915701+1.42510752970397i</v>
      </c>
      <c r="BJ372" s="20">
        <f t="shared" si="354"/>
        <v>4.4111571749949707</v>
      </c>
      <c r="BK372" s="44">
        <f t="shared" si="358"/>
        <v>59.049270392754373</v>
      </c>
      <c r="BL372">
        <f t="shared" si="355"/>
        <v>-10.148031748776079</v>
      </c>
      <c r="BM372" s="44">
        <f t="shared" si="356"/>
        <v>31.915287254952247</v>
      </c>
    </row>
    <row r="373" spans="14:65" x14ac:dyDescent="0.35">
      <c r="N373" s="9">
        <v>55</v>
      </c>
      <c r="O373" s="35">
        <f t="shared" si="308"/>
        <v>35481.33892335758</v>
      </c>
      <c r="P373" s="34" t="str">
        <f t="shared" si="309"/>
        <v>16.3709677419355</v>
      </c>
      <c r="Q373" s="4" t="str">
        <f t="shared" si="310"/>
        <v>1+32.793141063048i</v>
      </c>
      <c r="R373" s="4">
        <f t="shared" si="321"/>
        <v>32.808384610964389</v>
      </c>
      <c r="S373" s="4">
        <f t="shared" si="322"/>
        <v>1.5403115920186119</v>
      </c>
      <c r="T373" s="4" t="str">
        <f t="shared" si="311"/>
        <v>1+0.035669732384368i</v>
      </c>
      <c r="U373" s="4">
        <f t="shared" si="323"/>
        <v>1.0006359626799211</v>
      </c>
      <c r="V373" s="4">
        <f t="shared" si="324"/>
        <v>3.5654616034557475E-2</v>
      </c>
      <c r="W373" t="str">
        <f t="shared" si="312"/>
        <v>1-0.466800324315836i</v>
      </c>
      <c r="X373" s="4">
        <f t="shared" si="325"/>
        <v>1.1035862190066392</v>
      </c>
      <c r="Y373" s="4">
        <f t="shared" si="326"/>
        <v>-0.43673690956065292</v>
      </c>
      <c r="Z373" t="str">
        <f t="shared" si="313"/>
        <v>0.998910610784818+0.0919312176172264i</v>
      </c>
      <c r="AA373" s="4">
        <f t="shared" si="327"/>
        <v>1.0031319739252078</v>
      </c>
      <c r="AB373" s="4">
        <f t="shared" si="328"/>
        <v>9.1772959029465168E-2</v>
      </c>
      <c r="AC373" s="48" t="str">
        <f t="shared" si="329"/>
        <v>-0.24502915618211-0.49162694270699i</v>
      </c>
      <c r="AD373" s="20">
        <f t="shared" si="330"/>
        <v>-5.2037238449372056</v>
      </c>
      <c r="AE373" s="44">
        <f t="shared" si="331"/>
        <v>-116.49187924003105</v>
      </c>
      <c r="AF373" t="str">
        <f t="shared" si="332"/>
        <v>45.9520231294187</v>
      </c>
      <c r="AG373" t="str">
        <f t="shared" si="314"/>
        <v>1+15.7366466401623i</v>
      </c>
      <c r="AH373">
        <f t="shared" si="333"/>
        <v>15.76838759915964</v>
      </c>
      <c r="AI373">
        <f t="shared" si="334"/>
        <v>1.5073357150225568</v>
      </c>
      <c r="AJ373" t="str">
        <f t="shared" si="315"/>
        <v>1+0.035669732384368i</v>
      </c>
      <c r="AK373">
        <f t="shared" si="335"/>
        <v>1.0006359626799211</v>
      </c>
      <c r="AL373">
        <f t="shared" si="336"/>
        <v>3.5654616034557475E-2</v>
      </c>
      <c r="AM373" t="str">
        <f t="shared" si="316"/>
        <v>1-0.0798048861991639i</v>
      </c>
      <c r="AN373">
        <f t="shared" si="337"/>
        <v>1.0031793557790458</v>
      </c>
      <c r="AO373">
        <f t="shared" si="338"/>
        <v>-7.9636109694130791E-2</v>
      </c>
      <c r="AP373" s="42" t="str">
        <f t="shared" si="339"/>
        <v>0.0569788749555672-2.9247560300477i</v>
      </c>
      <c r="AQ373">
        <f t="shared" si="340"/>
        <v>9.3234408748714319</v>
      </c>
      <c r="AR373" s="44">
        <f t="shared" si="341"/>
        <v>-88.883928743501642</v>
      </c>
      <c r="AS373" t="str">
        <f t="shared" si="317"/>
        <v>-0.000166666666666667</v>
      </c>
      <c r="AT373" t="str">
        <f t="shared" si="318"/>
        <v>0.00281345014181702i</v>
      </c>
      <c r="AU373">
        <f t="shared" si="342"/>
        <v>2.8134501418170198E-3</v>
      </c>
      <c r="AV373">
        <f t="shared" si="343"/>
        <v>1.5707963267948966</v>
      </c>
      <c r="AW373" t="str">
        <f t="shared" si="319"/>
        <v>1+0.512575750230201i</v>
      </c>
      <c r="AX373">
        <f t="shared" si="344"/>
        <v>1.1237143319029324</v>
      </c>
      <c r="AY373">
        <f t="shared" si="345"/>
        <v>0.47365752030653258</v>
      </c>
      <c r="AZ373" t="str">
        <f t="shared" si="320"/>
        <v>1+10.4333967224276i</v>
      </c>
      <c r="BA373">
        <f t="shared" si="346"/>
        <v>10.481210195753304</v>
      </c>
      <c r="BB373">
        <f t="shared" si="347"/>
        <v>1.4752421521706389</v>
      </c>
      <c r="BC373" s="42" t="str">
        <f t="shared" si="348"/>
        <v>-0.465420275711636+0.297802393566364i</v>
      </c>
      <c r="BD373">
        <f t="shared" si="349"/>
        <v>-5.1526992583417428</v>
      </c>
      <c r="BE373" s="44">
        <f t="shared" si="350"/>
        <v>147.38657223097763</v>
      </c>
      <c r="BF373" s="42" t="str">
        <f t="shared" si="351"/>
        <v>0.260449217707522+0.155842878017377i</v>
      </c>
      <c r="BG373" s="20">
        <f t="shared" si="352"/>
        <v>-10.356423103278964</v>
      </c>
      <c r="BH373" s="44">
        <f t="shared" si="353"/>
        <v>30.894692990946588</v>
      </c>
      <c r="BI373" s="42" t="str">
        <f t="shared" si="357"/>
        <v>0.844480222654302+1.37820920323856i</v>
      </c>
      <c r="BJ373" s="20">
        <f t="shared" si="354"/>
        <v>4.1707416165296998</v>
      </c>
      <c r="BK373" s="44">
        <f t="shared" si="358"/>
        <v>58.50264348747605</v>
      </c>
      <c r="BL373">
        <f t="shared" si="355"/>
        <v>-10.356423103278964</v>
      </c>
      <c r="BM373" s="44">
        <f t="shared" si="356"/>
        <v>30.894692990946588</v>
      </c>
    </row>
    <row r="374" spans="14:65" x14ac:dyDescent="0.35">
      <c r="N374" s="9">
        <v>56</v>
      </c>
      <c r="O374" s="35">
        <f t="shared" si="308"/>
        <v>36307.805477010232</v>
      </c>
      <c r="P374" s="34" t="str">
        <f t="shared" si="309"/>
        <v>16.3709677419355</v>
      </c>
      <c r="Q374" s="4" t="str">
        <f t="shared" si="310"/>
        <v>1+33.5569914446912i</v>
      </c>
      <c r="R374" s="4">
        <f t="shared" si="321"/>
        <v>33.571888162852531</v>
      </c>
      <c r="S374" s="4">
        <f t="shared" si="322"/>
        <v>1.5410050940212827</v>
      </c>
      <c r="T374" s="4" t="str">
        <f t="shared" si="311"/>
        <v>1+0.0365005871854536i</v>
      </c>
      <c r="U374" s="4">
        <f t="shared" si="323"/>
        <v>1.0006659247045853</v>
      </c>
      <c r="V374" s="4">
        <f t="shared" si="324"/>
        <v>3.6484390306917892E-2</v>
      </c>
      <c r="W374" t="str">
        <f t="shared" si="312"/>
        <v>1-0.477673500666778i</v>
      </c>
      <c r="X374" s="4">
        <f t="shared" si="325"/>
        <v>1.1082292060937819</v>
      </c>
      <c r="Y374" s="4">
        <f t="shared" si="326"/>
        <v>-0.44562741174824316</v>
      </c>
      <c r="Z374" t="str">
        <f t="shared" si="313"/>
        <v>0.998859269452845+0.0940725707595446i</v>
      </c>
      <c r="AA374" s="4">
        <f t="shared" si="327"/>
        <v>1.0032793672458238</v>
      </c>
      <c r="AB374" s="4">
        <f t="shared" si="328"/>
        <v>9.3903022456016699E-2</v>
      </c>
      <c r="AC374" s="48" t="str">
        <f t="shared" si="329"/>
        <v>-0.24567228570974-0.479765582035531i</v>
      </c>
      <c r="AD374" s="20">
        <f t="shared" si="330"/>
        <v>-5.3680918680293486</v>
      </c>
      <c r="AE374" s="44">
        <f t="shared" si="331"/>
        <v>-117.11550331165049</v>
      </c>
      <c r="AF374" t="str">
        <f t="shared" si="332"/>
        <v>45.9520231294187</v>
      </c>
      <c r="AG374" t="str">
        <f t="shared" si="314"/>
        <v>1+16.1032002288765i</v>
      </c>
      <c r="AH374">
        <f t="shared" si="333"/>
        <v>16.134220080663589</v>
      </c>
      <c r="AI374">
        <f t="shared" si="334"/>
        <v>1.5087765105864763</v>
      </c>
      <c r="AJ374" t="str">
        <f t="shared" si="315"/>
        <v>1+0.0365005871854536i</v>
      </c>
      <c r="AK374">
        <f t="shared" si="335"/>
        <v>1.0006659247045853</v>
      </c>
      <c r="AL374">
        <f t="shared" si="336"/>
        <v>3.6484390306917892E-2</v>
      </c>
      <c r="AM374" t="str">
        <f t="shared" si="316"/>
        <v>1-0.0816637807973674i</v>
      </c>
      <c r="AN374">
        <f t="shared" si="337"/>
        <v>1.0033289456076309</v>
      </c>
      <c r="AO374">
        <f t="shared" si="338"/>
        <v>-8.1482965905292373E-2</v>
      </c>
      <c r="AP374" s="42" t="str">
        <f t="shared" si="339"/>
        <v>0.0486697766018676-2.85907927516764i</v>
      </c>
      <c r="AQ374">
        <f t="shared" si="340"/>
        <v>9.1257822588117072</v>
      </c>
      <c r="AR374" s="44">
        <f t="shared" si="341"/>
        <v>-89.024754750967702</v>
      </c>
      <c r="AS374" t="str">
        <f t="shared" si="317"/>
        <v>-0.000166666666666667</v>
      </c>
      <c r="AT374" t="str">
        <f t="shared" si="318"/>
        <v>0.00287898381425266i</v>
      </c>
      <c r="AU374">
        <f t="shared" si="342"/>
        <v>2.87898381425266E-3</v>
      </c>
      <c r="AV374">
        <f t="shared" si="343"/>
        <v>1.5707963267948966</v>
      </c>
      <c r="AW374" t="str">
        <f t="shared" si="319"/>
        <v>1+0.524515173223615i</v>
      </c>
      <c r="AX374">
        <f t="shared" si="344"/>
        <v>1.129210417478425</v>
      </c>
      <c r="AY374">
        <f t="shared" si="345"/>
        <v>0.48306685574606101</v>
      </c>
      <c r="AZ374" t="str">
        <f t="shared" si="320"/>
        <v>1+10.6764217517452i</v>
      </c>
      <c r="BA374">
        <f t="shared" si="346"/>
        <v>10.723151655233551</v>
      </c>
      <c r="BB374">
        <f t="shared" si="347"/>
        <v>1.4774044597161375</v>
      </c>
      <c r="BC374" s="42" t="str">
        <f t="shared" si="348"/>
        <v>-0.460900720261059+0.299640217817302i</v>
      </c>
      <c r="BD374">
        <f t="shared" si="349"/>
        <v>-5.1968580308232291</v>
      </c>
      <c r="BE374" s="44">
        <f t="shared" si="350"/>
        <v>146.97134811863597</v>
      </c>
      <c r="BF374" s="42" t="str">
        <f t="shared" si="351"/>
        <v>0.256987596934171+0.147511005114902i</v>
      </c>
      <c r="BG374" s="20">
        <f t="shared" si="352"/>
        <v>-10.56494989885257</v>
      </c>
      <c r="BH374" s="44">
        <f t="shared" si="353"/>
        <v>29.85584480698558</v>
      </c>
      <c r="BI374" s="42" t="str">
        <f t="shared" si="357"/>
        <v>0.83426320167742+1.33233511967034i</v>
      </c>
      <c r="BJ374" s="20">
        <f t="shared" si="354"/>
        <v>3.9289242279885004</v>
      </c>
      <c r="BK374" s="44">
        <f t="shared" si="358"/>
        <v>57.946593367668363</v>
      </c>
      <c r="BL374">
        <f t="shared" si="355"/>
        <v>-10.56494989885257</v>
      </c>
      <c r="BM374" s="44">
        <f t="shared" si="356"/>
        <v>29.85584480698558</v>
      </c>
    </row>
    <row r="375" spans="14:65" x14ac:dyDescent="0.35">
      <c r="N375" s="9">
        <v>57</v>
      </c>
      <c r="O375" s="35">
        <f t="shared" si="308"/>
        <v>37153.522909717351</v>
      </c>
      <c r="P375" s="34" t="str">
        <f t="shared" si="309"/>
        <v>16.3709677419355</v>
      </c>
      <c r="Q375" s="4" t="str">
        <f t="shared" si="310"/>
        <v>1+34.3386341873777i</v>
      </c>
      <c r="R375" s="4">
        <f t="shared" si="321"/>
        <v>34.353191960202835</v>
      </c>
      <c r="S375" s="4">
        <f t="shared" si="322"/>
        <v>1.5416828376901939</v>
      </c>
      <c r="T375" s="4" t="str">
        <f t="shared" si="311"/>
        <v>1+0.0373507950810074i</v>
      </c>
      <c r="U375" s="4">
        <f t="shared" si="323"/>
        <v>1.0006972978344568</v>
      </c>
      <c r="V375" s="4">
        <f t="shared" si="324"/>
        <v>3.7333440466053892E-2</v>
      </c>
      <c r="W375" t="str">
        <f t="shared" si="312"/>
        <v>1-0.48879994583053i</v>
      </c>
      <c r="X375" s="4">
        <f t="shared" si="325"/>
        <v>1.1130702525195473</v>
      </c>
      <c r="Y375" s="4">
        <f t="shared" si="326"/>
        <v>-0.45464748685203416</v>
      </c>
      <c r="Z375" t="str">
        <f t="shared" si="313"/>
        <v>0.99880550847844+0.0962638024240774i</v>
      </c>
      <c r="AA375" s="4">
        <f t="shared" si="327"/>
        <v>1.0034336866101401</v>
      </c>
      <c r="AB375" s="4">
        <f t="shared" si="328"/>
        <v>9.6082160476297487E-2</v>
      </c>
      <c r="AC375" s="48" t="str">
        <f t="shared" si="329"/>
        <v>-0.246281790154425-0.468157118424718i</v>
      </c>
      <c r="AD375" s="20">
        <f t="shared" si="330"/>
        <v>-5.5311223401156262</v>
      </c>
      <c r="AE375" s="44">
        <f t="shared" si="331"/>
        <v>-117.74735581863432</v>
      </c>
      <c r="AF375" t="str">
        <f t="shared" si="332"/>
        <v>45.9520231294187</v>
      </c>
      <c r="AG375" t="str">
        <f t="shared" si="314"/>
        <v>1+16.4782919475032i</v>
      </c>
      <c r="AH375">
        <f t="shared" si="333"/>
        <v>16.508607012923555</v>
      </c>
      <c r="AI375">
        <f t="shared" si="334"/>
        <v>1.5101847588142432</v>
      </c>
      <c r="AJ375" t="str">
        <f t="shared" si="315"/>
        <v>1+0.0373507950810074i</v>
      </c>
      <c r="AK375">
        <f t="shared" si="335"/>
        <v>1.0006972978344568</v>
      </c>
      <c r="AL375">
        <f t="shared" si="336"/>
        <v>3.7333440466053892E-2</v>
      </c>
      <c r="AM375" t="str">
        <f t="shared" si="316"/>
        <v>1-0.0835659746130977i</v>
      </c>
      <c r="AN375">
        <f t="shared" si="337"/>
        <v>1.0034855614870783</v>
      </c>
      <c r="AO375">
        <f t="shared" si="338"/>
        <v>-8.3372264293392534E-2</v>
      </c>
      <c r="AP375" s="42" t="str">
        <f t="shared" si="339"/>
        <v>0.0407318402097966-2.79487215332493i</v>
      </c>
      <c r="AQ375">
        <f t="shared" si="340"/>
        <v>8.9281612538481721</v>
      </c>
      <c r="AR375" s="44">
        <f t="shared" si="341"/>
        <v>-89.165043264091111</v>
      </c>
      <c r="AS375" t="str">
        <f t="shared" si="317"/>
        <v>-0.000166666666666667</v>
      </c>
      <c r="AT375" t="str">
        <f t="shared" si="318"/>
        <v>0.00294604396201446i</v>
      </c>
      <c r="AU375">
        <f t="shared" si="342"/>
        <v>2.94604396201446E-3</v>
      </c>
      <c r="AV375">
        <f t="shared" si="343"/>
        <v>1.5707963267948966</v>
      </c>
      <c r="AW375" t="str">
        <f t="shared" si="319"/>
        <v>1+0.536732701104651i</v>
      </c>
      <c r="AX375">
        <f t="shared" si="344"/>
        <v>1.1349369993242333</v>
      </c>
      <c r="AY375">
        <f t="shared" si="345"/>
        <v>0.49260015633555437</v>
      </c>
      <c r="AZ375" t="str">
        <f t="shared" si="320"/>
        <v>1+10.9251075611946i</v>
      </c>
      <c r="BA375">
        <f t="shared" si="346"/>
        <v>10.970778241477284</v>
      </c>
      <c r="BB375">
        <f t="shared" si="347"/>
        <v>1.4795183938090108</v>
      </c>
      <c r="BC375" s="42" t="str">
        <f t="shared" si="348"/>
        <v>-0.456261296417128+0.301463399312396i</v>
      </c>
      <c r="BD375">
        <f t="shared" si="349"/>
        <v>-5.2424958306100926</v>
      </c>
      <c r="BE375" s="44">
        <f t="shared" si="350"/>
        <v>146.54624973171894</v>
      </c>
      <c r="BF375" s="42" t="str">
        <f t="shared" si="351"/>
        <v>0.2535010851924+0.139357028130674i</v>
      </c>
      <c r="BG375" s="20">
        <f t="shared" si="352"/>
        <v>-10.773618170725722</v>
      </c>
      <c r="BH375" s="44">
        <f t="shared" si="353"/>
        <v>28.798893913084733</v>
      </c>
      <c r="BI375" s="42" t="str">
        <f t="shared" si="357"/>
        <v>0.823967297765312+1.28747115100606i</v>
      </c>
      <c r="BJ375" s="20">
        <f t="shared" si="354"/>
        <v>3.6856654232380928</v>
      </c>
      <c r="BK375" s="44">
        <f t="shared" si="358"/>
        <v>57.381206467627898</v>
      </c>
      <c r="BL375">
        <f t="shared" si="355"/>
        <v>-10.773618170725722</v>
      </c>
      <c r="BM375" s="44">
        <f t="shared" si="356"/>
        <v>28.798893913084733</v>
      </c>
    </row>
    <row r="376" spans="14:65" x14ac:dyDescent="0.35">
      <c r="N376" s="9">
        <v>58</v>
      </c>
      <c r="O376" s="35">
        <f t="shared" si="308"/>
        <v>38018.939632056143</v>
      </c>
      <c r="P376" s="34" t="str">
        <f t="shared" si="309"/>
        <v>16.3709677419355</v>
      </c>
      <c r="Q376" s="4" t="str">
        <f t="shared" si="310"/>
        <v>1+35.1384837284359i</v>
      </c>
      <c r="R376" s="4">
        <f t="shared" si="321"/>
        <v>35.152710261565247</v>
      </c>
      <c r="S376" s="4">
        <f t="shared" si="322"/>
        <v>1.5423451798820857</v>
      </c>
      <c r="T376" s="4" t="str">
        <f t="shared" si="311"/>
        <v>1+0.0382208068625093i</v>
      </c>
      <c r="U376" s="4">
        <f t="shared" si="323"/>
        <v>1.0007301484802089</v>
      </c>
      <c r="V376" s="4">
        <f t="shared" si="324"/>
        <v>3.8202211790254618E-2</v>
      </c>
      <c r="W376" t="str">
        <f t="shared" si="312"/>
        <v>1-0.500185559195593i</v>
      </c>
      <c r="X376" s="4">
        <f t="shared" si="325"/>
        <v>1.1181169856628634</v>
      </c>
      <c r="Y376" s="4">
        <f t="shared" si="326"/>
        <v>-0.46379604533869928</v>
      </c>
      <c r="Z376" t="str">
        <f t="shared" si="313"/>
        <v>0.99874921382737+0.0985060744308574i</v>
      </c>
      <c r="AA376" s="4">
        <f t="shared" si="327"/>
        <v>1.0035952564757205</v>
      </c>
      <c r="AB376" s="4">
        <f t="shared" si="328"/>
        <v>9.8311477839159458E-2</v>
      </c>
      <c r="AC376" s="48" t="str">
        <f t="shared" si="329"/>
        <v>-0.246858959402448-0.456795547979801i</v>
      </c>
      <c r="AD376" s="20">
        <f t="shared" si="330"/>
        <v>-5.6927766602918801</v>
      </c>
      <c r="AE376" s="44">
        <f t="shared" si="331"/>
        <v>-118.38743256658618</v>
      </c>
      <c r="AF376" t="str">
        <f t="shared" si="332"/>
        <v>45.9520231294187</v>
      </c>
      <c r="AG376" t="str">
        <f t="shared" si="314"/>
        <v>1+16.8621206746364i</v>
      </c>
      <c r="AH376">
        <f t="shared" si="333"/>
        <v>16.891746909245366</v>
      </c>
      <c r="AI376">
        <f t="shared" si="334"/>
        <v>1.5115611840228065</v>
      </c>
      <c r="AJ376" t="str">
        <f t="shared" si="315"/>
        <v>1+0.0382208068625093i</v>
      </c>
      <c r="AK376">
        <f t="shared" si="335"/>
        <v>1.0007301484802089</v>
      </c>
      <c r="AL376">
        <f t="shared" si="336"/>
        <v>3.8202211790254618E-2</v>
      </c>
      <c r="AM376" t="str">
        <f t="shared" si="316"/>
        <v>1-0.0855124762146942i</v>
      </c>
      <c r="AN376">
        <f t="shared" si="337"/>
        <v>1.0036495322513574</v>
      </c>
      <c r="AO376">
        <f t="shared" si="338"/>
        <v>-8.5304952609388696E-2</v>
      </c>
      <c r="AP376" s="42" t="str">
        <f t="shared" si="339"/>
        <v>0.0331486065765841-2.73210368819083i</v>
      </c>
      <c r="AQ376">
        <f t="shared" si="340"/>
        <v>8.7305828276101387</v>
      </c>
      <c r="AR376" s="44">
        <f t="shared" si="341"/>
        <v>-89.304864572739348</v>
      </c>
      <c r="AS376" t="str">
        <f t="shared" si="317"/>
        <v>-0.000166666666666667</v>
      </c>
      <c r="AT376" t="str">
        <f t="shared" si="318"/>
        <v>0.00301466614128042i</v>
      </c>
      <c r="AU376">
        <f t="shared" si="342"/>
        <v>3.0146661412804201E-3</v>
      </c>
      <c r="AV376">
        <f t="shared" si="343"/>
        <v>1.5707963267948966</v>
      </c>
      <c r="AW376" t="str">
        <f t="shared" si="319"/>
        <v>1+0.549234811768309i</v>
      </c>
      <c r="AX376">
        <f t="shared" si="344"/>
        <v>1.1409026595017517</v>
      </c>
      <c r="AY376">
        <f t="shared" si="345"/>
        <v>0.50225554454392585</v>
      </c>
      <c r="AZ376" t="str">
        <f t="shared" si="320"/>
        <v>1+11.1795860072839i</v>
      </c>
      <c r="BA376">
        <f t="shared" si="346"/>
        <v>11.224221277855227</v>
      </c>
      <c r="BB376">
        <f t="shared" si="347"/>
        <v>1.4815849996707799</v>
      </c>
      <c r="BC376" s="42" t="str">
        <f t="shared" si="348"/>
        <v>-0.451502286417878+0.303266054932161i</v>
      </c>
      <c r="BD376">
        <f t="shared" si="349"/>
        <v>-5.2896569244187566</v>
      </c>
      <c r="BE376" s="44">
        <f t="shared" si="350"/>
        <v>146.11144453161523</v>
      </c>
      <c r="BF376" s="42" t="str">
        <f t="shared" si="351"/>
        <v>0.249987968339352+0.131380291595749i</v>
      </c>
      <c r="BG376" s="20">
        <f t="shared" si="352"/>
        <v>-10.982433584710643</v>
      </c>
      <c r="BH376" s="44">
        <f t="shared" si="353"/>
        <v>27.724011965029153</v>
      </c>
      <c r="BI376" s="42" t="str">
        <f t="shared" si="357"/>
        <v>0.813587635522346+1.24360390909186i</v>
      </c>
      <c r="BJ376" s="20">
        <f t="shared" si="354"/>
        <v>3.4409259031914052</v>
      </c>
      <c r="BK376" s="44">
        <f t="shared" si="358"/>
        <v>56.806579958875986</v>
      </c>
      <c r="BL376">
        <f t="shared" si="355"/>
        <v>-10.982433584710643</v>
      </c>
      <c r="BM376" s="44">
        <f t="shared" si="356"/>
        <v>27.724011965029153</v>
      </c>
    </row>
    <row r="377" spans="14:65" x14ac:dyDescent="0.35">
      <c r="N377" s="9">
        <v>59</v>
      </c>
      <c r="O377" s="35">
        <f t="shared" si="308"/>
        <v>38904.514499428085</v>
      </c>
      <c r="P377" s="34" t="str">
        <f t="shared" si="309"/>
        <v>16.3709677419355</v>
      </c>
      <c r="Q377" s="4" t="str">
        <f t="shared" si="310"/>
        <v>1+35.9569641586798i</v>
      </c>
      <c r="R377" s="4">
        <f t="shared" si="321"/>
        <v>35.970866982998672</v>
      </c>
      <c r="S377" s="4">
        <f t="shared" si="322"/>
        <v>1.5429924694536836</v>
      </c>
      <c r="T377" s="4" t="str">
        <f t="shared" si="311"/>
        <v>1+0.0391110838217219i</v>
      </c>
      <c r="U377" s="4">
        <f t="shared" si="323"/>
        <v>1.0007645461734291</v>
      </c>
      <c r="V377" s="4">
        <f t="shared" si="324"/>
        <v>3.909115966484604E-2</v>
      </c>
      <c r="W377" t="str">
        <f t="shared" si="312"/>
        <v>1-0.511836377564881i</v>
      </c>
      <c r="X377" s="4">
        <f t="shared" si="325"/>
        <v>1.123377264056354</v>
      </c>
      <c r="Y377" s="4">
        <f t="shared" si="326"/>
        <v>-0.47307181134952392</v>
      </c>
      <c r="Z377" t="str">
        <f t="shared" si="313"/>
        <v>0.998690266091131+0.100800575662183i</v>
      </c>
      <c r="AA377" s="4">
        <f t="shared" si="327"/>
        <v>1.0037644164040691</v>
      </c>
      <c r="AB377" s="4">
        <f t="shared" si="328"/>
        <v>0.10059210232550758</v>
      </c>
      <c r="AC377" s="48" t="str">
        <f t="shared" si="329"/>
        <v>-0.247405015811911-0.445674991332634i</v>
      </c>
      <c r="AD377" s="20">
        <f t="shared" si="330"/>
        <v>-5.8530161447385076</v>
      </c>
      <c r="AE377" s="44">
        <f t="shared" si="331"/>
        <v>-119.03571896763353</v>
      </c>
      <c r="AF377" t="str">
        <f t="shared" si="332"/>
        <v>45.9520231294187</v>
      </c>
      <c r="AG377" t="str">
        <f t="shared" si="314"/>
        <v>1+17.2548899213479i</v>
      </c>
      <c r="AH377">
        <f t="shared" si="333"/>
        <v>17.283842923315213</v>
      </c>
      <c r="AI377">
        <f t="shared" si="334"/>
        <v>1.5129064951376334</v>
      </c>
      <c r="AJ377" t="str">
        <f t="shared" si="315"/>
        <v>1+0.0391110838217219i</v>
      </c>
      <c r="AK377">
        <f t="shared" si="335"/>
        <v>1.0007645461734291</v>
      </c>
      <c r="AL377">
        <f t="shared" si="336"/>
        <v>3.909115966484604E-2</v>
      </c>
      <c r="AM377" t="str">
        <f t="shared" si="316"/>
        <v>1-0.0875043176630713i</v>
      </c>
      <c r="AN377">
        <f t="shared" si="337"/>
        <v>1.00382120201243</v>
      </c>
      <c r="AO377">
        <f t="shared" si="338"/>
        <v>-8.7281997804988798E-2</v>
      </c>
      <c r="AP377" s="42" t="str">
        <f t="shared" si="339"/>
        <v>0.0259043358254569-2.67074346393895i</v>
      </c>
      <c r="AQ377">
        <f t="shared" si="340"/>
        <v>8.5330520338166842</v>
      </c>
      <c r="AR377" s="44">
        <f t="shared" si="341"/>
        <v>-89.444288605944251</v>
      </c>
      <c r="AS377" t="str">
        <f t="shared" si="317"/>
        <v>-0.000166666666666667</v>
      </c>
      <c r="AT377" t="str">
        <f t="shared" si="318"/>
        <v>0.00308488673643831i</v>
      </c>
      <c r="AU377">
        <f t="shared" si="342"/>
        <v>3.0848867364383099E-3</v>
      </c>
      <c r="AV377">
        <f t="shared" si="343"/>
        <v>1.5707963267948966</v>
      </c>
      <c r="AW377" t="str">
        <f t="shared" si="319"/>
        <v>1+0.56202813399915i</v>
      </c>
      <c r="AX377">
        <f t="shared" si="344"/>
        <v>1.1471162205315408</v>
      </c>
      <c r="AY377">
        <f t="shared" si="345"/>
        <v>0.51203093790072274</v>
      </c>
      <c r="AZ377" t="str">
        <f t="shared" si="320"/>
        <v>1+11.4399920178536i</v>
      </c>
      <c r="BA377">
        <f t="shared" si="346"/>
        <v>11.483615169821482</v>
      </c>
      <c r="BB377">
        <f t="shared" si="347"/>
        <v>1.4836053023946998</v>
      </c>
      <c r="BC377" s="42" t="str">
        <f t="shared" si="348"/>
        <v>-0.446624247235876+0.305042227260897i</v>
      </c>
      <c r="BD377">
        <f t="shared" si="349"/>
        <v>-5.3383852834956382</v>
      </c>
      <c r="BE377" s="44">
        <f t="shared" si="350"/>
        <v>145.66711056861013</v>
      </c>
      <c r="BF377" s="42" t="str">
        <f t="shared" si="351"/>
        <v>0.246446770939962+0.12358028045701i</v>
      </c>
      <c r="BG377" s="20">
        <f t="shared" si="352"/>
        <v>-11.191401428234162</v>
      </c>
      <c r="BH377" s="44">
        <f t="shared" si="353"/>
        <v>26.631391600976542</v>
      </c>
      <c r="BI377" s="42" t="str">
        <f t="shared" si="357"/>
        <v>0.80312003019423+1.20072070543778i</v>
      </c>
      <c r="BJ377" s="20">
        <f t="shared" si="354"/>
        <v>3.1946667503210389</v>
      </c>
      <c r="BK377" s="44">
        <f t="shared" si="358"/>
        <v>56.222821962665861</v>
      </c>
      <c r="BL377">
        <f t="shared" si="355"/>
        <v>-11.191401428234162</v>
      </c>
      <c r="BM377" s="44">
        <f t="shared" si="356"/>
        <v>26.631391600976542</v>
      </c>
    </row>
    <row r="378" spans="14:65" x14ac:dyDescent="0.35">
      <c r="N378" s="9">
        <v>60</v>
      </c>
      <c r="O378" s="35">
        <f t="shared" si="308"/>
        <v>39810.717055349742</v>
      </c>
      <c r="P378" s="34" t="str">
        <f t="shared" si="309"/>
        <v>16.3709677419355</v>
      </c>
      <c r="Q378" s="4" t="str">
        <f t="shared" si="310"/>
        <v>1+36.7945094472672i</v>
      </c>
      <c r="R378" s="4">
        <f t="shared" si="321"/>
        <v>36.8080959228406</v>
      </c>
      <c r="S378" s="4">
        <f t="shared" si="322"/>
        <v>1.5436250474356137</v>
      </c>
      <c r="T378" s="4" t="str">
        <f t="shared" si="311"/>
        <v>1+0.0400220979952731i</v>
      </c>
      <c r="U378" s="4">
        <f t="shared" si="323"/>
        <v>1.0008005637128425</v>
      </c>
      <c r="V378" s="4">
        <f t="shared" si="324"/>
        <v>4.0000749798777137E-2</v>
      </c>
      <c r="W378" t="str">
        <f t="shared" si="312"/>
        <v>1-0.523758578356508i</v>
      </c>
      <c r="X378" s="4">
        <f t="shared" si="325"/>
        <v>1.1288591800583589</v>
      </c>
      <c r="Y378" s="4">
        <f t="shared" si="326"/>
        <v>-0.48247331741528743</v>
      </c>
      <c r="Z378" t="str">
        <f t="shared" si="313"/>
        <v>0.998628540233673+0.103148522692977i</v>
      </c>
      <c r="AA378" s="4">
        <f t="shared" si="327"/>
        <v>1.003941521754619</v>
      </c>
      <c r="AB378" s="4">
        <f t="shared" si="328"/>
        <v>0.1029251850966303</v>
      </c>
      <c r="AC378" s="48" t="str">
        <f t="shared" si="329"/>
        <v>-0.247921116788295-0.434789691202754i</v>
      </c>
      <c r="AD378" s="20">
        <f t="shared" si="330"/>
        <v>-6.0118021074935948</v>
      </c>
      <c r="AE378" s="44">
        <f t="shared" si="331"/>
        <v>-119.69218975512491</v>
      </c>
      <c r="AF378" t="str">
        <f t="shared" si="332"/>
        <v>45.9520231294187</v>
      </c>
      <c r="AG378" t="str">
        <f t="shared" si="314"/>
        <v>1+17.656807939091i</v>
      </c>
      <c r="AH378">
        <f t="shared" si="333"/>
        <v>17.685102956950715</v>
      </c>
      <c r="AI378">
        <f t="shared" si="334"/>
        <v>1.5142213859708495</v>
      </c>
      <c r="AJ378" t="str">
        <f t="shared" si="315"/>
        <v>1+0.0400220979952731i</v>
      </c>
      <c r="AK378">
        <f t="shared" si="335"/>
        <v>1.0008005637128425</v>
      </c>
      <c r="AL378">
        <f t="shared" si="336"/>
        <v>4.0000749798777137E-2</v>
      </c>
      <c r="AM378" t="str">
        <f t="shared" si="316"/>
        <v>1-0.0895425550589297i</v>
      </c>
      <c r="AN378">
        <f t="shared" si="337"/>
        <v>1.00400093085937</v>
      </c>
      <c r="AO378">
        <f t="shared" si="338"/>
        <v>-8.9304386279882783E-2</v>
      </c>
      <c r="AP378" s="42" t="str">
        <f t="shared" si="339"/>
        <v>0.0189839768969882-2.61076162235879i</v>
      </c>
      <c r="AQ378">
        <f t="shared" si="340"/>
        <v>8.3355740223084211</v>
      </c>
      <c r="AR378" s="44">
        <f t="shared" si="341"/>
        <v>-89.583384949594304</v>
      </c>
      <c r="AS378" t="str">
        <f t="shared" si="317"/>
        <v>-0.000166666666666667</v>
      </c>
      <c r="AT378" t="str">
        <f t="shared" si="318"/>
        <v>0.00315674297937717i</v>
      </c>
      <c r="AU378">
        <f t="shared" si="342"/>
        <v>3.1567429793771702E-3</v>
      </c>
      <c r="AV378">
        <f t="shared" si="343"/>
        <v>1.5707963267948966</v>
      </c>
      <c r="AW378" t="str">
        <f t="shared" si="319"/>
        <v>1+0.575119450985958i</v>
      </c>
      <c r="AX378">
        <f t="shared" si="344"/>
        <v>1.1535867470209553</v>
      </c>
      <c r="AY378">
        <f t="shared" si="345"/>
        <v>0.52192404576659379</v>
      </c>
      <c r="AZ378" t="str">
        <f t="shared" si="320"/>
        <v>1+11.7064636636174i</v>
      </c>
      <c r="BA378">
        <f t="shared" si="346"/>
        <v>11.749097476299807</v>
      </c>
      <c r="BB378">
        <f t="shared" si="347"/>
        <v>1.4855803071665508</v>
      </c>
      <c r="BC378" s="42" t="str">
        <f t="shared" si="348"/>
        <v>-0.441628022636333+0.306785899999476i</v>
      </c>
      <c r="BD378">
        <f t="shared" si="349"/>
        <v>-5.3887244944873389</v>
      </c>
      <c r="BE378" s="44">
        <f t="shared" si="350"/>
        <v>145.21343667957299</v>
      </c>
      <c r="BF378" s="42" t="str">
        <f t="shared" si="351"/>
        <v>0.242876259303137+0.115956608645762i</v>
      </c>
      <c r="BG378" s="20">
        <f t="shared" si="352"/>
        <v>-11.400526601980939</v>
      </c>
      <c r="BH378" s="44">
        <f t="shared" si="353"/>
        <v>25.521246924448121</v>
      </c>
      <c r="BI378" s="42" t="str">
        <f t="shared" si="357"/>
        <v>0.792560997820643+1.15880950929505i</v>
      </c>
      <c r="BJ378" s="20">
        <f t="shared" si="354"/>
        <v>2.9468495278210889</v>
      </c>
      <c r="BK378" s="44">
        <f t="shared" si="358"/>
        <v>55.630051729978703</v>
      </c>
      <c r="BL378">
        <f t="shared" si="355"/>
        <v>-11.400526601980939</v>
      </c>
      <c r="BM378" s="44">
        <f t="shared" si="356"/>
        <v>25.521246924448121</v>
      </c>
    </row>
    <row r="379" spans="14:65" x14ac:dyDescent="0.35">
      <c r="N379" s="9">
        <v>61</v>
      </c>
      <c r="O379" s="35">
        <f t="shared" si="308"/>
        <v>40738.027780411358</v>
      </c>
      <c r="P379" s="34" t="str">
        <f t="shared" si="309"/>
        <v>16.3709677419355</v>
      </c>
      <c r="Q379" s="4" t="str">
        <f t="shared" si="310"/>
        <v>1+37.6515636717966i</v>
      </c>
      <c r="R379" s="4">
        <f t="shared" si="321"/>
        <v>37.664840991717377</v>
      </c>
      <c r="S379" s="4">
        <f t="shared" si="322"/>
        <v>1.5442432472029024</v>
      </c>
      <c r="T379" s="4" t="str">
        <f t="shared" si="311"/>
        <v>1+0.0409543324149366i</v>
      </c>
      <c r="U379" s="4">
        <f t="shared" si="323"/>
        <v>1.0008382773173461</v>
      </c>
      <c r="V379" s="4">
        <f t="shared" si="324"/>
        <v>4.0931458444917308E-2</v>
      </c>
      <c r="W379" t="str">
        <f t="shared" si="312"/>
        <v>1-0.535958482879145i</v>
      </c>
      <c r="X379" s="4">
        <f t="shared" si="325"/>
        <v>1.1345710622830616</v>
      </c>
      <c r="Y379" s="4">
        <f t="shared" si="326"/>
        <v>-0.49199889959262999</v>
      </c>
      <c r="Z379" t="str">
        <f t="shared" si="313"/>
        <v>0.998563905326176+0.105551160435836i</v>
      </c>
      <c r="AA379" s="4">
        <f t="shared" si="327"/>
        <v>1.0041269444097276</v>
      </c>
      <c r="AB379" s="4">
        <f t="shared" si="328"/>
        <v>0.10531190103779721</v>
      </c>
      <c r="AC379" s="48" t="str">
        <f t="shared" si="329"/>
        <v>-0.248408357230862-0.42413400999539i</v>
      </c>
      <c r="AD379" s="20">
        <f t="shared" si="330"/>
        <v>-6.169095946250879</v>
      </c>
      <c r="AE379" s="44">
        <f t="shared" si="331"/>
        <v>-120.35680872179853</v>
      </c>
      <c r="AF379" t="str">
        <f t="shared" si="332"/>
        <v>45.9520231294187</v>
      </c>
      <c r="AG379" t="str">
        <f t="shared" si="314"/>
        <v>1+18.0680878301191i</v>
      </c>
      <c r="AH379">
        <f t="shared" si="333"/>
        <v>18.095739770368546</v>
      </c>
      <c r="AI379">
        <f t="shared" si="334"/>
        <v>1.5155065354977726</v>
      </c>
      <c r="AJ379" t="str">
        <f t="shared" si="315"/>
        <v>1+0.0409543324149366i</v>
      </c>
      <c r="AK379">
        <f t="shared" si="335"/>
        <v>1.0008382773173461</v>
      </c>
      <c r="AL379">
        <f t="shared" si="336"/>
        <v>4.0931458444917308E-2</v>
      </c>
      <c r="AM379" t="str">
        <f t="shared" si="316"/>
        <v>1-0.0916282691027164i</v>
      </c>
      <c r="AN379">
        <f t="shared" si="337"/>
        <v>1.0041890955884551</v>
      </c>
      <c r="AO379">
        <f t="shared" si="338"/>
        <v>-9.1373124121104599E-2</v>
      </c>
      <c r="AP379" s="42" t="str">
        <f t="shared" si="339"/>
        <v>0.0123731382521274-2.5521288594092i</v>
      </c>
      <c r="AQ379">
        <f t="shared" si="340"/>
        <v>8.1381540492425266</v>
      </c>
      <c r="AR379" s="44">
        <f t="shared" si="341"/>
        <v>-89.722222863371101</v>
      </c>
      <c r="AS379" t="str">
        <f t="shared" si="317"/>
        <v>-0.000166666666666667</v>
      </c>
      <c r="AT379" t="str">
        <f t="shared" si="318"/>
        <v>0.00323027296922813i</v>
      </c>
      <c r="AU379">
        <f t="shared" si="342"/>
        <v>3.2302729692281298E-3</v>
      </c>
      <c r="AV379">
        <f t="shared" si="343"/>
        <v>1.5707963267948966</v>
      </c>
      <c r="AW379" t="str">
        <f t="shared" si="319"/>
        <v>1+0.588515703918286i</v>
      </c>
      <c r="AX379">
        <f t="shared" si="344"/>
        <v>1.1603235470154158</v>
      </c>
      <c r="AY379">
        <f t="shared" si="345"/>
        <v>0.53193236674889677</v>
      </c>
      <c r="AZ379" t="str">
        <f t="shared" si="320"/>
        <v>1+11.979142231369i</v>
      </c>
      <c r="BA379">
        <f t="shared" si="346"/>
        <v>12.020808982733577</v>
      </c>
      <c r="BB379">
        <f t="shared" si="347"/>
        <v>1.4875109994954792</v>
      </c>
      <c r="BC379" s="42" t="str">
        <f t="shared" si="348"/>
        <v>-0.436514754308773+0.308491014762626i</v>
      </c>
      <c r="BD379">
        <f t="shared" si="349"/>
        <v>-5.4407176661093137</v>
      </c>
      <c r="BE379" s="44">
        <f t="shared" si="350"/>
        <v>144.75062264926086</v>
      </c>
      <c r="BF379" s="42" t="str">
        <f t="shared" si="351"/>
        <v>0.239275444163695+0.108509006969467i</v>
      </c>
      <c r="BG379" s="20">
        <f t="shared" si="352"/>
        <v>-11.609813612360199</v>
      </c>
      <c r="BH379" s="44">
        <f t="shared" si="353"/>
        <v>24.393813927462411</v>
      </c>
      <c r="BI379" s="42" t="str">
        <f t="shared" si="357"/>
        <v>0.781907764239972+1.11785890400453i</v>
      </c>
      <c r="BJ379" s="20">
        <f t="shared" si="354"/>
        <v>2.6974363831331982</v>
      </c>
      <c r="BK379" s="44">
        <f t="shared" si="358"/>
        <v>55.028399785889704</v>
      </c>
      <c r="BL379">
        <f t="shared" si="355"/>
        <v>-11.609813612360199</v>
      </c>
      <c r="BM379" s="44">
        <f t="shared" si="356"/>
        <v>24.393813927462411</v>
      </c>
    </row>
    <row r="380" spans="14:65" x14ac:dyDescent="0.35">
      <c r="N380" s="9">
        <v>62</v>
      </c>
      <c r="O380" s="35">
        <f t="shared" si="308"/>
        <v>41686.938347033625</v>
      </c>
      <c r="P380" s="34" t="str">
        <f t="shared" si="309"/>
        <v>16.3709677419355</v>
      </c>
      <c r="Q380" s="4" t="str">
        <f t="shared" si="310"/>
        <v>1+38.5285812537621i</v>
      </c>
      <c r="R380" s="4">
        <f t="shared" si="321"/>
        <v>38.54155644791409</v>
      </c>
      <c r="S380" s="4">
        <f t="shared" si="322"/>
        <v>1.5448473946421033</v>
      </c>
      <c r="T380" s="4" t="str">
        <f t="shared" si="311"/>
        <v>1+0.0419082813637413i</v>
      </c>
      <c r="U380" s="4">
        <f t="shared" si="323"/>
        <v>1.0008777667861657</v>
      </c>
      <c r="V380" s="4">
        <f t="shared" si="324"/>
        <v>4.1883772624055786E-2</v>
      </c>
      <c r="W380" t="str">
        <f t="shared" si="312"/>
        <v>1-0.548442559683655i</v>
      </c>
      <c r="X380" s="4">
        <f t="shared" si="325"/>
        <v>1.1405214777777573</v>
      </c>
      <c r="Y380" s="4">
        <f t="shared" si="326"/>
        <v>-0.5016466930768565</v>
      </c>
      <c r="Z380" t="str">
        <f t="shared" si="313"/>
        <v>0.998496224269335+0.108009762801093i</v>
      </c>
      <c r="AA380" s="4">
        <f t="shared" si="327"/>
        <v>1.0043210735319987</v>
      </c>
      <c r="AB380" s="4">
        <f t="shared" si="328"/>
        <v>0.10775344909614401</v>
      </c>
      <c r="AC380" s="48" t="str">
        <f t="shared" si="329"/>
        <v>-0.248867771854997-0.413702427438176i</v>
      </c>
      <c r="AD380" s="20">
        <f t="shared" si="330"/>
        <v>-6.3248592330479623</v>
      </c>
      <c r="AE380" s="44">
        <f t="shared" si="331"/>
        <v>-121.02952848451488</v>
      </c>
      <c r="AF380" t="str">
        <f t="shared" si="332"/>
        <v>45.9520231294187</v>
      </c>
      <c r="AG380" t="str">
        <f t="shared" si="314"/>
        <v>1+18.4889476604741i</v>
      </c>
      <c r="AH380">
        <f t="shared" si="333"/>
        <v>18.515971095023637</v>
      </c>
      <c r="AI380">
        <f t="shared" si="334"/>
        <v>1.5167626081315579</v>
      </c>
      <c r="AJ380" t="str">
        <f t="shared" si="315"/>
        <v>1+0.0419082813637413i</v>
      </c>
      <c r="AK380">
        <f t="shared" si="335"/>
        <v>1.0008777667861657</v>
      </c>
      <c r="AL380">
        <f t="shared" si="336"/>
        <v>4.1883772624055786E-2</v>
      </c>
      <c r="AM380" t="str">
        <f t="shared" si="316"/>
        <v>1-0.093762565667625i</v>
      </c>
      <c r="AN380">
        <f t="shared" si="337"/>
        <v>1.0043860904655022</v>
      </c>
      <c r="AO380">
        <f t="shared" si="338"/>
        <v>-9.3489237333440778E-2</v>
      </c>
      <c r="AP380" s="42" t="str">
        <f t="shared" si="339"/>
        <v>0.00605805974627821-2.49481642126448i</v>
      </c>
      <c r="AQ380">
        <f t="shared" si="340"/>
        <v>7.940797487468342</v>
      </c>
      <c r="AR380" s="44">
        <f t="shared" si="341"/>
        <v>-89.860871296852494</v>
      </c>
      <c r="AS380" t="str">
        <f t="shared" si="317"/>
        <v>-0.000166666666666667</v>
      </c>
      <c r="AT380" t="str">
        <f t="shared" si="318"/>
        <v>0.00330551569256509i</v>
      </c>
      <c r="AU380">
        <f t="shared" si="342"/>
        <v>3.3055156925650901E-3</v>
      </c>
      <c r="AV380">
        <f t="shared" si="343"/>
        <v>1.5707963267948966</v>
      </c>
      <c r="AW380" t="str">
        <f t="shared" si="319"/>
        <v>1+0.602223995666758i</v>
      </c>
      <c r="AX380">
        <f t="shared" si="344"/>
        <v>1.1673361730696241</v>
      </c>
      <c r="AY380">
        <f t="shared" si="345"/>
        <v>0.54205318681552195</v>
      </c>
      <c r="AZ380" t="str">
        <f t="shared" si="320"/>
        <v>1+12.2581722988943i</v>
      </c>
      <c r="BA380">
        <f t="shared" si="346"/>
        <v>12.298893775839337</v>
      </c>
      <c r="BB380">
        <f t="shared" si="347"/>
        <v>1.4893983454537401</v>
      </c>
      <c r="BC380" s="42" t="str">
        <f t="shared" si="348"/>
        <v>-0.431285891916673+0.310151489215894i</v>
      </c>
      <c r="BD380">
        <f t="shared" si="349"/>
        <v>-5.4944073319623321</v>
      </c>
      <c r="BE380" s="44">
        <f t="shared" si="350"/>
        <v>144.27887933212145</v>
      </c>
      <c r="BF380" s="42" t="str">
        <f t="shared" si="351"/>
        <v>0.235643582915978+0.101237310347098i</v>
      </c>
      <c r="BG380" s="20">
        <f t="shared" si="352"/>
        <v>-11.819266565010293</v>
      </c>
      <c r="BH380" s="44">
        <f t="shared" si="353"/>
        <v>23.249350847606607</v>
      </c>
      <c r="BI380" s="42" t="str">
        <f t="shared" si="357"/>
        <v>0.771158272674488+1.07785804166548i</v>
      </c>
      <c r="BJ380" s="20">
        <f t="shared" si="354"/>
        <v>2.4463901555060104</v>
      </c>
      <c r="BK380" s="44">
        <f t="shared" si="358"/>
        <v>54.418008035268919</v>
      </c>
      <c r="BL380">
        <f t="shared" si="355"/>
        <v>-11.819266565010293</v>
      </c>
      <c r="BM380" s="44">
        <f t="shared" si="356"/>
        <v>23.249350847606607</v>
      </c>
    </row>
    <row r="381" spans="14:65" x14ac:dyDescent="0.35">
      <c r="N381" s="9">
        <v>63</v>
      </c>
      <c r="O381" s="35">
        <f t="shared" si="308"/>
        <v>42657.951880159271</v>
      </c>
      <c r="P381" s="34" t="str">
        <f t="shared" si="309"/>
        <v>16.3709677419355</v>
      </c>
      <c r="Q381" s="4" t="str">
        <f t="shared" si="310"/>
        <v>1+39.4260271994944i</v>
      </c>
      <c r="R381" s="4">
        <f t="shared" si="321"/>
        <v>39.438707138232509</v>
      </c>
      <c r="S381" s="4">
        <f t="shared" si="322"/>
        <v>1.5454378083150928</v>
      </c>
      <c r="T381" s="4" t="str">
        <f t="shared" si="311"/>
        <v>1+0.0428844506380466i</v>
      </c>
      <c r="U381" s="4">
        <f t="shared" si="323"/>
        <v>1.0009191156664594</v>
      </c>
      <c r="V381" s="4">
        <f t="shared" si="324"/>
        <v>4.28581903525901E-2</v>
      </c>
      <c r="W381" t="str">
        <f t="shared" si="312"/>
        <v>1-0.561217427992803i</v>
      </c>
      <c r="X381" s="4">
        <f t="shared" si="325"/>
        <v>1.1467192339377836</v>
      </c>
      <c r="Y381" s="4">
        <f t="shared" si="326"/>
        <v>-0.51141462834660945</v>
      </c>
      <c r="Z381" t="str">
        <f t="shared" si="313"/>
        <v>0.998425353502555+0.110525633372265i</v>
      </c>
      <c r="AA381" s="4">
        <f t="shared" si="327"/>
        <v>1.0045243163552799</v>
      </c>
      <c r="AB381" s="4">
        <f t="shared" si="328"/>
        <v>0.11025105261183428</v>
      </c>
      <c r="AC381" s="48" t="str">
        <f t="shared" si="329"/>
        <v>-0.249300337395357-0.403489538258016i</v>
      </c>
      <c r="AD381" s="20">
        <f t="shared" si="330"/>
        <v>-6.4790538096664356</v>
      </c>
      <c r="AE381" s="44">
        <f t="shared" si="331"/>
        <v>-121.71029027867623</v>
      </c>
      <c r="AF381" t="str">
        <f t="shared" si="332"/>
        <v>45.9520231294187</v>
      </c>
      <c r="AG381" t="str">
        <f t="shared" si="314"/>
        <v>1+18.9196105756087i</v>
      </c>
      <c r="AH381">
        <f t="shared" si="333"/>
        <v>18.946019749084098</v>
      </c>
      <c r="AI381">
        <f t="shared" si="334"/>
        <v>1.5179902539957266</v>
      </c>
      <c r="AJ381" t="str">
        <f t="shared" si="315"/>
        <v>1+0.0428844506380466i</v>
      </c>
      <c r="AK381">
        <f t="shared" si="335"/>
        <v>1.0009191156664594</v>
      </c>
      <c r="AL381">
        <f t="shared" si="336"/>
        <v>4.28581903525901E-2</v>
      </c>
      <c r="AM381" t="str">
        <f t="shared" si="316"/>
        <v>1-0.0959465763859447i</v>
      </c>
      <c r="AN381">
        <f t="shared" si="337"/>
        <v>1.0045923280217623</v>
      </c>
      <c r="AO381">
        <f t="shared" si="338"/>
        <v>-9.565377205973255E-2</v>
      </c>
      <c r="AP381" s="42" t="str">
        <f t="shared" si="339"/>
        <v>0.0000255856343213967-2.43879609990123i</v>
      </c>
      <c r="AQ381">
        <f t="shared" si="340"/>
        <v>7.7435098370973545</v>
      </c>
      <c r="AR381" s="44">
        <f t="shared" si="341"/>
        <v>-89.999398904704336</v>
      </c>
      <c r="AS381" t="str">
        <f t="shared" si="317"/>
        <v>-0.000166666666666667</v>
      </c>
      <c r="AT381" t="str">
        <f t="shared" si="318"/>
        <v>0.00338251104407592i</v>
      </c>
      <c r="AU381">
        <f t="shared" si="342"/>
        <v>3.3825110440759199E-3</v>
      </c>
      <c r="AV381">
        <f t="shared" si="343"/>
        <v>1.5707963267948966</v>
      </c>
      <c r="AW381" t="str">
        <f t="shared" si="319"/>
        <v>1+0.616251594549108i</v>
      </c>
      <c r="AX381">
        <f t="shared" si="344"/>
        <v>1.1746344230373629</v>
      </c>
      <c r="AY381">
        <f t="shared" si="345"/>
        <v>0.55228357815795648</v>
      </c>
      <c r="AZ381" t="str">
        <f t="shared" si="320"/>
        <v>1+12.5437018116286i</v>
      </c>
      <c r="BA381">
        <f t="shared" si="346"/>
        <v>12.58349932010387</v>
      </c>
      <c r="BB381">
        <f t="shared" si="347"/>
        <v>1.4912432919242644</v>
      </c>
      <c r="BC381" s="42" t="str">
        <f t="shared" si="348"/>
        <v>-0.425943201909206+0.311761236489181i</v>
      </c>
      <c r="BD381">
        <f t="shared" si="349"/>
        <v>-5.5498353498996158</v>
      </c>
      <c r="BE381" s="44">
        <f t="shared" si="350"/>
        <v>143.7984287316213</v>
      </c>
      <c r="BF381" s="42" t="str">
        <f t="shared" si="351"/>
        <v>0.231980181304992+0.0941414444189399i</v>
      </c>
      <c r="BG381" s="20">
        <f t="shared" si="352"/>
        <v>-12.028889159566036</v>
      </c>
      <c r="BH381" s="44">
        <f t="shared" si="353"/>
        <v>22.088138452945039</v>
      </c>
      <c r="BI381" s="42" t="str">
        <f t="shared" si="357"/>
        <v>0.760311189623194+1.03879659620461i</v>
      </c>
      <c r="BJ381" s="20">
        <f t="shared" si="354"/>
        <v>2.193674487197756</v>
      </c>
      <c r="BK381" s="44">
        <f t="shared" si="358"/>
        <v>53.799029826917064</v>
      </c>
      <c r="BL381">
        <f t="shared" si="355"/>
        <v>-12.028889159566036</v>
      </c>
      <c r="BM381" s="44">
        <f t="shared" si="356"/>
        <v>22.088138452945039</v>
      </c>
    </row>
    <row r="382" spans="14:65" x14ac:dyDescent="0.35">
      <c r="N382" s="9">
        <v>64</v>
      </c>
      <c r="O382" s="35">
        <f t="shared" si="308"/>
        <v>43651.583224016598</v>
      </c>
      <c r="P382" s="34" t="str">
        <f t="shared" si="309"/>
        <v>16.3709677419355</v>
      </c>
      <c r="Q382" s="4" t="str">
        <f t="shared" si="310"/>
        <v>1+40.344377346713i</v>
      </c>
      <c r="R382" s="4">
        <f t="shared" si="321"/>
        <v>40.356768744461803</v>
      </c>
      <c r="S382" s="4">
        <f t="shared" si="322"/>
        <v>1.5460147996195819</v>
      </c>
      <c r="T382" s="4" t="str">
        <f t="shared" si="311"/>
        <v>1+0.0438833578157229i</v>
      </c>
      <c r="U382" s="4">
        <f t="shared" si="323"/>
        <v>1.0009624114287123</v>
      </c>
      <c r="V382" s="4">
        <f t="shared" si="324"/>
        <v>4.3855220873882425E-2</v>
      </c>
      <c r="W382" t="str">
        <f t="shared" si="312"/>
        <v>1-0.574289861210863i</v>
      </c>
      <c r="X382" s="4">
        <f t="shared" si="325"/>
        <v>1.1531733801513078</v>
      </c>
      <c r="Y382" s="4">
        <f t="shared" si="326"/>
        <v>-0.52130042789570796</v>
      </c>
      <c r="Z382" t="str">
        <f t="shared" si="313"/>
        <v>0.998351142699437+0.11310010609723i</v>
      </c>
      <c r="AA382" s="4">
        <f t="shared" si="327"/>
        <v>1.0047370990107196</v>
      </c>
      <c r="AB382" s="4">
        <f t="shared" si="328"/>
        <v>0.11280595964137297</v>
      </c>
      <c r="AC382" s="48" t="str">
        <f t="shared" si="329"/>
        <v>-0.249706974694591-0.393490049899679i</v>
      </c>
      <c r="AD382" s="20">
        <f t="shared" si="330"/>
        <v>-6.6316418875117025</v>
      </c>
      <c r="AE382" s="44">
        <f t="shared" si="331"/>
        <v>-122.39902378543987</v>
      </c>
      <c r="AF382" t="str">
        <f t="shared" si="332"/>
        <v>45.9520231294187</v>
      </c>
      <c r="AG382" t="str">
        <f t="shared" si="314"/>
        <v>1+19.3603049187012i</v>
      </c>
      <c r="AH382">
        <f t="shared" si="333"/>
        <v>19.386113755600576</v>
      </c>
      <c r="AI382">
        <f t="shared" si="334"/>
        <v>1.5191901091943527</v>
      </c>
      <c r="AJ382" t="str">
        <f t="shared" si="315"/>
        <v>1+0.0438833578157229i</v>
      </c>
      <c r="AK382">
        <f t="shared" si="335"/>
        <v>1.0009624114287123</v>
      </c>
      <c r="AL382">
        <f t="shared" si="336"/>
        <v>4.3855220873882425E-2</v>
      </c>
      <c r="AM382" t="str">
        <f t="shared" si="316"/>
        <v>1-0.0981814592490671i</v>
      </c>
      <c r="AN382">
        <f t="shared" si="337"/>
        <v>1.0048082398847435</v>
      </c>
      <c r="AO382">
        <f t="shared" si="338"/>
        <v>-9.786779478982742E-2</v>
      </c>
      <c r="AP382" s="42" t="str">
        <f t="shared" si="339"/>
        <v>-0.00573686133267228-2.38404022827172i</v>
      </c>
      <c r="AQ382">
        <f t="shared" si="340"/>
        <v>7.5462967362846891</v>
      </c>
      <c r="AR382" s="44">
        <f t="shared" si="341"/>
        <v>-90.137874060877152</v>
      </c>
      <c r="AS382" t="str">
        <f t="shared" si="317"/>
        <v>-0.000166666666666667</v>
      </c>
      <c r="AT382" t="str">
        <f t="shared" si="318"/>
        <v>0.00346129984771514i</v>
      </c>
      <c r="AU382">
        <f t="shared" si="342"/>
        <v>3.46129984771514E-3</v>
      </c>
      <c r="AV382">
        <f t="shared" si="343"/>
        <v>1.5707963267948966</v>
      </c>
      <c r="AW382" t="str">
        <f t="shared" si="319"/>
        <v>1+0.630605938183942i</v>
      </c>
      <c r="AX382">
        <f t="shared" si="344"/>
        <v>1.1822283405809766</v>
      </c>
      <c r="AY382">
        <f t="shared" si="345"/>
        <v>0.5626203988517503</v>
      </c>
      <c r="AZ382" t="str">
        <f t="shared" si="320"/>
        <v>1+12.8358821610989i</v>
      </c>
      <c r="BA382">
        <f t="shared" si="346"/>
        <v>12.874776536065275</v>
      </c>
      <c r="BB382">
        <f t="shared" si="347"/>
        <v>1.493046766855048</v>
      </c>
      <c r="BC382" s="42" t="str">
        <f t="shared" si="348"/>
        <v>-0.420488774940953+0.313314185785036i</v>
      </c>
      <c r="BD382">
        <f t="shared" si="349"/>
        <v>-5.6070427984006299</v>
      </c>
      <c r="BE382" s="44">
        <f t="shared" si="350"/>
        <v>143.30950403427499</v>
      </c>
      <c r="BF382" s="42" t="str">
        <f t="shared" si="351"/>
        <v>0.228284994482371+0.0872214115724901i</v>
      </c>
      <c r="BG382" s="20">
        <f t="shared" si="352"/>
        <v>-12.238684685912339</v>
      </c>
      <c r="BH382" s="44">
        <f t="shared" si="353"/>
        <v>20.910480248835157</v>
      </c>
      <c r="BI382" s="42" t="str">
        <f t="shared" si="357"/>
        <v>0.749365908793507+1.00066471495852i</v>
      </c>
      <c r="BJ382" s="20">
        <f t="shared" si="354"/>
        <v>1.9392539378840732</v>
      </c>
      <c r="BK382" s="44">
        <f t="shared" si="358"/>
        <v>53.171629973397913</v>
      </c>
      <c r="BL382">
        <f t="shared" si="355"/>
        <v>-12.238684685912339</v>
      </c>
      <c r="BM382" s="44">
        <f t="shared" si="356"/>
        <v>20.910480248835157</v>
      </c>
    </row>
    <row r="383" spans="14:65" x14ac:dyDescent="0.35">
      <c r="N383" s="9">
        <v>65</v>
      </c>
      <c r="O383" s="35">
        <f t="shared" si="308"/>
        <v>44668.359215096389</v>
      </c>
      <c r="P383" s="34" t="str">
        <f t="shared" si="309"/>
        <v>16.3709677419355</v>
      </c>
      <c r="Q383" s="4" t="str">
        <f t="shared" si="310"/>
        <v>1+41.2841186168219i</v>
      </c>
      <c r="R383" s="4">
        <f t="shared" si="321"/>
        <v>41.296228035594488</v>
      </c>
      <c r="S383" s="4">
        <f t="shared" si="322"/>
        <v>1.5465786729463866</v>
      </c>
      <c r="T383" s="4" t="str">
        <f t="shared" si="311"/>
        <v>1+0.0449055325305782i</v>
      </c>
      <c r="U383" s="4">
        <f t="shared" si="323"/>
        <v>1.0010077456502795</v>
      </c>
      <c r="V383" s="4">
        <f t="shared" si="324"/>
        <v>4.4875384893253031E-2</v>
      </c>
      <c r="W383" t="str">
        <f t="shared" si="312"/>
        <v>1-0.587666790514965i</v>
      </c>
      <c r="X383" s="4">
        <f t="shared" si="325"/>
        <v>1.1598932091680509</v>
      </c>
      <c r="Y383" s="4">
        <f t="shared" si="326"/>
        <v>-0.53130160360672551</v>
      </c>
      <c r="Z383" t="str">
        <f t="shared" si="313"/>
        <v>0.998273434448918+0.115734545995506i</v>
      </c>
      <c r="AA383" s="4">
        <f t="shared" si="327"/>
        <v>1.0049598673893521</v>
      </c>
      <c r="AB383" s="4">
        <f t="shared" si="328"/>
        <v>0.11541944327188089</v>
      </c>
      <c r="AC383" s="48" t="str">
        <f t="shared" si="329"/>
        <v>-0.250088550682093-0.383698780287385i</v>
      </c>
      <c r="AD383" s="20">
        <f t="shared" si="330"/>
        <v>-6.7825861516937369</v>
      </c>
      <c r="AE383" s="44">
        <f t="shared" si="331"/>
        <v>-123.0956469947894</v>
      </c>
      <c r="AF383" t="str">
        <f t="shared" si="332"/>
        <v>45.9520231294187</v>
      </c>
      <c r="AG383" t="str">
        <f t="shared" si="314"/>
        <v>1+19.8112643517256i</v>
      </c>
      <c r="AH383">
        <f t="shared" si="333"/>
        <v>19.836486463432827</v>
      </c>
      <c r="AI383">
        <f t="shared" si="334"/>
        <v>1.520362796079709</v>
      </c>
      <c r="AJ383" t="str">
        <f t="shared" si="315"/>
        <v>1+0.0449055325305782i</v>
      </c>
      <c r="AK383">
        <f t="shared" si="335"/>
        <v>1.0010077456502795</v>
      </c>
      <c r="AL383">
        <f t="shared" si="336"/>
        <v>4.4875384893253031E-2</v>
      </c>
      <c r="AM383" t="str">
        <f t="shared" si="316"/>
        <v>1-0.100468399221469i</v>
      </c>
      <c r="AN383">
        <f t="shared" si="337"/>
        <v>1.0050342776453569</v>
      </c>
      <c r="AO383">
        <f t="shared" si="338"/>
        <v>-0.10013239255684842</v>
      </c>
      <c r="AP383" s="42" t="str">
        <f t="shared" si="339"/>
        <v>-0.0112413047575762-2.33052167510597i</v>
      </c>
      <c r="AQ383">
        <f t="shared" si="340"/>
        <v>7.3491639722379336</v>
      </c>
      <c r="AR383" s="44">
        <f t="shared" si="341"/>
        <v>-90.276364871722407</v>
      </c>
      <c r="AS383" t="str">
        <f t="shared" si="317"/>
        <v>-0.000166666666666667</v>
      </c>
      <c r="AT383" t="str">
        <f t="shared" si="318"/>
        <v>0.00354192387834935i</v>
      </c>
      <c r="AU383">
        <f t="shared" si="342"/>
        <v>3.5419238783493501E-3</v>
      </c>
      <c r="AV383">
        <f t="shared" si="343"/>
        <v>1.5707963267948966</v>
      </c>
      <c r="AW383" t="str">
        <f t="shared" si="319"/>
        <v>1+0.645294637434261i</v>
      </c>
      <c r="AX383">
        <f t="shared" si="344"/>
        <v>1.190128215404296</v>
      </c>
      <c r="AY383">
        <f t="shared" si="345"/>
        <v>0.57306029335897535</v>
      </c>
      <c r="AZ383" t="str">
        <f t="shared" si="320"/>
        <v>1+13.1348682651941i</v>
      </c>
      <c r="BA383">
        <f t="shared" si="346"/>
        <v>13.172879880421105</v>
      </c>
      <c r="BB383">
        <f t="shared" si="347"/>
        <v>1.4948096795194439</v>
      </c>
      <c r="BC383" s="42" t="str">
        <f t="shared" si="348"/>
        <v>-0.414925031749808+0.314804304080631i</v>
      </c>
      <c r="BD383">
        <f t="shared" si="349"/>
        <v>-5.6660698704574441</v>
      </c>
      <c r="BE383" s="44">
        <f t="shared" si="350"/>
        <v>142.81234959576912</v>
      </c>
      <c r="BF383" s="42" t="str">
        <f t="shared" si="351"/>
        <v>0.224558027336988+0.0804772764370959i</v>
      </c>
      <c r="BG383" s="20">
        <f t="shared" si="352"/>
        <v>-12.448656022151185</v>
      </c>
      <c r="BH383" s="44">
        <f t="shared" si="353"/>
        <v>19.716702600979705</v>
      </c>
      <c r="BI383" s="42" t="str">
        <f t="shared" si="357"/>
        <v>0.738322552810008+0.963452968915793i</v>
      </c>
      <c r="BJ383" s="20">
        <f t="shared" si="354"/>
        <v>1.6830941017804868</v>
      </c>
      <c r="BK383" s="44">
        <f t="shared" si="358"/>
        <v>52.535984724046692</v>
      </c>
      <c r="BL383">
        <f t="shared" si="355"/>
        <v>-12.448656022151185</v>
      </c>
      <c r="BM383" s="44">
        <f t="shared" si="356"/>
        <v>19.716702600979705</v>
      </c>
    </row>
    <row r="384" spans="14:65" x14ac:dyDescent="0.35">
      <c r="N384" s="9">
        <v>66</v>
      </c>
      <c r="O384" s="35">
        <f t="shared" ref="O384:O418" si="359">10^(4+(N384/100))</f>
        <v>45708.818961487581</v>
      </c>
      <c r="P384" s="34" t="str">
        <f t="shared" si="309"/>
        <v>16.3709677419355</v>
      </c>
      <c r="Q384" s="4" t="str">
        <f t="shared" si="310"/>
        <v>1+42.2457492730812i</v>
      </c>
      <c r="R384" s="4">
        <f t="shared" si="321"/>
        <v>42.257583125920029</v>
      </c>
      <c r="S384" s="4">
        <f t="shared" si="322"/>
        <v>1.5471297258335046</v>
      </c>
      <c r="T384" s="4" t="str">
        <f t="shared" si="311"/>
        <v>1+0.045951516753176i</v>
      </c>
      <c r="U384" s="4">
        <f t="shared" si="323"/>
        <v>1.0010552142074469</v>
      </c>
      <c r="V384" s="4">
        <f t="shared" si="324"/>
        <v>4.5919214816572441E-2</v>
      </c>
      <c r="W384" t="str">
        <f t="shared" si="312"/>
        <v>1-0.601355308530083i</v>
      </c>
      <c r="X384" s="4">
        <f t="shared" si="325"/>
        <v>1.1668882581881228</v>
      </c>
      <c r="Y384" s="4">
        <f t="shared" si="326"/>
        <v>-0.54141545481951348</v>
      </c>
      <c r="Z384" t="str">
        <f t="shared" si="313"/>
        <v>0.998192063921381+0.118430349881995i</v>
      </c>
      <c r="AA384" s="4">
        <f t="shared" si="327"/>
        <v>1.0051930880426896</v>
      </c>
      <c r="AB384" s="4">
        <f t="shared" si="328"/>
        <v>0.11809280192503452</v>
      </c>
      <c r="AC384" s="48" t="str">
        <f t="shared" si="329"/>
        <v>-0.250445880247216-0.374110655630838i</v>
      </c>
      <c r="AD384" s="20">
        <f t="shared" si="330"/>
        <v>-6.9318498689720398</v>
      </c>
      <c r="AE384" s="44">
        <f t="shared" si="331"/>
        <v>-123.80006610744076</v>
      </c>
      <c r="AF384" t="str">
        <f t="shared" si="332"/>
        <v>45.9520231294187</v>
      </c>
      <c r="AG384" t="str">
        <f t="shared" si="314"/>
        <v>1+20.2727279793423i</v>
      </c>
      <c r="AH384">
        <f t="shared" si="333"/>
        <v>20.297376670998844</v>
      </c>
      <c r="AI384">
        <f t="shared" si="334"/>
        <v>1.5215089235171999</v>
      </c>
      <c r="AJ384" t="str">
        <f t="shared" si="315"/>
        <v>1+0.045951516753176i</v>
      </c>
      <c r="AK384">
        <f t="shared" si="335"/>
        <v>1.0010552142074469</v>
      </c>
      <c r="AL384">
        <f t="shared" si="336"/>
        <v>4.5919214816572441E-2</v>
      </c>
      <c r="AM384" t="str">
        <f t="shared" si="316"/>
        <v>1-0.102808608868994i</v>
      </c>
      <c r="AN384">
        <f t="shared" si="337"/>
        <v>1.0052709137628413</v>
      </c>
      <c r="AO384">
        <f t="shared" si="338"/>
        <v>-0.10244867311935285</v>
      </c>
      <c r="AP384" s="42" t="str">
        <f t="shared" si="339"/>
        <v>-0.0164992384318885-2.27821383938157i</v>
      </c>
      <c r="AQ384">
        <f t="shared" si="340"/>
        <v>7.1521174924681885</v>
      </c>
      <c r="AR384" s="44">
        <f t="shared" si="341"/>
        <v>-90.414939187938799</v>
      </c>
      <c r="AS384" t="str">
        <f t="shared" si="317"/>
        <v>-0.000166666666666667</v>
      </c>
      <c r="AT384" t="str">
        <f t="shared" si="318"/>
        <v>0.00362442588390676i</v>
      </c>
      <c r="AU384">
        <f t="shared" si="342"/>
        <v>3.62442588390676E-3</v>
      </c>
      <c r="AV384">
        <f t="shared" si="343"/>
        <v>1.5707963267948966</v>
      </c>
      <c r="AW384" t="str">
        <f t="shared" si="319"/>
        <v>1+0.660325480442827i</v>
      </c>
      <c r="AX384">
        <f t="shared" si="344"/>
        <v>1.1983445832155499</v>
      </c>
      <c r="AY384">
        <f t="shared" si="345"/>
        <v>0.58359969391293298</v>
      </c>
      <c r="AZ384" t="str">
        <f t="shared" si="320"/>
        <v>1+13.440818650304i</v>
      </c>
      <c r="BA384">
        <f t="shared" si="346"/>
        <v>13.477967428004854</v>
      </c>
      <c r="BB384">
        <f t="shared" si="347"/>
        <v>1.4965329207814806</v>
      </c>
      <c r="BC384" s="42" t="str">
        <f t="shared" si="348"/>
        <v>-0.409254727349901+0.316225618802914i</v>
      </c>
      <c r="BD384">
        <f t="shared" si="349"/>
        <v>-5.7269557655318675</v>
      </c>
      <c r="BE384" s="44">
        <f t="shared" si="350"/>
        <v>142.30722087682707</v>
      </c>
      <c r="BF384" s="42" t="str">
        <f t="shared" si="351"/>
        <v>0.220799534014106+0.0739091509110749i</v>
      </c>
      <c r="BG384" s="20">
        <f t="shared" si="352"/>
        <v>-12.658805634503903</v>
      </c>
      <c r="BH384" s="44">
        <f t="shared" si="353"/>
        <v>18.507154769386293</v>
      </c>
      <c r="BI384" s="42" t="str">
        <f t="shared" si="357"/>
        <v>0.727181972449723+0.927152301797975i</v>
      </c>
      <c r="BJ384" s="20">
        <f t="shared" si="354"/>
        <v>1.4251617269363255</v>
      </c>
      <c r="BK384" s="44">
        <f t="shared" si="358"/>
        <v>51.892281688888261</v>
      </c>
      <c r="BL384">
        <f t="shared" si="355"/>
        <v>-12.658805634503903</v>
      </c>
      <c r="BM384" s="44">
        <f t="shared" si="356"/>
        <v>18.507154769386293</v>
      </c>
    </row>
    <row r="385" spans="14:65" x14ac:dyDescent="0.35">
      <c r="N385" s="9">
        <v>67</v>
      </c>
      <c r="O385" s="35">
        <f t="shared" si="359"/>
        <v>46773.514128719893</v>
      </c>
      <c r="P385" s="34" t="str">
        <f t="shared" si="309"/>
        <v>16.3709677419355</v>
      </c>
      <c r="Q385" s="4" t="str">
        <f t="shared" si="310"/>
        <v>1+43.2297791847938i</v>
      </c>
      <c r="R385" s="4">
        <f t="shared" si="321"/>
        <v>43.241343739135019</v>
      </c>
      <c r="S385" s="4">
        <f t="shared" si="322"/>
        <v>1.547668249117045</v>
      </c>
      <c r="T385" s="4" t="str">
        <f t="shared" si="311"/>
        <v>1+0.0470218650781968i</v>
      </c>
      <c r="U385" s="4">
        <f t="shared" si="323"/>
        <v>1.0011049174764013</v>
      </c>
      <c r="V385" s="4">
        <f t="shared" si="324"/>
        <v>4.6987254992408294E-2</v>
      </c>
      <c r="W385" t="str">
        <f t="shared" si="312"/>
        <v>1-0.615362673089667i</v>
      </c>
      <c r="X385" s="4">
        <f t="shared" si="325"/>
        <v>1.1741683096694699</v>
      </c>
      <c r="Y385" s="4">
        <f t="shared" si="326"/>
        <v>-0.55163906714586508</v>
      </c>
      <c r="Z385" t="str">
        <f t="shared" si="313"/>
        <v>0.998106858519027+0.121188947107604i</v>
      </c>
      <c r="AA385" s="4">
        <f t="shared" si="327"/>
        <v>1.0054372491228734</v>
      </c>
      <c r="AB385" s="4">
        <f t="shared" si="328"/>
        <v>0.12082735964932172</v>
      </c>
      <c r="AC385" s="48" t="str">
        <f t="shared" si="329"/>
        <v>-0.25077972801113-0.364720708276828i</v>
      </c>
      <c r="AD385" s="20">
        <f t="shared" si="330"/>
        <v>-7.0793969991800401</v>
      </c>
      <c r="AE385" s="44">
        <f t="shared" si="331"/>
        <v>-124.51217547844568</v>
      </c>
      <c r="AF385" t="str">
        <f t="shared" si="332"/>
        <v>45.9520231294187</v>
      </c>
      <c r="AG385" t="str">
        <f t="shared" si="314"/>
        <v>1+20.744940475675i</v>
      </c>
      <c r="AH385">
        <f t="shared" si="333"/>
        <v>20.769028752912323</v>
      </c>
      <c r="AI385">
        <f t="shared" si="334"/>
        <v>1.5226290871474253</v>
      </c>
      <c r="AJ385" t="str">
        <f t="shared" si="315"/>
        <v>1+0.0470218650781968i</v>
      </c>
      <c r="AK385">
        <f t="shared" si="335"/>
        <v>1.0011049174764013</v>
      </c>
      <c r="AL385">
        <f t="shared" si="336"/>
        <v>4.6987254992408294E-2</v>
      </c>
      <c r="AM385" t="str">
        <f t="shared" si="316"/>
        <v>1-0.105203329001775i</v>
      </c>
      <c r="AN385">
        <f t="shared" si="337"/>
        <v>1.0055186425089571</v>
      </c>
      <c r="AO385">
        <f t="shared" si="338"/>
        <v>-0.10481776512786381</v>
      </c>
      <c r="AP385" s="42" t="str">
        <f t="shared" si="339"/>
        <v>-0.0215216491917791-2.22709064449788i</v>
      </c>
      <c r="AQ385">
        <f t="shared" si="340"/>
        <v>6.9551634162996931</v>
      </c>
      <c r="AR385" s="44">
        <f t="shared" si="341"/>
        <v>-90.553664615254803</v>
      </c>
      <c r="AS385" t="str">
        <f t="shared" si="317"/>
        <v>-0.000166666666666667</v>
      </c>
      <c r="AT385" t="str">
        <f t="shared" si="318"/>
        <v>0.00370884960804277i</v>
      </c>
      <c r="AU385">
        <f t="shared" si="342"/>
        <v>3.70884960804277E-3</v>
      </c>
      <c r="AV385">
        <f t="shared" si="343"/>
        <v>1.5707963267948966</v>
      </c>
      <c r="AW385" t="str">
        <f t="shared" si="319"/>
        <v>1+0.675706436761568i</v>
      </c>
      <c r="AX385">
        <f t="shared" si="344"/>
        <v>1.2068882254297681</v>
      </c>
      <c r="AY385">
        <f t="shared" si="345"/>
        <v>0.59423482282032336</v>
      </c>
      <c r="AZ385" t="str">
        <f t="shared" si="320"/>
        <v>1+13.7538955353725i</v>
      </c>
      <c r="BA385">
        <f t="shared" si="346"/>
        <v>13.790200955676447</v>
      </c>
      <c r="BB385">
        <f t="shared" si="347"/>
        <v>1.498217363365421</v>
      </c>
      <c r="BC385" s="42" t="str">
        <f t="shared" si="348"/>
        <v>-0.403480953405754+0.317572241337442i</v>
      </c>
      <c r="BD385">
        <f t="shared" si="349"/>
        <v>-5.7897385801865875</v>
      </c>
      <c r="BE385" s="44">
        <f t="shared" si="350"/>
        <v>141.79438432674797</v>
      </c>
      <c r="BF385" s="42" t="str">
        <f t="shared" si="351"/>
        <v>0.217010016542418+0.0675171787958678i</v>
      </c>
      <c r="BG385" s="20">
        <f t="shared" si="352"/>
        <v>-12.869135579366628</v>
      </c>
      <c r="BH385" s="44">
        <f t="shared" si="353"/>
        <v>17.282208848302286</v>
      </c>
      <c r="BI385" s="42" t="str">
        <f t="shared" si="357"/>
        <v>0.715945743169603+0.891753978191928i</v>
      </c>
      <c r="BJ385" s="20">
        <f t="shared" si="354"/>
        <v>1.1654248361131045</v>
      </c>
      <c r="BK385" s="44">
        <f t="shared" si="358"/>
        <v>51.240719711493163</v>
      </c>
      <c r="BL385">
        <f t="shared" si="355"/>
        <v>-12.869135579366628</v>
      </c>
      <c r="BM385" s="44">
        <f t="shared" si="356"/>
        <v>17.282208848302286</v>
      </c>
    </row>
    <row r="386" spans="14:65" x14ac:dyDescent="0.35">
      <c r="N386" s="9">
        <v>68</v>
      </c>
      <c r="O386" s="35">
        <f t="shared" si="359"/>
        <v>47863.009232263823</v>
      </c>
      <c r="P386" s="34" t="str">
        <f t="shared" si="309"/>
        <v>16.3709677419355</v>
      </c>
      <c r="Q386" s="4" t="str">
        <f t="shared" si="310"/>
        <v>1+44.2367300976438i</v>
      </c>
      <c r="R386" s="4">
        <f t="shared" si="321"/>
        <v>44.248031478606876</v>
      </c>
      <c r="S386" s="4">
        <f t="shared" si="322"/>
        <v>1.5481945270790594</v>
      </c>
      <c r="T386" s="4" t="str">
        <f t="shared" si="311"/>
        <v>1+0.0481171450184898i</v>
      </c>
      <c r="U386" s="4">
        <f t="shared" si="323"/>
        <v>1.0011569605435156</v>
      </c>
      <c r="V386" s="4">
        <f t="shared" si="324"/>
        <v>4.8080061957663428E-2</v>
      </c>
      <c r="W386" t="str">
        <f t="shared" si="312"/>
        <v>1-0.629696311083807i</v>
      </c>
      <c r="X386" s="4">
        <f t="shared" si="325"/>
        <v>1.1817433918548284</v>
      </c>
      <c r="Y386" s="4">
        <f t="shared" si="326"/>
        <v>-0.56196931207861267</v>
      </c>
      <c r="Z386" t="str">
        <f t="shared" si="313"/>
        <v>0.998017637509774+0.124011800317094i</v>
      </c>
      <c r="AA386" s="4">
        <f t="shared" si="327"/>
        <v>1.0056928613639839</v>
      </c>
      <c r="AB386" s="4">
        <f t="shared" si="328"/>
        <v>0.1236244663990934</v>
      </c>
      <c r="AC386" s="48" t="str">
        <f t="shared" si="329"/>
        <v>-0.251090810001374-0.355524074607665i</v>
      </c>
      <c r="AD386" s="20">
        <f t="shared" si="330"/>
        <v>-7.2251923096882686</v>
      </c>
      <c r="AE386" s="44">
        <f t="shared" si="331"/>
        <v>-125.23185760518072</v>
      </c>
      <c r="AF386" t="str">
        <f t="shared" si="332"/>
        <v>45.9520231294187</v>
      </c>
      <c r="AG386" t="str">
        <f t="shared" si="314"/>
        <v>1+21.2281522140396i</v>
      </c>
      <c r="AH386">
        <f t="shared" si="333"/>
        <v>21.251692789574069</v>
      </c>
      <c r="AI386">
        <f t="shared" si="334"/>
        <v>1.5237238696452284</v>
      </c>
      <c r="AJ386" t="str">
        <f t="shared" si="315"/>
        <v>1+0.0481171450184898i</v>
      </c>
      <c r="AK386">
        <f t="shared" si="335"/>
        <v>1.0011569605435156</v>
      </c>
      <c r="AL386">
        <f t="shared" si="336"/>
        <v>4.8080061957663428E-2</v>
      </c>
      <c r="AM386" t="str">
        <f t="shared" si="316"/>
        <v>1-0.107653829332123i</v>
      </c>
      <c r="AN386">
        <f t="shared" si="337"/>
        <v>1.0057779809529883</v>
      </c>
      <c r="AO386">
        <f t="shared" si="338"/>
        <v>-0.10724081827412875</v>
      </c>
      <c r="AP386" s="42" t="str">
        <f t="shared" si="339"/>
        <v>-0.0263190388314136-2.1771265321885i</v>
      </c>
      <c r="AQ386">
        <f t="shared" si="340"/>
        <v>6.7583080466536973</v>
      </c>
      <c r="AR386" s="44">
        <f t="shared" si="341"/>
        <v>-90.692608523748987</v>
      </c>
      <c r="AS386" t="str">
        <f t="shared" si="317"/>
        <v>-0.000166666666666667</v>
      </c>
      <c r="AT386" t="str">
        <f t="shared" si="318"/>
        <v>0.00379523981333338i</v>
      </c>
      <c r="AU386">
        <f t="shared" si="342"/>
        <v>3.79523981333338E-3</v>
      </c>
      <c r="AV386">
        <f t="shared" si="343"/>
        <v>1.5707963267948966</v>
      </c>
      <c r="AW386" t="str">
        <f t="shared" si="319"/>
        <v>1+0.69144566157711i</v>
      </c>
      <c r="AX386">
        <f t="shared" si="344"/>
        <v>1.2157701686230862</v>
      </c>
      <c r="AY386">
        <f t="shared" si="345"/>
        <v>0.60496169571015013</v>
      </c>
      <c r="AZ386" t="str">
        <f t="shared" si="320"/>
        <v>1+14.0742649179082i</v>
      </c>
      <c r="BA386">
        <f t="shared" si="346"/>
        <v>14.109746028170086</v>
      </c>
      <c r="BB386">
        <f t="shared" si="347"/>
        <v>1.4998638621288147</v>
      </c>
      <c r="BC386" s="42" t="str">
        <f t="shared" si="348"/>
        <v>-0.397607138665954+0.318838391212789i</v>
      </c>
      <c r="BD386">
        <f t="shared" si="349"/>
        <v>-5.8544551980372344</v>
      </c>
      <c r="BE386" s="44">
        <f t="shared" si="350"/>
        <v>141.27411721290341</v>
      </c>
      <c r="BF386" s="42" t="str">
        <f t="shared" si="351"/>
        <v>0.213190222495287+0.0613015201224607i</v>
      </c>
      <c r="BG386" s="20">
        <f t="shared" si="352"/>
        <v>-13.079647507725484</v>
      </c>
      <c r="BH386" s="44">
        <f t="shared" si="353"/>
        <v>16.042259607722698</v>
      </c>
      <c r="BI386" s="42" t="str">
        <f t="shared" si="357"/>
        <v>0.704616158711856+0.857249530977926i</v>
      </c>
      <c r="BJ386" s="20">
        <f t="shared" si="354"/>
        <v>0.90385284861646276</v>
      </c>
      <c r="BK386" s="44">
        <f t="shared" si="358"/>
        <v>50.581508689154454</v>
      </c>
      <c r="BL386">
        <f t="shared" si="355"/>
        <v>-13.079647507725484</v>
      </c>
      <c r="BM386" s="44">
        <f t="shared" si="356"/>
        <v>16.042259607722698</v>
      </c>
    </row>
    <row r="387" spans="14:65" x14ac:dyDescent="0.35">
      <c r="N387" s="9">
        <v>69</v>
      </c>
      <c r="O387" s="35">
        <f t="shared" si="359"/>
        <v>48977.881936844598</v>
      </c>
      <c r="P387" s="34" t="str">
        <f t="shared" si="309"/>
        <v>16.3709677419355</v>
      </c>
      <c r="Q387" s="4" t="str">
        <f t="shared" si="310"/>
        <v>1+45.2671359103339i</v>
      </c>
      <c r="R387" s="4">
        <f t="shared" si="321"/>
        <v>45.278180103937935</v>
      </c>
      <c r="S387" s="4">
        <f t="shared" si="322"/>
        <v>1.5487088375923215</v>
      </c>
      <c r="T387" s="4" t="str">
        <f t="shared" si="311"/>
        <v>1+0.0492379373059773i</v>
      </c>
      <c r="U387" s="4">
        <f t="shared" si="323"/>
        <v>1.0012114534253727</v>
      </c>
      <c r="V387" s="4">
        <f t="shared" si="324"/>
        <v>4.9198204686643141E-2</v>
      </c>
      <c r="W387" t="str">
        <f t="shared" si="312"/>
        <v>1-0.6443638223971i</v>
      </c>
      <c r="X387" s="4">
        <f t="shared" si="325"/>
        <v>1.1896237790218391</v>
      </c>
      <c r="Y387" s="4">
        <f t="shared" si="326"/>
        <v>-0.57240284744009251</v>
      </c>
      <c r="Z387" t="str">
        <f t="shared" si="313"/>
        <v>0.997924211643899+0.126900406224602i</v>
      </c>
      <c r="AA387" s="4">
        <f t="shared" si="327"/>
        <v>1.0059604591061551</v>
      </c>
      <c r="AB387" s="4">
        <f t="shared" si="328"/>
        <v>0.12648549829887418</v>
      </c>
      <c r="AC387" s="48" t="str">
        <f t="shared" si="329"/>
        <v>-0.251379795233069-0.346515992987614i</v>
      </c>
      <c r="AD387" s="20">
        <f t="shared" si="330"/>
        <v>-7.3692014924136728</v>
      </c>
      <c r="AE387" s="44">
        <f t="shared" si="331"/>
        <v>-125.95898316220895</v>
      </c>
      <c r="AF387" t="str">
        <f t="shared" si="332"/>
        <v>45.9520231294187</v>
      </c>
      <c r="AG387" t="str">
        <f t="shared" si="314"/>
        <v>1+21.7226193996958i</v>
      </c>
      <c r="AH387">
        <f t="shared" si="333"/>
        <v>21.745624699788241</v>
      </c>
      <c r="AI387">
        <f t="shared" si="334"/>
        <v>1.5247938409756121</v>
      </c>
      <c r="AJ387" t="str">
        <f t="shared" si="315"/>
        <v>1+0.0492379373059773i</v>
      </c>
      <c r="AK387">
        <f t="shared" si="335"/>
        <v>1.0012114534253727</v>
      </c>
      <c r="AL387">
        <f t="shared" si="336"/>
        <v>4.9198204686643141E-2</v>
      </c>
      <c r="AM387" t="str">
        <f t="shared" si="316"/>
        <v>1-0.110161409147749i</v>
      </c>
      <c r="AN387">
        <f t="shared" si="337"/>
        <v>1.0060494699891342</v>
      </c>
      <c r="AO387">
        <f t="shared" si="338"/>
        <v>-0.10971900342138211</v>
      </c>
      <c r="AP387" s="42" t="str">
        <f t="shared" si="339"/>
        <v>-0.0309014451085786-2.12829645620333i</v>
      </c>
      <c r="AQ387">
        <f t="shared" si="340"/>
        <v>6.5615578821217282</v>
      </c>
      <c r="AR387" s="44">
        <f t="shared" si="341"/>
        <v>-90.831838055705816</v>
      </c>
      <c r="AS387" t="str">
        <f t="shared" si="317"/>
        <v>-0.000166666666666667</v>
      </c>
      <c r="AT387" t="str">
        <f t="shared" si="318"/>
        <v>0.00388364230500896i</v>
      </c>
      <c r="AU387">
        <f t="shared" si="342"/>
        <v>3.88364230500896E-3</v>
      </c>
      <c r="AV387">
        <f t="shared" si="343"/>
        <v>1.5707963267948966</v>
      </c>
      <c r="AW387" t="str">
        <f t="shared" si="319"/>
        <v>1+0.707551500034785i</v>
      </c>
      <c r="AX387">
        <f t="shared" si="344"/>
        <v>1.2250016837545465</v>
      </c>
      <c r="AY387">
        <f t="shared" si="345"/>
        <v>0.6157761257522516</v>
      </c>
      <c r="AZ387" t="str">
        <f t="shared" si="320"/>
        <v>1+14.4020966619983i</v>
      </c>
      <c r="BA387">
        <f t="shared" si="346"/>
        <v>14.436772085945757</v>
      </c>
      <c r="BB387">
        <f t="shared" si="347"/>
        <v>1.5014732543383553</v>
      </c>
      <c r="BC387" s="42" t="str">
        <f t="shared" si="348"/>
        <v>-0.391637047349117+0.320018420784936i</v>
      </c>
      <c r="BD387">
        <f t="shared" si="349"/>
        <v>-5.9211411797130431</v>
      </c>
      <c r="BE387" s="44">
        <f t="shared" si="350"/>
        <v>140.74670739483938</v>
      </c>
      <c r="BF387" s="42" t="str">
        <f t="shared" si="351"/>
        <v>0.209341141620925+0.0552623352651891i</v>
      </c>
      <c r="BG387" s="20">
        <f t="shared" si="352"/>
        <v>-13.290342672126716</v>
      </c>
      <c r="BH387" s="44">
        <f t="shared" si="353"/>
        <v>14.787724232630413</v>
      </c>
      <c r="BI387" s="42" t="str">
        <f t="shared" si="357"/>
        <v>0.69319622159751+0.823630708327442i</v>
      </c>
      <c r="BJ387" s="20">
        <f t="shared" si="354"/>
        <v>0.6404167024086892</v>
      </c>
      <c r="BK387" s="44">
        <f t="shared" si="358"/>
        <v>49.914869339133567</v>
      </c>
      <c r="BL387">
        <f t="shared" si="355"/>
        <v>-13.290342672126716</v>
      </c>
      <c r="BM387" s="44">
        <f t="shared" si="356"/>
        <v>14.787724232630413</v>
      </c>
    </row>
    <row r="388" spans="14:65" x14ac:dyDescent="0.35">
      <c r="N388" s="9">
        <v>70</v>
      </c>
      <c r="O388" s="35">
        <f t="shared" si="359"/>
        <v>50118.723362727294</v>
      </c>
      <c r="P388" s="34" t="str">
        <f t="shared" si="309"/>
        <v>16.3709677419355</v>
      </c>
      <c r="Q388" s="4" t="str">
        <f t="shared" si="310"/>
        <v>1+46.3215429576653i</v>
      </c>
      <c r="R388" s="4">
        <f t="shared" si="321"/>
        <v>46.332335813973728</v>
      </c>
      <c r="S388" s="4">
        <f t="shared" si="322"/>
        <v>1.5492114522621057</v>
      </c>
      <c r="T388" s="4" t="str">
        <f t="shared" si="311"/>
        <v>1+0.0503848361995658i</v>
      </c>
      <c r="U388" s="4">
        <f t="shared" si="323"/>
        <v>1.0012685112989708</v>
      </c>
      <c r="V388" s="4">
        <f t="shared" si="324"/>
        <v>5.0342264843465483E-2</v>
      </c>
      <c r="W388" t="str">
        <f t="shared" si="312"/>
        <v>1-0.659372983938194i</v>
      </c>
      <c r="X388" s="4">
        <f t="shared" si="325"/>
        <v>1.1978199914626395</v>
      </c>
      <c r="Y388" s="4">
        <f t="shared" si="326"/>
        <v>-0.5829361187104527</v>
      </c>
      <c r="Z388" t="str">
        <f t="shared" si="313"/>
        <v>0.997826382752615+0.129856296407217i</v>
      </c>
      <c r="AA388" s="4">
        <f t="shared" si="327"/>
        <v>1.0062406013641902</v>
      </c>
      <c r="AB388" s="4">
        <f t="shared" si="328"/>
        <v>0.12941185789120954</v>
      </c>
      <c r="AC388" s="48" t="str">
        <f t="shared" si="329"/>
        <v>-0.25164730720055-0.337691801758381i</v>
      </c>
      <c r="AD388" s="20">
        <f t="shared" si="330"/>
        <v>-7.5113912828346798</v>
      </c>
      <c r="AE388" s="44">
        <f t="shared" si="331"/>
        <v>-126.6934110852504</v>
      </c>
      <c r="AF388" t="str">
        <f t="shared" si="332"/>
        <v>45.9520231294187</v>
      </c>
      <c r="AG388" t="str">
        <f t="shared" si="314"/>
        <v>1+22.2286042056907i</v>
      </c>
      <c r="AH388">
        <f t="shared" si="333"/>
        <v>22.251086376472728</v>
      </c>
      <c r="AI388">
        <f t="shared" si="334"/>
        <v>1.5258395586464084</v>
      </c>
      <c r="AJ388" t="str">
        <f t="shared" si="315"/>
        <v>1+0.0503848361995658i</v>
      </c>
      <c r="AK388">
        <f t="shared" si="335"/>
        <v>1.0012685112989708</v>
      </c>
      <c r="AL388">
        <f t="shared" si="336"/>
        <v>5.0342264843465483E-2</v>
      </c>
      <c r="AM388" t="str">
        <f t="shared" si="316"/>
        <v>1-0.112727398000665i</v>
      </c>
      <c r="AN388">
        <f t="shared" si="337"/>
        <v>1.0063336754079137</v>
      </c>
      <c r="AO388">
        <f t="shared" si="338"/>
        <v>-0.11225351271374422</v>
      </c>
      <c r="AP388" s="42" t="str">
        <f t="shared" si="339"/>
        <v>-0.0352784618766605-2.08057587578949i</v>
      </c>
      <c r="AQ388">
        <f t="shared" si="340"/>
        <v>6.3649196293441577</v>
      </c>
      <c r="AR388" s="44">
        <f t="shared" si="341"/>
        <v>-90.971420131898739</v>
      </c>
      <c r="AS388" t="str">
        <f t="shared" si="317"/>
        <v>-0.000166666666666667</v>
      </c>
      <c r="AT388" t="str">
        <f t="shared" si="318"/>
        <v>0.00397410395524076i</v>
      </c>
      <c r="AU388">
        <f t="shared" si="342"/>
        <v>3.9741039552407603E-3</v>
      </c>
      <c r="AV388">
        <f t="shared" si="343"/>
        <v>1.5707963267948966</v>
      </c>
      <c r="AW388" t="str">
        <f t="shared" si="319"/>
        <v>1+0.724032491663333i</v>
      </c>
      <c r="AX388">
        <f t="shared" si="344"/>
        <v>1.2345942851739653</v>
      </c>
      <c r="AY388">
        <f t="shared" si="345"/>
        <v>0.62667372886102324</v>
      </c>
      <c r="AZ388" t="str">
        <f t="shared" si="320"/>
        <v>1+14.737564588373i</v>
      </c>
      <c r="BA388">
        <f t="shared" si="346"/>
        <v>14.771452535091663</v>
      </c>
      <c r="BB388">
        <f t="shared" si="347"/>
        <v>1.5030463599479178</v>
      </c>
      <c r="BC388" s="42" t="str">
        <f t="shared" si="348"/>
        <v>-0.385574775392394+0.321106840230006i</v>
      </c>
      <c r="BD388">
        <f t="shared" si="349"/>
        <v>-5.9898306535438266</v>
      </c>
      <c r="BE388" s="44">
        <f t="shared" si="350"/>
        <v>140.21245304205453</v>
      </c>
      <c r="BF388" s="42" t="str">
        <f t="shared" si="351"/>
        <v>0.205464001386164+0.0493997689472823i</v>
      </c>
      <c r="BG388" s="20">
        <f t="shared" si="352"/>
        <v>-13.501221936378512</v>
      </c>
      <c r="BH388" s="44">
        <f t="shared" si="353"/>
        <v>13.519041956804129</v>
      </c>
      <c r="BI388" s="42" t="str">
        <f t="shared" si="357"/>
        <v>0.681689630347823+0.790889420572977i</v>
      </c>
      <c r="BJ388" s="20">
        <f t="shared" si="354"/>
        <v>0.37508897580033196</v>
      </c>
      <c r="BK388" s="44">
        <f t="shared" si="358"/>
        <v>49.241032910155802</v>
      </c>
      <c r="BL388">
        <f t="shared" si="355"/>
        <v>-13.501221936378512</v>
      </c>
      <c r="BM388" s="44">
        <f t="shared" si="356"/>
        <v>13.519041956804129</v>
      </c>
    </row>
    <row r="389" spans="14:65" x14ac:dyDescent="0.35">
      <c r="N389" s="9">
        <v>71</v>
      </c>
      <c r="O389" s="35">
        <f t="shared" si="359"/>
        <v>51286.138399136544</v>
      </c>
      <c r="P389" s="34" t="str">
        <f t="shared" si="309"/>
        <v>16.3709677419355</v>
      </c>
      <c r="Q389" s="4" t="str">
        <f t="shared" si="310"/>
        <v>1+47.4005103002109i</v>
      </c>
      <c r="R389" s="4">
        <f t="shared" si="321"/>
        <v>47.411057536405991</v>
      </c>
      <c r="S389" s="4">
        <f t="shared" si="322"/>
        <v>1.5497026365650099</v>
      </c>
      <c r="T389" s="4" t="str">
        <f t="shared" si="311"/>
        <v>1+0.0515584498002294i</v>
      </c>
      <c r="U389" s="4">
        <f t="shared" si="323"/>
        <v>1.0013282547425708</v>
      </c>
      <c r="V389" s="4">
        <f t="shared" si="324"/>
        <v>5.1512837037723525E-2</v>
      </c>
      <c r="W389" t="str">
        <f t="shared" si="312"/>
        <v>1-0.674731753763206i</v>
      </c>
      <c r="X389" s="4">
        <f t="shared" si="325"/>
        <v>1.2063427952022474</v>
      </c>
      <c r="Y389" s="4">
        <f t="shared" si="326"/>
        <v>-0.59356536127135917</v>
      </c>
      <c r="Z389" t="str">
        <f t="shared" si="313"/>
        <v>0.997723943327727+0.132881038117038i</v>
      </c>
      <c r="AA389" s="4">
        <f t="shared" si="327"/>
        <v>1.0065338729424316</v>
      </c>
      <c r="AB389" s="4">
        <f t="shared" si="328"/>
        <v>0.1324049743662504</v>
      </c>
      <c r="AC389" s="48" t="str">
        <f t="shared" si="329"/>
        <v>-0.251893925283128-0.329046937284834i</v>
      </c>
      <c r="AD389" s="20">
        <f t="shared" si="330"/>
        <v>-7.6517295804204997</v>
      </c>
      <c r="AE389" s="44">
        <f t="shared" si="331"/>
        <v>-127.43498870619544</v>
      </c>
      <c r="AF389" t="str">
        <f t="shared" si="332"/>
        <v>45.9520231294187</v>
      </c>
      <c r="AG389" t="str">
        <f t="shared" si="314"/>
        <v>1+22.7463749118659i</v>
      </c>
      <c r="AH389">
        <f t="shared" si="333"/>
        <v>22.768345825535114</v>
      </c>
      <c r="AI389">
        <f t="shared" si="334"/>
        <v>1.5268615679576119</v>
      </c>
      <c r="AJ389" t="str">
        <f t="shared" si="315"/>
        <v>1+0.0515584498002294i</v>
      </c>
      <c r="AK389">
        <f t="shared" si="335"/>
        <v>1.0013282547425708</v>
      </c>
      <c r="AL389">
        <f t="shared" si="336"/>
        <v>5.1512837037723525E-2</v>
      </c>
      <c r="AM389" t="str">
        <f t="shared" si="316"/>
        <v>1-0.115353156412124i</v>
      </c>
      <c r="AN389">
        <f t="shared" si="337"/>
        <v>1.0066311890132551</v>
      </c>
      <c r="AO389">
        <f t="shared" si="338"/>
        <v>-0.11484555966277153</v>
      </c>
      <c r="AP389" s="42" t="str">
        <f t="shared" si="339"/>
        <v>-0.0394592583760673-2.03394074899805i</v>
      </c>
      <c r="AQ389">
        <f t="shared" si="340"/>
        <v>6.1684002157090969</v>
      </c>
      <c r="AR389" s="44">
        <f t="shared" si="341"/>
        <v>-91.11142145618642</v>
      </c>
      <c r="AS389" t="str">
        <f t="shared" si="317"/>
        <v>-0.000166666666666667</v>
      </c>
      <c r="AT389" t="str">
        <f t="shared" si="318"/>
        <v>0.00406667272799309i</v>
      </c>
      <c r="AU389">
        <f t="shared" si="342"/>
        <v>4.0666727279930898E-3</v>
      </c>
      <c r="AV389">
        <f t="shared" si="343"/>
        <v>1.5707963267948966</v>
      </c>
      <c r="AW389" t="str">
        <f t="shared" si="319"/>
        <v>1+0.740897374902664i</v>
      </c>
      <c r="AX389">
        <f t="shared" si="344"/>
        <v>1.2445597294375463</v>
      </c>
      <c r="AY389">
        <f t="shared" si="345"/>
        <v>0.63764992989217506</v>
      </c>
      <c r="AZ389" t="str">
        <f t="shared" si="320"/>
        <v>1+15.0808465665671i</v>
      </c>
      <c r="BA389">
        <f t="shared" si="346"/>
        <v>15.113964839324547</v>
      </c>
      <c r="BB389">
        <f t="shared" si="347"/>
        <v>1.5045839818781834</v>
      </c>
      <c r="BC389" s="42" t="str">
        <f t="shared" si="348"/>
        <v>-0.379424744492321+0.322098342639284i</v>
      </c>
      <c r="BD389">
        <f t="shared" si="349"/>
        <v>-6.0605562077216355</v>
      </c>
      <c r="BE389" s="44">
        <f t="shared" si="350"/>
        <v>139.67166229497326</v>
      </c>
      <c r="BF389" s="42" t="str">
        <f t="shared" si="351"/>
        <v>0.201560261389696+0.0437139342506797i</v>
      </c>
      <c r="BG389" s="20">
        <f t="shared" si="352"/>
        <v>-13.71228578814214</v>
      </c>
      <c r="BH389" s="44">
        <f t="shared" si="353"/>
        <v>12.236673588777835</v>
      </c>
      <c r="BI389" s="42" t="str">
        <f t="shared" si="357"/>
        <v>0.670100763305972+0.759017687276399i</v>
      </c>
      <c r="BJ389" s="20">
        <f t="shared" si="354"/>
        <v>0.10784400798746513</v>
      </c>
      <c r="BK389" s="44">
        <f t="shared" si="358"/>
        <v>48.560240838786846</v>
      </c>
      <c r="BL389">
        <f t="shared" si="355"/>
        <v>-13.71228578814214</v>
      </c>
      <c r="BM389" s="44">
        <f t="shared" si="356"/>
        <v>12.236673588777835</v>
      </c>
    </row>
    <row r="390" spans="14:65" x14ac:dyDescent="0.35">
      <c r="N390" s="9">
        <v>72</v>
      </c>
      <c r="O390" s="35">
        <f t="shared" si="359"/>
        <v>52480.746024977314</v>
      </c>
      <c r="P390" s="34" t="str">
        <f t="shared" si="309"/>
        <v>16.3709677419355</v>
      </c>
      <c r="Q390" s="4" t="str">
        <f t="shared" si="310"/>
        <v>1+48.5046100207375i</v>
      </c>
      <c r="R390" s="4">
        <f t="shared" si="321"/>
        <v>48.514917224126329</v>
      </c>
      <c r="S390" s="4">
        <f t="shared" si="322"/>
        <v>1.5501826499848772</v>
      </c>
      <c r="T390" s="4" t="str">
        <f t="shared" si="311"/>
        <v>1+0.0527594003734338i</v>
      </c>
      <c r="U390" s="4">
        <f t="shared" si="323"/>
        <v>1.0013908099876712</v>
      </c>
      <c r="V390" s="4">
        <f t="shared" si="324"/>
        <v>5.271052908329333E-2</v>
      </c>
      <c r="W390" t="str">
        <f t="shared" si="312"/>
        <v>1-0.690448275295191i</v>
      </c>
      <c r="X390" s="4">
        <f t="shared" si="325"/>
        <v>1.2152032014680112</v>
      </c>
      <c r="Y390" s="4">
        <f t="shared" si="326"/>
        <v>-0.604286603594828</v>
      </c>
      <c r="Z390" t="str">
        <f t="shared" si="313"/>
        <v>0.997616676081481+0.135976235112156i</v>
      </c>
      <c r="AA390" s="4">
        <f t="shared" si="327"/>
        <v>1.0068408855976889</v>
      </c>
      <c r="AB390" s="4">
        <f t="shared" si="328"/>
        <v>0.13546630377115654</v>
      </c>
      <c r="AC390" s="48" t="str">
        <f t="shared" si="329"/>
        <v>-0.252120186068538-0.320576932051942i</v>
      </c>
      <c r="AD390" s="20">
        <f t="shared" si="330"/>
        <v>-7.7901855698427394</v>
      </c>
      <c r="AE390" s="44">
        <f t="shared" si="331"/>
        <v>-128.18355194076793</v>
      </c>
      <c r="AF390" t="str">
        <f t="shared" si="332"/>
        <v>45.9520231294187</v>
      </c>
      <c r="AG390" t="str">
        <f t="shared" si="314"/>
        <v>1+23.2762060471031i</v>
      </c>
      <c r="AH390">
        <f t="shared" si="333"/>
        <v>23.297677307989282</v>
      </c>
      <c r="AI390">
        <f t="shared" si="334"/>
        <v>1.5278604022472901</v>
      </c>
      <c r="AJ390" t="str">
        <f t="shared" si="315"/>
        <v>1+0.0527594003734338i</v>
      </c>
      <c r="AK390">
        <f t="shared" si="335"/>
        <v>1.0013908099876712</v>
      </c>
      <c r="AL390">
        <f t="shared" si="336"/>
        <v>5.271052908329333E-2</v>
      </c>
      <c r="AM390" t="str">
        <f t="shared" si="316"/>
        <v>1-0.118040076593992i</v>
      </c>
      <c r="AN390">
        <f t="shared" si="337"/>
        <v>1.0069426297869783</v>
      </c>
      <c r="AO390">
        <f t="shared" si="338"/>
        <v>-0.1174963792090705</v>
      </c>
      <c r="AP390" s="42" t="str">
        <f t="shared" si="339"/>
        <v>-0.0434525977172955-1.98836752584153i</v>
      </c>
      <c r="AQ390">
        <f t="shared" si="340"/>
        <v>5.9720068023865718</v>
      </c>
      <c r="AR390" s="44">
        <f t="shared" si="341"/>
        <v>-91.25190851830412</v>
      </c>
      <c r="AS390" t="str">
        <f t="shared" si="317"/>
        <v>-0.000166666666666667</v>
      </c>
      <c r="AT390" t="str">
        <f t="shared" si="318"/>
        <v>0.00416139770445459i</v>
      </c>
      <c r="AU390">
        <f t="shared" si="342"/>
        <v>4.16139770445459E-3</v>
      </c>
      <c r="AV390">
        <f t="shared" si="343"/>
        <v>1.5707963267948966</v>
      </c>
      <c r="AW390" t="str">
        <f t="shared" si="319"/>
        <v>1+0.758155091737101i</v>
      </c>
      <c r="AX390">
        <f t="shared" si="344"/>
        <v>1.2549100139559379</v>
      </c>
      <c r="AY390">
        <f t="shared" si="345"/>
        <v>0.64869996983205547</v>
      </c>
      <c r="AZ390" t="str">
        <f t="shared" si="320"/>
        <v>1+15.4321246092294i</v>
      </c>
      <c r="BA390">
        <f t="shared" si="346"/>
        <v>15.46449061413869</v>
      </c>
      <c r="BB390">
        <f t="shared" si="347"/>
        <v>1.5060869062973241</v>
      </c>
      <c r="BC390" s="42" t="str">
        <f t="shared" si="348"/>
        <v>-0.373191693889971+0.322987828998461i</v>
      </c>
      <c r="BD390">
        <f t="shared" si="349"/>
        <v>-6.1333487847024735</v>
      </c>
      <c r="BE390" s="44">
        <f t="shared" si="350"/>
        <v>139.12465286911115</v>
      </c>
      <c r="BF390" s="42" t="str">
        <f t="shared" si="351"/>
        <v>0.197631606613216+0.0382048967495492i</v>
      </c>
      <c r="BG390" s="20">
        <f t="shared" si="352"/>
        <v>-13.923534354545223</v>
      </c>
      <c r="BH390" s="44">
        <f t="shared" si="353"/>
        <v>10.941100928343216</v>
      </c>
      <c r="BI390" s="42" t="str">
        <f t="shared" si="357"/>
        <v>0.658434658968634+0.728007584843559i</v>
      </c>
      <c r="BJ390" s="20">
        <f t="shared" si="354"/>
        <v>-0.16134198231590036</v>
      </c>
      <c r="BK390" s="44">
        <f t="shared" si="358"/>
        <v>47.872744350807054</v>
      </c>
      <c r="BL390">
        <f t="shared" si="355"/>
        <v>-13.923534354545223</v>
      </c>
      <c r="BM390" s="44">
        <f t="shared" si="356"/>
        <v>10.941100928343216</v>
      </c>
    </row>
    <row r="391" spans="14:65" x14ac:dyDescent="0.35">
      <c r="N391" s="9">
        <v>73</v>
      </c>
      <c r="O391" s="35">
        <f t="shared" si="359"/>
        <v>53703.179637025423</v>
      </c>
      <c r="P391" s="34" t="str">
        <f t="shared" si="309"/>
        <v>16.3709677419355</v>
      </c>
      <c r="Q391" s="4" t="str">
        <f t="shared" si="310"/>
        <v>1+49.6344275275316i</v>
      </c>
      <c r="R391" s="4">
        <f t="shared" si="321"/>
        <v>49.644500158484689</v>
      </c>
      <c r="S391" s="4">
        <f t="shared" si="322"/>
        <v>1.5506517461458587</v>
      </c>
      <c r="T391" s="4" t="str">
        <f t="shared" si="311"/>
        <v>1+0.0539883246790694i</v>
      </c>
      <c r="U391" s="4">
        <f t="shared" si="323"/>
        <v>1.0014563091826088</v>
      </c>
      <c r="V391" s="4">
        <f t="shared" si="324"/>
        <v>5.3935962260162881E-2</v>
      </c>
      <c r="W391" t="str">
        <f t="shared" si="312"/>
        <v>1-0.706530881641903i</v>
      </c>
      <c r="X391" s="4">
        <f t="shared" si="325"/>
        <v>1.2244124659254678</v>
      </c>
      <c r="Y391" s="4">
        <f t="shared" si="326"/>
        <v>-0.61509567140042776</v>
      </c>
      <c r="Z391" t="str">
        <f t="shared" si="313"/>
        <v>0.997504353485667+0.13914352850699i</v>
      </c>
      <c r="AA391" s="4">
        <f t="shared" si="327"/>
        <v>1.0071622792520747</v>
      </c>
      <c r="AB391" s="4">
        <f t="shared" si="328"/>
        <v>0.13859732919725315</v>
      </c>
      <c r="AC391" s="48" t="str">
        <f t="shared" si="329"/>
        <v>-0.25232658459761-0.312277412814048i</v>
      </c>
      <c r="AD391" s="20">
        <f t="shared" si="330"/>
        <v>-7.9267298422943337</v>
      </c>
      <c r="AE391" s="44">
        <f t="shared" si="331"/>
        <v>-128.93892553006327</v>
      </c>
      <c r="AF391" t="str">
        <f t="shared" si="332"/>
        <v>45.9520231294187</v>
      </c>
      <c r="AG391" t="str">
        <f t="shared" si="314"/>
        <v>1+23.8183785348835i</v>
      </c>
      <c r="AH391">
        <f t="shared" si="333"/>
        <v>23.839361485387968</v>
      </c>
      <c r="AI391">
        <f t="shared" si="334"/>
        <v>1.5288365831340096</v>
      </c>
      <c r="AJ391" t="str">
        <f t="shared" si="315"/>
        <v>1+0.0539883246790694i</v>
      </c>
      <c r="AK391">
        <f t="shared" si="335"/>
        <v>1.0014563091826088</v>
      </c>
      <c r="AL391">
        <f t="shared" si="336"/>
        <v>5.3935962260162881E-2</v>
      </c>
      <c r="AM391" t="str">
        <f t="shared" si="316"/>
        <v>1-0.120789583186916i</v>
      </c>
      <c r="AN391">
        <f t="shared" si="337"/>
        <v>1.007268645102422</v>
      </c>
      <c r="AO391">
        <f t="shared" si="338"/>
        <v>-0.12020722775671484</v>
      </c>
      <c r="AP391" s="42" t="str">
        <f t="shared" si="339"/>
        <v>-0.047266854586793-1.94383314132531i</v>
      </c>
      <c r="AQ391">
        <f t="shared" si="340"/>
        <v>5.7757467977128201</v>
      </c>
      <c r="AR391" s="44">
        <f t="shared" si="341"/>
        <v>-91.392947594723736</v>
      </c>
      <c r="AS391" t="str">
        <f t="shared" si="317"/>
        <v>-0.000166666666666667</v>
      </c>
      <c r="AT391" t="str">
        <f t="shared" si="318"/>
        <v>0.0042583291090616i</v>
      </c>
      <c r="AU391">
        <f t="shared" si="342"/>
        <v>4.2583291090616E-3</v>
      </c>
      <c r="AV391">
        <f t="shared" si="343"/>
        <v>1.5707963267948966</v>
      </c>
      <c r="AW391" t="str">
        <f t="shared" si="319"/>
        <v>1+0.775814792436549i</v>
      </c>
      <c r="AX391">
        <f t="shared" si="344"/>
        <v>1.2656573755022982</v>
      </c>
      <c r="AY391">
        <f t="shared" si="345"/>
        <v>0.65981891397031445</v>
      </c>
      <c r="AZ391" t="str">
        <f t="shared" si="320"/>
        <v>1+15.7915849686278i</v>
      </c>
      <c r="BA391">
        <f t="shared" si="346"/>
        <v>15.823215723151582</v>
      </c>
      <c r="BB391">
        <f t="shared" si="347"/>
        <v>1.5075559029022378</v>
      </c>
      <c r="BC391" s="42" t="str">
        <f t="shared" si="348"/>
        <v>-0.366880669876237+0.323770432823464i</v>
      </c>
      <c r="BD391">
        <f t="shared" si="349"/>
        <v>-6.2082375786281681</v>
      </c>
      <c r="BE391" s="44">
        <f t="shared" si="350"/>
        <v>138.57175160292778</v>
      </c>
      <c r="BF391" s="42" t="str">
        <f t="shared" si="351"/>
        <v>0.19367993949255+0.0328726588924015i</v>
      </c>
      <c r="BG391" s="20">
        <f t="shared" si="352"/>
        <v>-14.134967420922502</v>
      </c>
      <c r="BH391" s="44">
        <f t="shared" si="353"/>
        <v>9.6328260728644999</v>
      </c>
      <c r="BI391" s="42" t="str">
        <f t="shared" si="357"/>
        <v>0.646696992777235+0.69785119504929i</v>
      </c>
      <c r="BJ391" s="20">
        <f t="shared" si="354"/>
        <v>-0.43249078091534715</v>
      </c>
      <c r="BK391" s="44">
        <f t="shared" si="358"/>
        <v>47.178804008204025</v>
      </c>
      <c r="BL391">
        <f t="shared" si="355"/>
        <v>-14.134967420922502</v>
      </c>
      <c r="BM391" s="44">
        <f t="shared" si="356"/>
        <v>9.6328260728644999</v>
      </c>
    </row>
    <row r="392" spans="14:65" x14ac:dyDescent="0.35">
      <c r="N392" s="9">
        <v>74</v>
      </c>
      <c r="O392" s="35">
        <f t="shared" si="359"/>
        <v>54954.087385762505</v>
      </c>
      <c r="P392" s="34" t="str">
        <f t="shared" si="309"/>
        <v>16.3709677419355</v>
      </c>
      <c r="Q392" s="4" t="str">
        <f t="shared" si="310"/>
        <v>1+50.7905618647899i</v>
      </c>
      <c r="R392" s="4">
        <f t="shared" si="321"/>
        <v>50.800405259614308</v>
      </c>
      <c r="S392" s="4">
        <f t="shared" si="322"/>
        <v>1.5511101729426731</v>
      </c>
      <c r="T392" s="4" t="str">
        <f t="shared" si="311"/>
        <v>1+0.0552458743090698i</v>
      </c>
      <c r="U392" s="4">
        <f t="shared" si="323"/>
        <v>1.0015248906683116</v>
      </c>
      <c r="V392" s="4">
        <f t="shared" si="324"/>
        <v>5.5189771579144675E-2</v>
      </c>
      <c r="W392" t="str">
        <f t="shared" si="312"/>
        <v>1-0.722988100014101i</v>
      </c>
      <c r="X392" s="4">
        <f t="shared" si="325"/>
        <v>1.2339820876990071</v>
      </c>
      <c r="Y392" s="4">
        <f t="shared" si="326"/>
        <v>-0.62598819279691642</v>
      </c>
      <c r="Z392" t="str">
        <f t="shared" si="313"/>
        <v>0.997386737288998+0.14238459764242i</v>
      </c>
      <c r="AA392" s="4">
        <f t="shared" si="327"/>
        <v>1.0074987232576458</v>
      </c>
      <c r="AB392" s="4">
        <f t="shared" si="328"/>
        <v>0.1417995609427421</v>
      </c>
      <c r="AC392" s="48" t="str">
        <f t="shared" si="329"/>
        <v>-0.252513575533468-0.304144098797506i</v>
      </c>
      <c r="AD392" s="20">
        <f t="shared" si="330"/>
        <v>-8.0613345162096977</v>
      </c>
      <c r="AE392" s="44">
        <f t="shared" si="331"/>
        <v>-129.70092333675859</v>
      </c>
      <c r="AF392" t="str">
        <f t="shared" si="332"/>
        <v>45.9520231294187</v>
      </c>
      <c r="AG392" t="str">
        <f t="shared" si="314"/>
        <v>1+24.3731798422366i</v>
      </c>
      <c r="AH392">
        <f t="shared" si="333"/>
        <v>24.393685568646831</v>
      </c>
      <c r="AI392">
        <f t="shared" si="334"/>
        <v>1.5297906207557082</v>
      </c>
      <c r="AJ392" t="str">
        <f t="shared" si="315"/>
        <v>1+0.0552458743090698i</v>
      </c>
      <c r="AK392">
        <f t="shared" si="335"/>
        <v>1.0015248906683116</v>
      </c>
      <c r="AL392">
        <f t="shared" si="336"/>
        <v>5.5189771579144675E-2</v>
      </c>
      <c r="AM392" t="str">
        <f t="shared" si="316"/>
        <v>1-0.123603134015684i</v>
      </c>
      <c r="AN392">
        <f t="shared" si="337"/>
        <v>1.0076099119890094</v>
      </c>
      <c r="AO392">
        <f t="shared" si="338"/>
        <v>-0.12297938317808957</v>
      </c>
      <c r="AP392" s="42" t="str">
        <f t="shared" si="339"/>
        <v>-0.0509100322058682-1.90031500837434i</v>
      </c>
      <c r="AQ392">
        <f t="shared" si="340"/>
        <v>5.5796278709393032</v>
      </c>
      <c r="AR392" s="44">
        <f t="shared" si="341"/>
        <v>-91.534604747451027</v>
      </c>
      <c r="AS392" t="str">
        <f t="shared" si="317"/>
        <v>-0.000166666666666667</v>
      </c>
      <c r="AT392" t="str">
        <f t="shared" si="318"/>
        <v>0.00435751833612788i</v>
      </c>
      <c r="AU392">
        <f t="shared" si="342"/>
        <v>4.3575183361278802E-3</v>
      </c>
      <c r="AV392">
        <f t="shared" si="343"/>
        <v>1.5707963267948966</v>
      </c>
      <c r="AW392" t="str">
        <f t="shared" si="319"/>
        <v>1+0.793885840408067i</v>
      </c>
      <c r="AX392">
        <f t="shared" si="344"/>
        <v>1.2768142886106901</v>
      </c>
      <c r="AY392">
        <f t="shared" si="345"/>
        <v>0.67100166103761694</v>
      </c>
      <c r="AZ392" t="str">
        <f t="shared" si="320"/>
        <v>1+16.1594182354029i</v>
      </c>
      <c r="BA392">
        <f t="shared" si="346"/>
        <v>16.19033037669929</v>
      </c>
      <c r="BB392">
        <f t="shared" si="347"/>
        <v>1.5089917251998917</v>
      </c>
      <c r="BC392" s="42" t="str">
        <f t="shared" si="348"/>
        <v>-0.360497013018964+0.324441544218632i</v>
      </c>
      <c r="BD392">
        <f t="shared" si="349"/>
        <v>-6.2852499365497554</v>
      </c>
      <c r="BE392" s="44">
        <f t="shared" si="350"/>
        <v>138.01329395039539</v>
      </c>
      <c r="BF392" s="42" t="str">
        <f t="shared" si="351"/>
        <v>0.189707370805401+0.027717144761599i</v>
      </c>
      <c r="BG392" s="20">
        <f t="shared" si="352"/>
        <v>-14.346584452759444</v>
      </c>
      <c r="BH392" s="44">
        <f t="shared" si="353"/>
        <v>8.3123706136367801</v>
      </c>
      <c r="BI392" s="42" t="str">
        <f t="shared" si="357"/>
        <v>0.634894050361728+0.668540554848965i</v>
      </c>
      <c r="BJ392" s="20">
        <f t="shared" si="354"/>
        <v>-0.70562206561045226</v>
      </c>
      <c r="BK392" s="44">
        <f t="shared" si="358"/>
        <v>46.478689202944388</v>
      </c>
      <c r="BL392">
        <f t="shared" si="355"/>
        <v>-14.346584452759444</v>
      </c>
      <c r="BM392" s="44">
        <f t="shared" si="356"/>
        <v>8.3123706136367801</v>
      </c>
    </row>
    <row r="393" spans="14:65" x14ac:dyDescent="0.35">
      <c r="N393" s="9">
        <v>75</v>
      </c>
      <c r="O393" s="35">
        <f t="shared" si="359"/>
        <v>56234.132519034953</v>
      </c>
      <c r="P393" s="34" t="str">
        <f t="shared" si="309"/>
        <v>16.3709677419355</v>
      </c>
      <c r="Q393" s="4" t="str">
        <f t="shared" si="310"/>
        <v>1+51.9736260302416i</v>
      </c>
      <c r="R393" s="4">
        <f t="shared" si="321"/>
        <v>51.983245403989606</v>
      </c>
      <c r="S393" s="4">
        <f t="shared" si="322"/>
        <v>1.5515581726681082</v>
      </c>
      <c r="T393" s="4" t="str">
        <f t="shared" si="311"/>
        <v>1+0.0565327160328944i</v>
      </c>
      <c r="U393" s="4">
        <f t="shared" si="323"/>
        <v>1.0015966992667538</v>
      </c>
      <c r="V393" s="4">
        <f t="shared" si="324"/>
        <v>5.6472606049315616E-2</v>
      </c>
      <c r="W393" t="str">
        <f t="shared" si="312"/>
        <v>1-0.739828656246806i</v>
      </c>
      <c r="X393" s="4">
        <f t="shared" si="325"/>
        <v>1.2439238081988602</v>
      </c>
      <c r="Y393" s="4">
        <f t="shared" si="326"/>
        <v>-0.63695960441668686</v>
      </c>
      <c r="Z393" t="str">
        <f t="shared" si="313"/>
        <v>0.997263578011753+0.145701160976203i</v>
      </c>
      <c r="AA393" s="4">
        <f t="shared" si="327"/>
        <v>1.0078509177148263</v>
      </c>
      <c r="AB393" s="4">
        <f t="shared" si="328"/>
        <v>0.14507453664866027</v>
      </c>
      <c r="AC393" s="48" t="str">
        <f t="shared" si="329"/>
        <v>-0.252681574258697-0.296172799957716i</v>
      </c>
      <c r="AD393" s="20">
        <f t="shared" si="330"/>
        <v>-8.1939733566490922</v>
      </c>
      <c r="AE393" s="44">
        <f t="shared" si="331"/>
        <v>-130.46934869636485</v>
      </c>
      <c r="AF393" t="str">
        <f t="shared" si="332"/>
        <v>45.9520231294187</v>
      </c>
      <c r="AG393" t="str">
        <f t="shared" si="314"/>
        <v>1+24.9409041321592i</v>
      </c>
      <c r="AH393">
        <f t="shared" si="333"/>
        <v>24.96094347034094</v>
      </c>
      <c r="AI393">
        <f t="shared" si="334"/>
        <v>1.5307230140049746</v>
      </c>
      <c r="AJ393" t="str">
        <f t="shared" si="315"/>
        <v>1+0.0565327160328944i</v>
      </c>
      <c r="AK393">
        <f t="shared" si="335"/>
        <v>1.0015966992667538</v>
      </c>
      <c r="AL393">
        <f t="shared" si="336"/>
        <v>5.6472606049315616E-2</v>
      </c>
      <c r="AM393" t="str">
        <f t="shared" si="316"/>
        <v>1-0.126482220862188i</v>
      </c>
      <c r="AN393">
        <f t="shared" si="337"/>
        <v>1.0079671384495783</v>
      </c>
      <c r="AO393">
        <f t="shared" si="338"/>
        <v>-0.12581414478664354</v>
      </c>
      <c r="AP393" s="42" t="str">
        <f t="shared" si="339"/>
        <v>-0.0543897785719457-1.85779101067482i</v>
      </c>
      <c r="AQ393">
        <f t="shared" si="340"/>
        <v>5.3836579663603725</v>
      </c>
      <c r="AR393" s="44">
        <f t="shared" si="341"/>
        <v>-91.67694582062164</v>
      </c>
      <c r="AS393" t="str">
        <f t="shared" si="317"/>
        <v>-0.000166666666666667</v>
      </c>
      <c r="AT393" t="str">
        <f t="shared" si="318"/>
        <v>0.00445901797709455i</v>
      </c>
      <c r="AU393">
        <f t="shared" si="342"/>
        <v>4.4590179770945503E-3</v>
      </c>
      <c r="AV393">
        <f t="shared" si="343"/>
        <v>1.5707963267948966</v>
      </c>
      <c r="AW393" t="str">
        <f t="shared" si="319"/>
        <v>1+0.812377817160492i</v>
      </c>
      <c r="AX393">
        <f t="shared" si="344"/>
        <v>1.288393463897751</v>
      </c>
      <c r="AY393">
        <f t="shared" si="345"/>
        <v>0.68224295328093454</v>
      </c>
      <c r="AZ393" t="str">
        <f t="shared" si="320"/>
        <v>1+16.5358194396216i</v>
      </c>
      <c r="BA393">
        <f t="shared" si="346"/>
        <v>16.566029232733101</v>
      </c>
      <c r="BB393">
        <f t="shared" si="347"/>
        <v>1.5103951107883478</v>
      </c>
      <c r="BC393" s="42" t="str">
        <f t="shared" si="348"/>
        <v>-0.354046343140466+0.324996833119631i</v>
      </c>
      <c r="BD393">
        <f t="shared" si="349"/>
        <v>-6.3644112642307586</v>
      </c>
      <c r="BE393" s="44">
        <f t="shared" si="350"/>
        <v>137.44962341982819</v>
      </c>
      <c r="BF393" s="42" t="str">
        <f t="shared" si="351"/>
        <v>0.185716209387699+0.0227381853409427i</v>
      </c>
      <c r="BG393" s="20">
        <f t="shared" si="352"/>
        <v>-14.558384620879872</v>
      </c>
      <c r="BH393" s="44">
        <f t="shared" si="353"/>
        <v>6.9802747234633236</v>
      </c>
      <c r="BI393" s="42" t="str">
        <f t="shared" si="357"/>
        <v>0.623032697275052+0.64006760785869i</v>
      </c>
      <c r="BJ393" s="20">
        <f t="shared" si="354"/>
        <v>-0.98075329787039134</v>
      </c>
      <c r="BK393" s="44">
        <f t="shared" si="358"/>
        <v>45.772677599206553</v>
      </c>
      <c r="BL393">
        <f t="shared" si="355"/>
        <v>-14.558384620879872</v>
      </c>
      <c r="BM393" s="44">
        <f t="shared" si="356"/>
        <v>6.9802747234633236</v>
      </c>
    </row>
    <row r="394" spans="14:65" x14ac:dyDescent="0.35">
      <c r="N394" s="9">
        <v>76</v>
      </c>
      <c r="O394" s="35">
        <f t="shared" si="359"/>
        <v>57543.993733715732</v>
      </c>
      <c r="P394" s="34" t="str">
        <f t="shared" si="309"/>
        <v>16.3709677419355</v>
      </c>
      <c r="Q394" s="4" t="str">
        <f t="shared" si="310"/>
        <v>1+53.1842473001669i</v>
      </c>
      <c r="R394" s="4">
        <f t="shared" si="321"/>
        <v>53.193647749381789</v>
      </c>
      <c r="S394" s="4">
        <f t="shared" si="322"/>
        <v>1.5519959821378144</v>
      </c>
      <c r="T394" s="4" t="str">
        <f t="shared" si="311"/>
        <v>1+0.0578495321510587i</v>
      </c>
      <c r="U394" s="4">
        <f t="shared" si="323"/>
        <v>1.0016718865826755</v>
      </c>
      <c r="V394" s="4">
        <f t="shared" si="324"/>
        <v>5.7785128948009731E-2</v>
      </c>
      <c r="W394" t="str">
        <f t="shared" si="312"/>
        <v>1-0.757061479425844i</v>
      </c>
      <c r="X394" s="4">
        <f t="shared" si="325"/>
        <v>1.25424960977887</v>
      </c>
      <c r="Y394" s="4">
        <f t="shared" si="326"/>
        <v>-0.64800515854303309</v>
      </c>
      <c r="Z394" t="str">
        <f t="shared" si="313"/>
        <v>0.997134614416592+0.149094976994119i</v>
      </c>
      <c r="AA394" s="4">
        <f t="shared" si="327"/>
        <v>1.0082195948465804</v>
      </c>
      <c r="AB394" s="4">
        <f t="shared" si="328"/>
        <v>0.14842382140558721</v>
      </c>
      <c r="AC394" s="48" t="str">
        <f t="shared" si="329"/>
        <v>-0.252830957903661-0.288359415291631i</v>
      </c>
      <c r="AD394" s="20">
        <f t="shared" si="330"/>
        <v>-8.3246218925908977</v>
      </c>
      <c r="AE394" s="44">
        <f t="shared" si="331"/>
        <v>-131.24399482338285</v>
      </c>
      <c r="AF394" t="str">
        <f t="shared" si="332"/>
        <v>45.9520231294187</v>
      </c>
      <c r="AG394" t="str">
        <f t="shared" si="314"/>
        <v>1+25.5218524195847i</v>
      </c>
      <c r="AH394">
        <f t="shared" si="333"/>
        <v>25.541435960553617</v>
      </c>
      <c r="AI394">
        <f t="shared" si="334"/>
        <v>1.5316342507606919</v>
      </c>
      <c r="AJ394" t="str">
        <f t="shared" si="315"/>
        <v>1+0.0578495321510587i</v>
      </c>
      <c r="AK394">
        <f t="shared" si="335"/>
        <v>1.0016718865826755</v>
      </c>
      <c r="AL394">
        <f t="shared" si="336"/>
        <v>5.7785128948009731E-2</v>
      </c>
      <c r="AM394" t="str">
        <f t="shared" si="316"/>
        <v>1-0.129428370256384i</v>
      </c>
      <c r="AN394">
        <f t="shared" si="337"/>
        <v>1.0083410648323432</v>
      </c>
      <c r="AO394">
        <f t="shared" si="338"/>
        <v>-0.12871283327485461</v>
      </c>
      <c r="AP394" s="42" t="str">
        <f t="shared" si="339"/>
        <v>-0.0577134020104876-1.816239495449i</v>
      </c>
      <c r="AQ394">
        <f t="shared" si="340"/>
        <v>5.1878453178330091</v>
      </c>
      <c r="AR394" s="44">
        <f t="shared" si="341"/>
        <v>-91.820036434749653</v>
      </c>
      <c r="AS394" t="str">
        <f t="shared" si="317"/>
        <v>-0.000166666666666667</v>
      </c>
      <c r="AT394" t="str">
        <f t="shared" si="318"/>
        <v>0.00456288184841476i</v>
      </c>
      <c r="AU394">
        <f t="shared" si="342"/>
        <v>4.5628818484147599E-3</v>
      </c>
      <c r="AV394">
        <f t="shared" si="343"/>
        <v>1.5707963267948966</v>
      </c>
      <c r="AW394" t="str">
        <f t="shared" si="319"/>
        <v>1+0.831300527384668i</v>
      </c>
      <c r="AX394">
        <f t="shared" si="344"/>
        <v>1.3004078463428415</v>
      </c>
      <c r="AY394">
        <f t="shared" si="345"/>
        <v>0.69353738743953453</v>
      </c>
      <c r="AZ394" t="str">
        <f t="shared" si="320"/>
        <v>1+16.9209881541846i</v>
      </c>
      <c r="BA394">
        <f t="shared" si="346"/>
        <v>16.950511500071482</v>
      </c>
      <c r="BB394">
        <f t="shared" si="347"/>
        <v>1.5117667816370921</v>
      </c>
      <c r="BC394" s="42" t="str">
        <f t="shared" si="348"/>
        <v>-0.347534542101984+0.325432271483564i</v>
      </c>
      <c r="BD394">
        <f t="shared" si="349"/>
        <v>-6.445744937292158</v>
      </c>
      <c r="BE394" s="44">
        <f t="shared" si="350"/>
        <v>136.88109096106621</v>
      </c>
      <c r="BF394" s="42" t="str">
        <f t="shared" si="351"/>
        <v>0.181708950706283+0.0179355044222191i</v>
      </c>
      <c r="BG394" s="20">
        <f t="shared" si="352"/>
        <v>-14.770366829883038</v>
      </c>
      <c r="BH394" s="44">
        <f t="shared" si="353"/>
        <v>5.6370961376833462</v>
      </c>
      <c r="BI394" s="42" t="str">
        <f t="shared" si="357"/>
        <v>0.611120345302993+0.61242415788709i</v>
      </c>
      <c r="BJ394" s="20">
        <f t="shared" si="354"/>
        <v>-1.2578996194591467</v>
      </c>
      <c r="BK394" s="44">
        <f t="shared" si="358"/>
        <v>45.061054526316575</v>
      </c>
      <c r="BL394">
        <f t="shared" si="355"/>
        <v>-14.770366829883038</v>
      </c>
      <c r="BM394" s="44">
        <f t="shared" si="356"/>
        <v>5.6370961376833462</v>
      </c>
    </row>
    <row r="395" spans="14:65" x14ac:dyDescent="0.35">
      <c r="N395" s="9">
        <v>77</v>
      </c>
      <c r="O395" s="35">
        <f t="shared" si="359"/>
        <v>58884.365535558936</v>
      </c>
      <c r="P395" s="34" t="str">
        <f t="shared" si="309"/>
        <v>16.3709677419355</v>
      </c>
      <c r="Q395" s="4" t="str">
        <f t="shared" si="310"/>
        <v>1+54.4230675619874i</v>
      </c>
      <c r="R395" s="4">
        <f t="shared" si="321"/>
        <v>54.432254067387703</v>
      </c>
      <c r="S395" s="4">
        <f t="shared" si="322"/>
        <v>1.5524238328124378</v>
      </c>
      <c r="T395" s="4" t="str">
        <f t="shared" si="311"/>
        <v>1+0.0591970208568986i</v>
      </c>
      <c r="U395" s="4">
        <f t="shared" si="323"/>
        <v>1.0017506113191708</v>
      </c>
      <c r="V395" s="4">
        <f t="shared" si="324"/>
        <v>5.9128018093167631E-2</v>
      </c>
      <c r="W395" t="str">
        <f t="shared" si="312"/>
        <v>1-0.774695706622167i</v>
      </c>
      <c r="X395" s="4">
        <f t="shared" si="325"/>
        <v>1.2649717142524646</v>
      </c>
      <c r="Y395" s="4">
        <f t="shared" si="326"/>
        <v>-0.65911993122160417</v>
      </c>
      <c r="Z395" t="str">
        <f t="shared" si="313"/>
        <v>0.99699957295444+0.152567845142342i</v>
      </c>
      <c r="AA395" s="4">
        <f t="shared" si="327"/>
        <v>1.0086055204304174</v>
      </c>
      <c r="AB395" s="4">
        <f t="shared" si="328"/>
        <v>0.15184900782848149</v>
      </c>
      <c r="AC395" s="48" t="str">
        <f t="shared" si="329"/>
        <v>-0.252962066309227-0.280699931206769i</v>
      </c>
      <c r="AD395" s="20">
        <f t="shared" si="330"/>
        <v>-8.4532575313613432</v>
      </c>
      <c r="AE395" s="44">
        <f t="shared" si="331"/>
        <v>-132.02464527173612</v>
      </c>
      <c r="AF395" t="str">
        <f t="shared" si="332"/>
        <v>45.9520231294187</v>
      </c>
      <c r="AG395" t="str">
        <f t="shared" si="314"/>
        <v>1+26.1163327309846i</v>
      </c>
      <c r="AH395">
        <f t="shared" si="333"/>
        <v>26.135470826359668</v>
      </c>
      <c r="AI395">
        <f t="shared" si="334"/>
        <v>1.5325248081160161</v>
      </c>
      <c r="AJ395" t="str">
        <f t="shared" si="315"/>
        <v>1+0.0591970208568986i</v>
      </c>
      <c r="AK395">
        <f t="shared" si="335"/>
        <v>1.0017506113191708</v>
      </c>
      <c r="AL395">
        <f t="shared" si="336"/>
        <v>5.9128018093167631E-2</v>
      </c>
      <c r="AM395" t="str">
        <f t="shared" si="316"/>
        <v>1-0.132443144285677i</v>
      </c>
      <c r="AN395">
        <f t="shared" si="337"/>
        <v>1.0087324652593852</v>
      </c>
      <c r="AO395">
        <f t="shared" si="338"/>
        <v>-0.13167679061457588</v>
      </c>
      <c r="AP395" s="42" t="str">
        <f t="shared" si="339"/>
        <v>-0.0608878860649882-1.77563926617997i</v>
      </c>
      <c r="AQ395">
        <f t="shared" si="340"/>
        <v>4.9921984637023957</v>
      </c>
      <c r="AR395" s="44">
        <f t="shared" si="341"/>
        <v>-91.963941978475418</v>
      </c>
      <c r="AS395" t="str">
        <f t="shared" si="317"/>
        <v>-0.000166666666666667</v>
      </c>
      <c r="AT395" t="str">
        <f t="shared" si="318"/>
        <v>0.00466916502008787i</v>
      </c>
      <c r="AU395">
        <f t="shared" si="342"/>
        <v>4.66916502008787E-3</v>
      </c>
      <c r="AV395">
        <f t="shared" si="343"/>
        <v>1.5707963267948966</v>
      </c>
      <c r="AW395" t="str">
        <f t="shared" si="319"/>
        <v>1+0.850664004152025i</v>
      </c>
      <c r="AX395">
        <f t="shared" si="344"/>
        <v>1.3128706135640162</v>
      </c>
      <c r="AY395">
        <f t="shared" si="345"/>
        <v>0.70487942657562552</v>
      </c>
      <c r="AZ395" t="str">
        <f t="shared" si="320"/>
        <v>1+17.3151286006428i</v>
      </c>
      <c r="BA395">
        <f t="shared" si="346"/>
        <v>17.34398104406247</v>
      </c>
      <c r="BB395">
        <f t="shared" si="347"/>
        <v>1.5131074443663182</v>
      </c>
      <c r="BC395" s="42" t="str">
        <f t="shared" si="348"/>
        <v>-0.340967734479782+0.325744154192471i</v>
      </c>
      <c r="BD395">
        <f t="shared" si="349"/>
        <v>-6.5292722184374163</v>
      </c>
      <c r="BE395" s="44">
        <f t="shared" si="350"/>
        <v>136.30805430363102</v>
      </c>
      <c r="BF395" s="42" t="str">
        <f t="shared" si="351"/>
        <v>0.177688264331615+0.0133087052795238i</v>
      </c>
      <c r="BG395" s="20">
        <f t="shared" si="352"/>
        <v>-14.982529749798772</v>
      </c>
      <c r="BH395" s="44">
        <f t="shared" si="353"/>
        <v>4.2834090318949212</v>
      </c>
      <c r="BI395" s="42" t="str">
        <f t="shared" si="357"/>
        <v>0.599164915481576+0.58560182489592i</v>
      </c>
      <c r="BJ395" s="20">
        <f t="shared" si="354"/>
        <v>-1.5370737547350222</v>
      </c>
      <c r="BK395" s="44">
        <f t="shared" si="358"/>
        <v>44.344112325155635</v>
      </c>
      <c r="BL395">
        <f t="shared" si="355"/>
        <v>-14.982529749798772</v>
      </c>
      <c r="BM395" s="44">
        <f t="shared" si="356"/>
        <v>4.2834090318949212</v>
      </c>
    </row>
    <row r="396" spans="14:65" x14ac:dyDescent="0.35">
      <c r="N396" s="9">
        <v>78</v>
      </c>
      <c r="O396" s="35">
        <f t="shared" si="359"/>
        <v>60255.95860743591</v>
      </c>
      <c r="P396" s="34" t="str">
        <f t="shared" si="309"/>
        <v>16.3709677419355</v>
      </c>
      <c r="Q396" s="4" t="str">
        <f t="shared" si="310"/>
        <v>1+55.6907436546038i</v>
      </c>
      <c r="R396" s="4">
        <f t="shared" si="321"/>
        <v>55.699721083707352</v>
      </c>
      <c r="S396" s="4">
        <f t="shared" si="322"/>
        <v>1.5528419509171443</v>
      </c>
      <c r="T396" s="4" t="str">
        <f t="shared" si="311"/>
        <v>1+0.0605758966067621i</v>
      </c>
      <c r="U396" s="4">
        <f t="shared" si="323"/>
        <v>1.0018330396077548</v>
      </c>
      <c r="V396" s="4">
        <f t="shared" si="324"/>
        <v>6.0501966117827412E-2</v>
      </c>
      <c r="W396" t="str">
        <f t="shared" si="312"/>
        <v>1-0.792740687736452i</v>
      </c>
      <c r="X396" s="4">
        <f t="shared" si="325"/>
        <v>1.2761025812969986</v>
      </c>
      <c r="Y396" s="4">
        <f t="shared" si="326"/>
        <v>-0.670298831338343</v>
      </c>
      <c r="Z396" t="str">
        <f t="shared" si="313"/>
        <v>0.99685816718425+0.156121606781534i</v>
      </c>
      <c r="AA396" s="4">
        <f t="shared" si="327"/>
        <v>1.0090094952903021</v>
      </c>
      <c r="AB396" s="4">
        <f t="shared" si="328"/>
        <v>0.15535171609686416</v>
      </c>
      <c r="AC396" s="48" t="str">
        <f t="shared" si="329"/>
        <v>-0.253075202927065-0.273190419947793i</v>
      </c>
      <c r="AD396" s="20">
        <f t="shared" si="330"/>
        <v>-8.5798596694263729</v>
      </c>
      <c r="AE396" s="44">
        <f t="shared" si="331"/>
        <v>-132.81107444832165</v>
      </c>
      <c r="AF396" t="str">
        <f t="shared" si="332"/>
        <v>45.9520231294187</v>
      </c>
      <c r="AG396" t="str">
        <f t="shared" si="314"/>
        <v>1+26.7246602676891i</v>
      </c>
      <c r="AH396">
        <f t="shared" si="333"/>
        <v>26.743363035029837</v>
      </c>
      <c r="AI396">
        <f t="shared" si="334"/>
        <v>1.5333951526026672</v>
      </c>
      <c r="AJ396" t="str">
        <f t="shared" si="315"/>
        <v>1+0.0605758966067621i</v>
      </c>
      <c r="AK396">
        <f t="shared" si="335"/>
        <v>1.0018330396077548</v>
      </c>
      <c r="AL396">
        <f t="shared" si="336"/>
        <v>6.0501966117827412E-2</v>
      </c>
      <c r="AM396" t="str">
        <f t="shared" si="316"/>
        <v>1-0.135528141423162i</v>
      </c>
      <c r="AN396">
        <f t="shared" si="337"/>
        <v>1.0091421491136006</v>
      </c>
      <c r="AO396">
        <f t="shared" si="338"/>
        <v>-0.13470737991676157</v>
      </c>
      <c r="AP396" s="42" t="str">
        <f t="shared" si="339"/>
        <v>-0.0639199037515472-1.73596957530158i</v>
      </c>
      <c r="AQ396">
        <f t="shared" si="340"/>
        <v>4.7967262621444959</v>
      </c>
      <c r="AR396" s="44">
        <f t="shared" si="341"/>
        <v>-92.10872759765239</v>
      </c>
      <c r="AS396" t="str">
        <f t="shared" si="317"/>
        <v>-0.000166666666666667</v>
      </c>
      <c r="AT396" t="str">
        <f t="shared" si="318"/>
        <v>0.00477792384485836i</v>
      </c>
      <c r="AU396">
        <f t="shared" si="342"/>
        <v>4.7779238448583602E-3</v>
      </c>
      <c r="AV396">
        <f t="shared" si="343"/>
        <v>1.5707963267948966</v>
      </c>
      <c r="AW396" t="str">
        <f t="shared" si="319"/>
        <v>1+0.870478514234256i</v>
      </c>
      <c r="AX396">
        <f t="shared" si="344"/>
        <v>1.3257951741288991</v>
      </c>
      <c r="AY396">
        <f t="shared" si="345"/>
        <v>0.71626341270455873</v>
      </c>
      <c r="AZ396" t="str">
        <f t="shared" si="320"/>
        <v>1+17.7184497574779i</v>
      </c>
      <c r="BA396">
        <f t="shared" si="346"/>
        <v>17.746646494711857</v>
      </c>
      <c r="BB396">
        <f t="shared" si="347"/>
        <v>1.5144177905248433</v>
      </c>
      <c r="BC396" s="42" t="str">
        <f t="shared" si="348"/>
        <v>-0.334352266245624+0.325929118443801i</v>
      </c>
      <c r="BD396">
        <f t="shared" si="349"/>
        <v>-6.6150121814632961</v>
      </c>
      <c r="BE396" s="44">
        <f t="shared" si="350"/>
        <v>135.7308772489923</v>
      </c>
      <c r="BF396" s="42" t="str">
        <f t="shared" si="351"/>
        <v>0.173656980370111+0.00885725823613395i</v>
      </c>
      <c r="BG396" s="20">
        <f t="shared" si="352"/>
        <v>-15.194871850889681</v>
      </c>
      <c r="BH396" s="44">
        <f t="shared" si="353"/>
        <v>2.9198028006706584</v>
      </c>
      <c r="BI396" s="42" t="str">
        <f t="shared" si="357"/>
        <v>0.587174798000836+0.559592003754782i</v>
      </c>
      <c r="BJ396" s="20">
        <f t="shared" si="354"/>
        <v>-1.8182859193187995</v>
      </c>
      <c r="BK396" s="44">
        <f t="shared" si="358"/>
        <v>43.622149651339875</v>
      </c>
      <c r="BL396">
        <f t="shared" si="355"/>
        <v>-15.194871850889681</v>
      </c>
      <c r="BM396" s="44">
        <f t="shared" si="356"/>
        <v>2.9198028006706584</v>
      </c>
    </row>
    <row r="397" spans="14:65" x14ac:dyDescent="0.35">
      <c r="N397" s="9">
        <v>79</v>
      </c>
      <c r="O397" s="35">
        <f t="shared" si="359"/>
        <v>61659.500186148245</v>
      </c>
      <c r="P397" s="34" t="str">
        <f t="shared" si="309"/>
        <v>16.3709677419355</v>
      </c>
      <c r="Q397" s="4" t="str">
        <f t="shared" si="310"/>
        <v>1+56.9879477166599i</v>
      </c>
      <c r="R397" s="4">
        <f t="shared" si="321"/>
        <v>56.99672082634897</v>
      </c>
      <c r="S397" s="4">
        <f t="shared" si="322"/>
        <v>1.5532505575585795</v>
      </c>
      <c r="T397" s="4" t="str">
        <f t="shared" si="311"/>
        <v>1+0.061986890498823i</v>
      </c>
      <c r="U397" s="4">
        <f t="shared" si="323"/>
        <v>1.0019193453535633</v>
      </c>
      <c r="V397" s="4">
        <f t="shared" si="324"/>
        <v>6.1907680746515162E-2</v>
      </c>
      <c r="W397" t="str">
        <f t="shared" si="312"/>
        <v>1-0.811205990456536i</v>
      </c>
      <c r="X397" s="4">
        <f t="shared" si="325"/>
        <v>1.2876549067792074</v>
      </c>
      <c r="Y397" s="4">
        <f t="shared" si="326"/>
        <v>-0.68153661063697102</v>
      </c>
      <c r="Z397" t="str">
        <f t="shared" si="313"/>
        <v>0.996710097165425+0.159758146163155i</v>
      </c>
      <c r="AA397" s="4">
        <f t="shared" si="327"/>
        <v>1.0094323568506209</v>
      </c>
      <c r="AB397" s="4">
        <f t="shared" si="328"/>
        <v>0.15893359395738324</v>
      </c>
      <c r="AC397" s="48" t="str">
        <f t="shared" si="329"/>
        <v>-0.253170635660704-0.265827038081752i</v>
      </c>
      <c r="AD397" s="20">
        <f t="shared" si="330"/>
        <v>-8.7044097987732574</v>
      </c>
      <c r="AE397" s="44">
        <f t="shared" si="331"/>
        <v>-133.60304817798314</v>
      </c>
      <c r="AF397" t="str">
        <f t="shared" si="332"/>
        <v>45.9520231294187</v>
      </c>
      <c r="AG397" t="str">
        <f t="shared" si="314"/>
        <v>1+27.3471575730101i</v>
      </c>
      <c r="AH397">
        <f t="shared" si="333"/>
        <v>27.365434901039738</v>
      </c>
      <c r="AI397">
        <f t="shared" si="334"/>
        <v>1.5342457404115175</v>
      </c>
      <c r="AJ397" t="str">
        <f t="shared" si="315"/>
        <v>1+0.061986890498823i</v>
      </c>
      <c r="AK397">
        <f t="shared" si="335"/>
        <v>1.0019193453535633</v>
      </c>
      <c r="AL397">
        <f t="shared" si="336"/>
        <v>6.1907680746515162E-2</v>
      </c>
      <c r="AM397" t="str">
        <f t="shared" si="316"/>
        <v>1-0.138684997375156i</v>
      </c>
      <c r="AN397">
        <f t="shared" si="337"/>
        <v>1.0095709625860616</v>
      </c>
      <c r="AO397">
        <f t="shared" si="338"/>
        <v>-0.13780598524739274</v>
      </c>
      <c r="AP397" s="42" t="str">
        <f t="shared" si="339"/>
        <v>-0.0668158312035781-1.69721011686799i</v>
      </c>
      <c r="AQ397">
        <f t="shared" si="340"/>
        <v>4.6014379069390676</v>
      </c>
      <c r="AR397" s="44">
        <f t="shared" si="341"/>
        <v>-92.254458181603098</v>
      </c>
      <c r="AS397" t="str">
        <f t="shared" si="317"/>
        <v>-0.000166666666666667</v>
      </c>
      <c r="AT397" t="str">
        <f t="shared" si="318"/>
        <v>0.00488921598809466i</v>
      </c>
      <c r="AU397">
        <f t="shared" si="342"/>
        <v>4.8892159880946596E-3</v>
      </c>
      <c r="AV397">
        <f t="shared" si="343"/>
        <v>1.5707963267948966</v>
      </c>
      <c r="AW397" t="str">
        <f t="shared" si="319"/>
        <v>1+0.890754563546875i</v>
      </c>
      <c r="AX397">
        <f t="shared" si="344"/>
        <v>1.3391951659409407</v>
      </c>
      <c r="AY397">
        <f t="shared" si="345"/>
        <v>0.72768358016081114</v>
      </c>
      <c r="AZ397" t="str">
        <f t="shared" si="320"/>
        <v>1+18.1311654709057i</v>
      </c>
      <c r="BA397">
        <f t="shared" si="346"/>
        <v>18.158721357335793</v>
      </c>
      <c r="BB397">
        <f t="shared" si="347"/>
        <v>1.5156984968663696</v>
      </c>
      <c r="BC397" s="42" t="str">
        <f t="shared" si="348"/>
        <v>-0.327694681591844+0.325984161412764i</v>
      </c>
      <c r="BD397">
        <f t="shared" si="349"/>
        <v>-6.7029816427159519</v>
      </c>
      <c r="BE397" s="44">
        <f t="shared" si="350"/>
        <v>135.14992892058163</v>
      </c>
      <c r="BF397" s="42" t="str">
        <f t="shared" si="351"/>
        <v>0.169618074931158+0.00458048924251171i</v>
      </c>
      <c r="BG397" s="20">
        <f t="shared" si="352"/>
        <v>-15.407391441489207</v>
      </c>
      <c r="BH397" s="44">
        <f t="shared" si="353"/>
        <v>1.5468807425984576</v>
      </c>
      <c r="BI397" s="42" t="str">
        <f t="shared" si="357"/>
        <v>0.575158809220022+0.534385826137517i</v>
      </c>
      <c r="BJ397" s="20">
        <f t="shared" si="354"/>
        <v>-2.1015437357768856</v>
      </c>
      <c r="BK397" s="44">
        <f t="shared" si="358"/>
        <v>42.89547073897851</v>
      </c>
      <c r="BL397">
        <f t="shared" si="355"/>
        <v>-15.407391441489207</v>
      </c>
      <c r="BM397" s="44">
        <f t="shared" si="356"/>
        <v>1.5468807425984576</v>
      </c>
    </row>
    <row r="398" spans="14:65" x14ac:dyDescent="0.35">
      <c r="N398" s="9">
        <v>80</v>
      </c>
      <c r="O398" s="35">
        <f t="shared" si="359"/>
        <v>63095.734448019342</v>
      </c>
      <c r="P398" s="34" t="str">
        <f t="shared" si="309"/>
        <v>16.3709677419355</v>
      </c>
      <c r="Q398" s="4" t="str">
        <f t="shared" si="310"/>
        <v>1+58.31536754292i</v>
      </c>
      <c r="R398" s="4">
        <f t="shared" si="321"/>
        <v>58.323940981948802</v>
      </c>
      <c r="S398" s="4">
        <f t="shared" si="322"/>
        <v>1.5536498688393146</v>
      </c>
      <c r="T398" s="4" t="str">
        <f t="shared" si="311"/>
        <v>1+0.06343075066072i</v>
      </c>
      <c r="U398" s="4">
        <f t="shared" si="323"/>
        <v>1.0020097105963508</v>
      </c>
      <c r="V398" s="4">
        <f t="shared" si="324"/>
        <v>6.3345885073272573E-2</v>
      </c>
      <c r="W398" t="str">
        <f t="shared" si="312"/>
        <v>1-0.83010140533034i</v>
      </c>
      <c r="X398" s="4">
        <f t="shared" si="325"/>
        <v>1.299641621036894</v>
      </c>
      <c r="Y398" s="4">
        <f t="shared" si="326"/>
        <v>-0.69282787463978301</v>
      </c>
      <c r="Z398" t="str">
        <f t="shared" si="313"/>
        <v>0.996555048821603+0.163479391428521i</v>
      </c>
      <c r="AA398" s="4">
        <f t="shared" si="327"/>
        <v>1.0098749807543839</v>
      </c>
      <c r="AB398" s="4">
        <f t="shared" si="328"/>
        <v>0.16259631668565105</v>
      </c>
      <c r="AC398" s="48" t="str">
        <f t="shared" si="329"/>
        <v>-0.253248597650434-0.258606025043041i</v>
      </c>
      <c r="AD398" s="20">
        <f t="shared" si="330"/>
        <v>-8.8268916081246829</v>
      </c>
      <c r="AE398" s="44">
        <f t="shared" si="331"/>
        <v>-134.40032431766619</v>
      </c>
      <c r="AF398" t="str">
        <f t="shared" si="332"/>
        <v>45.9520231294187</v>
      </c>
      <c r="AG398" t="str">
        <f t="shared" si="314"/>
        <v>1+27.9841547032588i</v>
      </c>
      <c r="AH398">
        <f t="shared" si="333"/>
        <v>28.002016256975526</v>
      </c>
      <c r="AI398">
        <f t="shared" si="334"/>
        <v>1.5350770176094723</v>
      </c>
      <c r="AJ398" t="str">
        <f t="shared" si="315"/>
        <v>1+0.06343075066072i</v>
      </c>
      <c r="AK398">
        <f t="shared" si="335"/>
        <v>1.0020097105963508</v>
      </c>
      <c r="AL398">
        <f t="shared" si="336"/>
        <v>6.3345885073272573E-2</v>
      </c>
      <c r="AM398" t="str">
        <f t="shared" si="316"/>
        <v>1-0.141915385948472i</v>
      </c>
      <c r="AN398">
        <f t="shared" si="337"/>
        <v>1.0100197902857664</v>
      </c>
      <c r="AO398">
        <f t="shared" si="338"/>
        <v>-0.14097401139625446</v>
      </c>
      <c r="AP398" s="42" t="str">
        <f t="shared" si="339"/>
        <v>-0.0695817607313519-1.65934101921548i</v>
      </c>
      <c r="AQ398">
        <f t="shared" si="340"/>
        <v>4.4063429436823283</v>
      </c>
      <c r="AR398" s="44">
        <f t="shared" si="341"/>
        <v>-92.401198346367579</v>
      </c>
      <c r="AS398" t="str">
        <f t="shared" si="317"/>
        <v>-0.000166666666666667</v>
      </c>
      <c r="AT398" t="str">
        <f t="shared" si="318"/>
        <v>0.00500310045836429i</v>
      </c>
      <c r="AU398">
        <f t="shared" si="342"/>
        <v>5.00310045836429E-3</v>
      </c>
      <c r="AV398">
        <f t="shared" si="343"/>
        <v>1.5707963267948966</v>
      </c>
      <c r="AW398" t="str">
        <f t="shared" si="319"/>
        <v>1+0.911502902719618i</v>
      </c>
      <c r="AX398">
        <f t="shared" si="344"/>
        <v>1.3530844547426777</v>
      </c>
      <c r="AY398">
        <f t="shared" si="345"/>
        <v>0.73913406962789818</v>
      </c>
      <c r="AZ398" t="str">
        <f t="shared" si="320"/>
        <v>1+18.5534945682606i</v>
      </c>
      <c r="BA398">
        <f t="shared" si="346"/>
        <v>18.580424125796362</v>
      </c>
      <c r="BB398">
        <f t="shared" si="347"/>
        <v>1.5169502256238301</v>
      </c>
      <c r="BC398" s="42" t="str">
        <f t="shared" si="348"/>
        <v>-0.321001698067167+0.325906655986234i</v>
      </c>
      <c r="BD398">
        <f t="shared" si="349"/>
        <v>-6.7931951006030724</v>
      </c>
      <c r="BE398" s="44">
        <f t="shared" si="350"/>
        <v>134.56558297565613</v>
      </c>
      <c r="BF398" s="42" t="str">
        <f t="shared" si="351"/>
        <v>0.165574654718588+0.000477569575760284i</v>
      </c>
      <c r="BG398" s="20">
        <f t="shared" si="352"/>
        <v>-15.620086708727746</v>
      </c>
      <c r="BH398" s="44">
        <f t="shared" si="353"/>
        <v>0.16525865798995307</v>
      </c>
      <c r="BI398" s="42" t="str">
        <f t="shared" si="357"/>
        <v>0.563126146062574+0.509974125883084i</v>
      </c>
      <c r="BJ398" s="20">
        <f t="shared" si="354"/>
        <v>-2.3868521569207344</v>
      </c>
      <c r="BK398" s="44">
        <f t="shared" si="358"/>
        <v>42.164384629288563</v>
      </c>
      <c r="BL398">
        <f t="shared" si="355"/>
        <v>-15.620086708727746</v>
      </c>
      <c r="BM398" s="44">
        <f t="shared" si="356"/>
        <v>0.16525865798995307</v>
      </c>
    </row>
    <row r="399" spans="14:65" x14ac:dyDescent="0.35">
      <c r="N399" s="9">
        <v>81</v>
      </c>
      <c r="O399" s="35">
        <f t="shared" si="359"/>
        <v>64565.422903465682</v>
      </c>
      <c r="P399" s="34" t="str">
        <f t="shared" si="309"/>
        <v>16.3709677419355</v>
      </c>
      <c r="Q399" s="4" t="str">
        <f t="shared" si="310"/>
        <v>1+59.6737069489467i</v>
      </c>
      <c r="R399" s="4">
        <f t="shared" si="321"/>
        <v>59.68208526039259</v>
      </c>
      <c r="S399" s="4">
        <f t="shared" si="322"/>
        <v>1.554040095969824</v>
      </c>
      <c r="T399" s="4" t="str">
        <f t="shared" si="311"/>
        <v>1+0.0649082426462227i</v>
      </c>
      <c r="U399" s="4">
        <f t="shared" si="323"/>
        <v>1.0021043258879891</v>
      </c>
      <c r="V399" s="4">
        <f t="shared" si="324"/>
        <v>6.4817317841025388E-2</v>
      </c>
      <c r="W399" t="str">
        <f t="shared" si="312"/>
        <v>1-0.849436950956945i</v>
      </c>
      <c r="X399" s="4">
        <f t="shared" si="325"/>
        <v>1.3120758871540288</v>
      </c>
      <c r="Y399" s="4">
        <f t="shared" si="326"/>
        <v>-0.70416709442623771</v>
      </c>
      <c r="Z399" t="str">
        <f t="shared" si="313"/>
        <v>0.996392693274459+0.167287315631128i</v>
      </c>
      <c r="AA399" s="4">
        <f t="shared" si="327"/>
        <v>1.0103382825478795</v>
      </c>
      <c r="AB399" s="4">
        <f t="shared" si="328"/>
        <v>0.16634158700404345</v>
      </c>
      <c r="AC399" s="48" t="str">
        <f t="shared" si="329"/>
        <v>-0.253309288005269-0.251523701739233i</v>
      </c>
      <c r="AD399" s="20">
        <f t="shared" si="330"/>
        <v>-8.9472910782470159</v>
      </c>
      <c r="AE399" s="44">
        <f t="shared" si="331"/>
        <v>-135.20265341698106</v>
      </c>
      <c r="AF399" t="str">
        <f t="shared" si="332"/>
        <v>45.9520231294187</v>
      </c>
      <c r="AG399" t="str">
        <f t="shared" si="314"/>
        <v>1+28.6359894027452i</v>
      </c>
      <c r="AH399">
        <f t="shared" si="333"/>
        <v>28.653444628423564</v>
      </c>
      <c r="AI399">
        <f t="shared" si="334"/>
        <v>1.5358894203526356</v>
      </c>
      <c r="AJ399" t="str">
        <f t="shared" si="315"/>
        <v>1+0.0649082426462227i</v>
      </c>
      <c r="AK399">
        <f t="shared" si="335"/>
        <v>1.0021043258879891</v>
      </c>
      <c r="AL399">
        <f t="shared" si="336"/>
        <v>6.4817317841025388E-2</v>
      </c>
      <c r="AM399" t="str">
        <f t="shared" si="316"/>
        <v>1-0.14522101993789i</v>
      </c>
      <c r="AN399">
        <f t="shared" si="337"/>
        <v>1.0104895569137768</v>
      </c>
      <c r="AO399">
        <f t="shared" si="338"/>
        <v>-0.1442128835950271</v>
      </c>
      <c r="AP399" s="42" t="str">
        <f t="shared" si="339"/>
        <v>-0.0722235133201848-1.62234283762871i</v>
      </c>
      <c r="AQ399">
        <f t="shared" si="340"/>
        <v>4.2114512864507097</v>
      </c>
      <c r="AR399" s="44">
        <f t="shared" si="341"/>
        <v>-92.549012414758138</v>
      </c>
      <c r="AS399" t="str">
        <f t="shared" si="317"/>
        <v>-0.000166666666666667</v>
      </c>
      <c r="AT399" t="str">
        <f t="shared" si="318"/>
        <v>0.00511963763872082i</v>
      </c>
      <c r="AU399">
        <f t="shared" si="342"/>
        <v>5.11963763872082E-3</v>
      </c>
      <c r="AV399">
        <f t="shared" si="343"/>
        <v>1.5707963267948966</v>
      </c>
      <c r="AW399" t="str">
        <f t="shared" si="319"/>
        <v>1+0.932734532796553i</v>
      </c>
      <c r="AX399">
        <f t="shared" si="344"/>
        <v>1.3674771327781696</v>
      </c>
      <c r="AY399">
        <f t="shared" si="345"/>
        <v>0.75060894275277512</v>
      </c>
      <c r="AZ399" t="str">
        <f t="shared" si="320"/>
        <v>1+18.9856609740201i</v>
      </c>
      <c r="BA399">
        <f t="shared" si="346"/>
        <v>19.011978398379004</v>
      </c>
      <c r="BB399">
        <f t="shared" si="347"/>
        <v>1.5181736247815714</v>
      </c>
      <c r="BC399" s="42" t="str">
        <f t="shared" si="348"/>
        <v>-0.314280180213874+0.325694364386367i</v>
      </c>
      <c r="BD399">
        <f t="shared" si="349"/>
        <v>-6.8856646837089936</v>
      </c>
      <c r="BE399" s="44">
        <f t="shared" si="350"/>
        <v>133.97821678355112</v>
      </c>
      <c r="BF399" s="42" t="str">
        <f t="shared" si="351"/>
        <v>0.16152994085021-0.00345249323937243i</v>
      </c>
      <c r="BG399" s="20">
        <f t="shared" si="352"/>
        <v>-15.832955761955992</v>
      </c>
      <c r="BH399" s="44">
        <f t="shared" si="353"/>
        <v>-1.2244366334299337</v>
      </c>
      <c r="BI399" s="42" t="str">
        <f t="shared" si="357"/>
        <v>0.551086338100204+0.486347408114071i</v>
      </c>
      <c r="BJ399" s="20">
        <f t="shared" si="354"/>
        <v>-2.6742133972582876</v>
      </c>
      <c r="BK399" s="44">
        <f t="shared" si="358"/>
        <v>41.429204368793037</v>
      </c>
      <c r="BL399">
        <f t="shared" si="355"/>
        <v>-15.832955761955992</v>
      </c>
      <c r="BM399" s="44">
        <f t="shared" si="356"/>
        <v>-1.2244366334299337</v>
      </c>
    </row>
    <row r="400" spans="14:65" x14ac:dyDescent="0.35">
      <c r="N400" s="9">
        <v>82</v>
      </c>
      <c r="O400" s="35">
        <f t="shared" si="359"/>
        <v>66069.344800759733</v>
      </c>
      <c r="P400" s="34" t="str">
        <f t="shared" si="309"/>
        <v>16.3709677419355</v>
      </c>
      <c r="Q400" s="4" t="str">
        <f t="shared" si="310"/>
        <v>1+61.0636861442725i</v>
      </c>
      <c r="R400" s="4">
        <f t="shared" si="321"/>
        <v>61.071873767931976</v>
      </c>
      <c r="S400" s="4">
        <f t="shared" si="322"/>
        <v>1.5544214453780429</v>
      </c>
      <c r="T400" s="4" t="str">
        <f t="shared" si="311"/>
        <v>1+0.0664201498411386i</v>
      </c>
      <c r="U400" s="4">
        <f t="shared" si="323"/>
        <v>1.0022033906871994</v>
      </c>
      <c r="V400" s="4">
        <f t="shared" si="324"/>
        <v>6.6322733721975599E-2</v>
      </c>
      <c r="W400" t="str">
        <f t="shared" si="312"/>
        <v>1-0.869222879298573i</v>
      </c>
      <c r="X400" s="4">
        <f t="shared" si="325"/>
        <v>1.3249710992682451</v>
      </c>
      <c r="Y400" s="4">
        <f t="shared" si="326"/>
        <v>-0.7155486192148065</v>
      </c>
      <c r="Z400" t="str">
        <f t="shared" si="313"/>
        <v>0.99622268614611+0.171183937782792i</v>
      </c>
      <c r="AA400" s="4">
        <f t="shared" si="327"/>
        <v>1.0108232194340381</v>
      </c>
      <c r="AB400" s="4">
        <f t="shared" si="328"/>
        <v>0.17017113495198841</v>
      </c>
      <c r="AC400" s="48" t="str">
        <f t="shared" si="329"/>
        <v>-0.253352872485055-0.244576469218832i</v>
      </c>
      <c r="AD400" s="20">
        <f t="shared" si="330"/>
        <v>-9.0655965706508308</v>
      </c>
      <c r="AE400" s="44">
        <f t="shared" si="331"/>
        <v>-136.00977942186989</v>
      </c>
      <c r="AF400" t="str">
        <f t="shared" si="332"/>
        <v>45.9520231294187</v>
      </c>
      <c r="AG400" t="str">
        <f t="shared" si="314"/>
        <v>1+29.3030072828552i</v>
      </c>
      <c r="AH400">
        <f t="shared" si="333"/>
        <v>29.320065412939734</v>
      </c>
      <c r="AI400">
        <f t="shared" si="334"/>
        <v>1.5366833750957707</v>
      </c>
      <c r="AJ400" t="str">
        <f t="shared" si="315"/>
        <v>1+0.0664201498411386i</v>
      </c>
      <c r="AK400">
        <f t="shared" si="335"/>
        <v>1.0022033906871994</v>
      </c>
      <c r="AL400">
        <f t="shared" si="336"/>
        <v>6.6322733721975599E-2</v>
      </c>
      <c r="AM400" t="str">
        <f t="shared" si="316"/>
        <v>1-0.148603652034307i</v>
      </c>
      <c r="AN400">
        <f t="shared" si="337"/>
        <v>1.0109812290037503</v>
      </c>
      <c r="AO400">
        <f t="shared" si="338"/>
        <v>-0.14752404718098455</v>
      </c>
      <c r="AP400" s="42" t="str">
        <f t="shared" si="339"/>
        <v>-0.0747466505902472-1.58619654702207i</v>
      </c>
      <c r="AQ400">
        <f t="shared" si="340"/>
        <v>4.0167732349233658</v>
      </c>
      <c r="AR400" s="44">
        <f t="shared" si="341"/>
        <v>-92.697964393026496</v>
      </c>
      <c r="AS400" t="str">
        <f t="shared" si="317"/>
        <v>-0.000166666666666667</v>
      </c>
      <c r="AT400" t="str">
        <f t="shared" si="318"/>
        <v>0.0052388893187198i</v>
      </c>
      <c r="AU400">
        <f t="shared" si="342"/>
        <v>5.2388893187197997E-3</v>
      </c>
      <c r="AV400">
        <f t="shared" si="343"/>
        <v>1.5707963267948966</v>
      </c>
      <c r="AW400" t="str">
        <f t="shared" si="319"/>
        <v>1+0.954460711068977i</v>
      </c>
      <c r="AX400">
        <f t="shared" si="344"/>
        <v>1.3823875176571501</v>
      </c>
      <c r="AY400">
        <f t="shared" si="345"/>
        <v>0.76210219725866601</v>
      </c>
      <c r="AZ400" t="str">
        <f t="shared" si="320"/>
        <v>1+19.427893828533i</v>
      </c>
      <c r="BA400">
        <f t="shared" si="346"/>
        <v>19.453612996375522</v>
      </c>
      <c r="BB400">
        <f t="shared" si="347"/>
        <v>1.5193693283451686</v>
      </c>
      <c r="BC400" s="42" t="str">
        <f t="shared" si="348"/>
        <v>-0.307537111918744+0.325345449523776i</v>
      </c>
      <c r="BD400">
        <f t="shared" si="349"/>
        <v>-6.9804001079925637</v>
      </c>
      <c r="BE400" s="44">
        <f t="shared" si="350"/>
        <v>133.38821057523663</v>
      </c>
      <c r="BF400" s="42" t="str">
        <f t="shared" si="351"/>
        <v>0.15748725202131-0.00721086319994693i</v>
      </c>
      <c r="BG400" s="20">
        <f t="shared" si="352"/>
        <v>-16.045996678643423</v>
      </c>
      <c r="BH400" s="44">
        <f t="shared" si="353"/>
        <v>-2.6215688466332647</v>
      </c>
      <c r="BI400" s="42" t="str">
        <f t="shared" si="357"/>
        <v>0.539049197672081+0.463495822369971i</v>
      </c>
      <c r="BJ400" s="20">
        <f t="shared" si="354"/>
        <v>-2.9636268730691957</v>
      </c>
      <c r="BK400" s="44">
        <f t="shared" si="358"/>
        <v>40.690246182210132</v>
      </c>
      <c r="BL400">
        <f t="shared" si="355"/>
        <v>-16.045996678643423</v>
      </c>
      <c r="BM400" s="44">
        <f t="shared" si="356"/>
        <v>-2.6215688466332647</v>
      </c>
    </row>
    <row r="401" spans="14:65" x14ac:dyDescent="0.35">
      <c r="N401" s="9">
        <v>83</v>
      </c>
      <c r="O401" s="35">
        <f t="shared" si="359"/>
        <v>67608.297539198305</v>
      </c>
      <c r="P401" s="34" t="str">
        <f t="shared" si="309"/>
        <v>16.3709677419355</v>
      </c>
      <c r="Q401" s="4" t="str">
        <f t="shared" si="310"/>
        <v>1+62.4860421142655i</v>
      </c>
      <c r="R401" s="4">
        <f t="shared" si="321"/>
        <v>62.494043388996381</v>
      </c>
      <c r="S401" s="4">
        <f t="shared" si="322"/>
        <v>1.5547941188165519</v>
      </c>
      <c r="T401" s="4" t="str">
        <f t="shared" si="311"/>
        <v>1+0.0679672738786747i</v>
      </c>
      <c r="U401" s="4">
        <f t="shared" si="323"/>
        <v>1.0023071137722703</v>
      </c>
      <c r="V401" s="4">
        <f t="shared" si="324"/>
        <v>6.7862903598664218E-2</v>
      </c>
      <c r="W401" t="str">
        <f t="shared" si="312"/>
        <v>1-0.889469681116329i</v>
      </c>
      <c r="X401" s="4">
        <f t="shared" si="325"/>
        <v>1.3383408809511812</v>
      </c>
      <c r="Y401" s="4">
        <f t="shared" si="326"/>
        <v>-0.72696668968488121</v>
      </c>
      <c r="Z401" t="str">
        <f t="shared" si="313"/>
        <v>0.996044666828644+0.175171323924156i</v>
      </c>
      <c r="AA401" s="4">
        <f t="shared" si="327"/>
        <v>1.0113307920967927</v>
      </c>
      <c r="AB401" s="4">
        <f t="shared" si="328"/>
        <v>0.17408671770507197</v>
      </c>
      <c r="AC401" s="48" t="str">
        <f t="shared" si="329"/>
        <v>-0.25337948413599-0.23776080740214i</v>
      </c>
      <c r="AD401" s="20">
        <f t="shared" si="330"/>
        <v>-9.1817989090181822</v>
      </c>
      <c r="AE401" s="44">
        <f t="shared" si="331"/>
        <v>-136.82144041756993</v>
      </c>
      <c r="AF401" t="str">
        <f t="shared" si="332"/>
        <v>45.9520231294187</v>
      </c>
      <c r="AG401" t="str">
        <f t="shared" si="314"/>
        <v>1+29.9855620052976i</v>
      </c>
      <c r="AH401">
        <f t="shared" si="333"/>
        <v>30.002232063190682</v>
      </c>
      <c r="AI401">
        <f t="shared" si="334"/>
        <v>1.5374592987980584</v>
      </c>
      <c r="AJ401" t="str">
        <f t="shared" si="315"/>
        <v>1+0.0679672738786747i</v>
      </c>
      <c r="AK401">
        <f t="shared" si="335"/>
        <v>1.0023071137722703</v>
      </c>
      <c r="AL401">
        <f t="shared" si="336"/>
        <v>6.7862903598664218E-2</v>
      </c>
      <c r="AM401" t="str">
        <f t="shared" si="316"/>
        <v>1-0.152065075754034i</v>
      </c>
      <c r="AN401">
        <f t="shared" si="337"/>
        <v>1.011495816730885</v>
      </c>
      <c r="AO401">
        <f t="shared" si="338"/>
        <v>-0.15090896720237693</v>
      </c>
      <c r="AP401" s="42" t="str">
        <f t="shared" si="339"/>
        <v>-0.0771564862401047-1.55088353464623i</v>
      </c>
      <c r="AQ401">
        <f t="shared" si="340"/>
        <v>3.8223194919720695</v>
      </c>
      <c r="AR401" s="44">
        <f t="shared" si="341"/>
        <v>-92.848117943939428</v>
      </c>
      <c r="AS401" t="str">
        <f t="shared" si="317"/>
        <v>-0.000166666666666667</v>
      </c>
      <c r="AT401" t="str">
        <f t="shared" si="318"/>
        <v>0.00536091872718046i</v>
      </c>
      <c r="AU401">
        <f t="shared" si="342"/>
        <v>5.3609187271804601E-3</v>
      </c>
      <c r="AV401">
        <f t="shared" si="343"/>
        <v>1.5707963267948966</v>
      </c>
      <c r="AW401" t="str">
        <f t="shared" si="319"/>
        <v>1+0.976692957044189i</v>
      </c>
      <c r="AX401">
        <f t="shared" si="344"/>
        <v>1.3978301514632321</v>
      </c>
      <c r="AY401">
        <f t="shared" si="345"/>
        <v>0.77360778246442607</v>
      </c>
      <c r="AZ401" t="str">
        <f t="shared" si="320"/>
        <v>1+19.8804276095123i</v>
      </c>
      <c r="BA401">
        <f t="shared" si="346"/>
        <v>19.905562085433779</v>
      </c>
      <c r="BB401">
        <f t="shared" si="347"/>
        <v>1.5205379566086727</v>
      </c>
      <c r="BC401" s="42" t="str">
        <f t="shared" si="348"/>
        <v>-0.300779567709427+0.324858483944696i</v>
      </c>
      <c r="BD401">
        <f t="shared" si="349"/>
        <v>-7.0774086434710659</v>
      </c>
      <c r="BE401" s="44">
        <f t="shared" si="350"/>
        <v>132.79594656943689</v>
      </c>
      <c r="BF401" s="42" t="str">
        <f t="shared" si="351"/>
        <v>0.153449987138987-0.0107988822104469i</v>
      </c>
      <c r="BG401" s="20">
        <f t="shared" si="352"/>
        <v>-16.259207552489233</v>
      </c>
      <c r="BH401" s="44">
        <f t="shared" si="353"/>
        <v>-4.0254938481330482</v>
      </c>
      <c r="BI401" s="42" t="str">
        <f t="shared" si="357"/>
        <v>0.527024768417243+0.441409139972101i</v>
      </c>
      <c r="BJ401" s="20">
        <f t="shared" si="354"/>
        <v>-3.2550891514989946</v>
      </c>
      <c r="BK401" s="44">
        <f t="shared" si="358"/>
        <v>39.947828625497458</v>
      </c>
      <c r="BL401">
        <f t="shared" si="355"/>
        <v>-16.259207552489233</v>
      </c>
      <c r="BM401" s="44">
        <f t="shared" si="356"/>
        <v>-4.0254938481330482</v>
      </c>
    </row>
    <row r="402" spans="14:65" x14ac:dyDescent="0.35">
      <c r="N402" s="9">
        <v>84</v>
      </c>
      <c r="O402" s="35">
        <f t="shared" si="359"/>
        <v>69183.097091893651</v>
      </c>
      <c r="P402" s="34" t="str">
        <f t="shared" si="309"/>
        <v>16.3709677419355</v>
      </c>
      <c r="Q402" s="4" t="str">
        <f t="shared" si="310"/>
        <v>1+63.9415290108877i</v>
      </c>
      <c r="R402" s="4">
        <f t="shared" si="321"/>
        <v>63.949348176898511</v>
      </c>
      <c r="S402" s="4">
        <f t="shared" si="322"/>
        <v>1.5551583134674321</v>
      </c>
      <c r="T402" s="4" t="str">
        <f t="shared" si="311"/>
        <v>1+0.0695504350644744i</v>
      </c>
      <c r="U402" s="4">
        <f t="shared" si="323"/>
        <v>1.0024157136725549</v>
      </c>
      <c r="V402" s="4">
        <f t="shared" si="324"/>
        <v>6.9438614845319879E-2</v>
      </c>
      <c r="W402" t="str">
        <f t="shared" si="312"/>
        <v>1-0.910188091532534i</v>
      </c>
      <c r="X402" s="4">
        <f t="shared" si="325"/>
        <v>1.3521990837031492</v>
      </c>
      <c r="Y402" s="4">
        <f t="shared" si="326"/>
        <v>-0.7384154519673044</v>
      </c>
      <c r="Z402" t="str">
        <f t="shared" si="313"/>
        <v>0.99585825771922+0.17925158822013i</v>
      </c>
      <c r="AA402" s="4">
        <f t="shared" si="327"/>
        <v>1.0118620465987445</v>
      </c>
      <c r="AB402" s="4">
        <f t="shared" si="328"/>
        <v>0.17809011933910268</v>
      </c>
      <c r="AC402" s="48" t="str">
        <f t="shared" si="329"/>
        <v>-0.253389223882699-0.231073273876359i</v>
      </c>
      <c r="AD402" s="20">
        <f t="shared" si="330"/>
        <v>-9.2958914527455025</v>
      </c>
      <c r="AE402" s="44">
        <f t="shared" si="331"/>
        <v>-137.63736940657907</v>
      </c>
      <c r="AF402" t="str">
        <f t="shared" si="332"/>
        <v>45.9520231294187</v>
      </c>
      <c r="AG402" t="str">
        <f t="shared" si="314"/>
        <v>1+30.684015469621i</v>
      </c>
      <c r="AH402">
        <f t="shared" si="333"/>
        <v>30.700306274367051</v>
      </c>
      <c r="AI402">
        <f t="shared" si="334"/>
        <v>1.538217599125175</v>
      </c>
      <c r="AJ402" t="str">
        <f t="shared" si="315"/>
        <v>1+0.0695504350644744i</v>
      </c>
      <c r="AK402">
        <f t="shared" si="335"/>
        <v>1.0024157136725549</v>
      </c>
      <c r="AL402">
        <f t="shared" si="336"/>
        <v>6.9438614845319879E-2</v>
      </c>
      <c r="AM402" t="str">
        <f t="shared" si="316"/>
        <v>1-0.155607126389745i</v>
      </c>
      <c r="AN402">
        <f t="shared" si="337"/>
        <v>1.012034375791294</v>
      </c>
      <c r="AO402">
        <f t="shared" si="338"/>
        <v>-0.15436912796140639</v>
      </c>
      <c r="AP402" s="42" t="str">
        <f t="shared" si="339"/>
        <v>-0.0794580969953252-1.51638559282888i</v>
      </c>
      <c r="AQ402">
        <f t="shared" si="340"/>
        <v>3.6281011817244857</v>
      </c>
      <c r="AR402" s="44">
        <f t="shared" si="341"/>
        <v>-92.999536356051109</v>
      </c>
      <c r="AS402" t="str">
        <f t="shared" si="317"/>
        <v>-0.000166666666666667</v>
      </c>
      <c r="AT402" t="str">
        <f t="shared" si="318"/>
        <v>0.00548579056571042i</v>
      </c>
      <c r="AU402">
        <f t="shared" si="342"/>
        <v>5.4857905657104203E-3</v>
      </c>
      <c r="AV402">
        <f t="shared" si="343"/>
        <v>1.5707963267948966</v>
      </c>
      <c r="AW402" t="str">
        <f t="shared" si="319"/>
        <v>1+0.999443058553284i</v>
      </c>
      <c r="AX402">
        <f t="shared" si="344"/>
        <v>1.4138198001479336</v>
      </c>
      <c r="AY402">
        <f t="shared" si="345"/>
        <v>0.78511961511375039</v>
      </c>
      <c r="AZ402" t="str">
        <f t="shared" si="320"/>
        <v>1+20.3435022563587i</v>
      </c>
      <c r="BA402">
        <f t="shared" si="346"/>
        <v>20.368065299739971</v>
      </c>
      <c r="BB402">
        <f t="shared" si="347"/>
        <v>1.5216801164191196</v>
      </c>
      <c r="BC402" s="42" t="str">
        <f t="shared" si="348"/>
        <v>-0.294014683243747+0.324232456263779i</v>
      </c>
      <c r="BD402">
        <f t="shared" si="349"/>
        <v>-7.1766950907117257</v>
      </c>
      <c r="BE402" s="44">
        <f t="shared" si="350"/>
        <v>132.20180808083779</v>
      </c>
      <c r="BF402" s="42" t="str">
        <f t="shared" si="351"/>
        <v>0.149421607563095-0.0142180750254068i</v>
      </c>
      <c r="BG402" s="20">
        <f t="shared" si="352"/>
        <v>-16.472586543457254</v>
      </c>
      <c r="BH402" s="44">
        <f t="shared" si="353"/>
        <v>-5.4355613257412854</v>
      </c>
      <c r="BI402" s="42" t="str">
        <f t="shared" si="357"/>
        <v>0.515023272625146+0.420076735792125i</v>
      </c>
      <c r="BJ402" s="20">
        <f t="shared" si="354"/>
        <v>-3.5485939089872369</v>
      </c>
      <c r="BK402" s="44">
        <f t="shared" si="358"/>
        <v>39.202271724786684</v>
      </c>
      <c r="BL402">
        <f t="shared" si="355"/>
        <v>-16.472586543457254</v>
      </c>
      <c r="BM402" s="44">
        <f t="shared" si="356"/>
        <v>-5.4355613257412854</v>
      </c>
    </row>
    <row r="403" spans="14:65" x14ac:dyDescent="0.35">
      <c r="N403" s="9">
        <v>85</v>
      </c>
      <c r="O403" s="35">
        <f t="shared" si="359"/>
        <v>70794.578438413781</v>
      </c>
      <c r="P403" s="34" t="str">
        <f t="shared" ref="P403:P466" si="360">COMPLEX(Adc,0)</f>
        <v>16.3709677419355</v>
      </c>
      <c r="Q403" s="4" t="str">
        <f t="shared" ref="Q403:Q466" si="361">IMSUM(COMPLEX(1,0),IMDIV(COMPLEX(0,2*PI()*O403),COMPLEX(wp_lf,0)))</f>
        <v>1+65.4309185525579i</v>
      </c>
      <c r="R403" s="4">
        <f t="shared" si="321"/>
        <v>65.438559753645748</v>
      </c>
      <c r="S403" s="4">
        <f t="shared" si="322"/>
        <v>1.5555142220448384</v>
      </c>
      <c r="T403" s="4" t="str">
        <f t="shared" ref="T403:T466" si="362">IMSUM(COMPLEX(1,0),IMDIV(COMPLEX(0,2*PI()*O403),COMPLEX(wz_esr,0)))</f>
        <v>1+0.0711704728115542i</v>
      </c>
      <c r="U403" s="4">
        <f t="shared" si="323"/>
        <v>1.0025294191195688</v>
      </c>
      <c r="V403" s="4">
        <f t="shared" si="324"/>
        <v>7.1050671609072497E-2</v>
      </c>
      <c r="W403" t="str">
        <f t="shared" ref="W403:W466" si="363">IMSUB(COMPLEX(1,0),IMDIV(COMPLEX(0,2*PI()*O403),COMPLEX(wz_rhp,0)))</f>
        <v>1-0.931389095722635i</v>
      </c>
      <c r="X403" s="4">
        <f t="shared" si="325"/>
        <v>1.3665597856043576</v>
      </c>
      <c r="Y403" s="4">
        <f t="shared" si="326"/>
        <v>-0.74988897222460482</v>
      </c>
      <c r="Z403" t="str">
        <f t="shared" ref="Z403:Z466" si="364">IMSUM(COMPLEX(1,0),IMDIV(COMPLEX(0,2*PI()*O403),COMPLEX(Q*(wsl/2),0)),IMDIV(IMPOWER(COMPLEX(0,2*PI()*O403),2),IMPOWER(COMPLEX(wsl/2,0),2)))</f>
        <v>0.995663063419126+0.183426894080854i</v>
      </c>
      <c r="AA403" s="4">
        <f t="shared" si="327"/>
        <v>1.0124180763544808</v>
      </c>
      <c r="AB403" s="4">
        <f t="shared" si="328"/>
        <v>0.18218315053508702</v>
      </c>
      <c r="AC403" s="48" t="str">
        <f t="shared" si="329"/>
        <v>-0.253382161080217-0.22451050275606i</v>
      </c>
      <c r="AD403" s="20">
        <f t="shared" si="330"/>
        <v>-9.4078701620471996</v>
      </c>
      <c r="AE403" s="44">
        <f t="shared" si="331"/>
        <v>-138.45729511690496</v>
      </c>
      <c r="AF403" t="str">
        <f t="shared" si="332"/>
        <v>45.9520231294187</v>
      </c>
      <c r="AG403" t="str">
        <f t="shared" ref="AG403:AG466" si="365">IMSUM(COMPLEX(1,0),IMDIV(COMPLEX(0,2*PI()*O403),COMPLEX(wp_lf_DCM,0)))</f>
        <v>1+31.3987380050974i</v>
      </c>
      <c r="AH403">
        <f t="shared" si="333"/>
        <v>31.414658175965371</v>
      </c>
      <c r="AI403">
        <f t="shared" si="334"/>
        <v>1.5389586746476982</v>
      </c>
      <c r="AJ403" t="str">
        <f t="shared" ref="AJ403:AJ466" si="366">IMSUM(COMPLEX(1,0),IMDIV(COMPLEX(0,2*PI()*O403),COMPLEX(wz1_dcm,0)))</f>
        <v>1+0.0711704728115542i</v>
      </c>
      <c r="AK403">
        <f t="shared" si="335"/>
        <v>1.0025294191195688</v>
      </c>
      <c r="AL403">
        <f t="shared" si="336"/>
        <v>7.1050671609072497E-2</v>
      </c>
      <c r="AM403" t="str">
        <f t="shared" ref="AM403:AM466" si="367">IMSUB(COMPLEX(1,0),IMDIV(COMPLEX(0,2*PI()*O403),COMPLEX(wz2_dcm,0)))</f>
        <v>1-0.159231681983571i</v>
      </c>
      <c r="AN403">
        <f t="shared" si="337"/>
        <v>1.0125980093538192</v>
      </c>
      <c r="AO403">
        <f t="shared" si="338"/>
        <v>-0.15790603249048393</v>
      </c>
      <c r="AP403" s="42" t="str">
        <f t="shared" si="339"/>
        <v>-0.0816563330826551-1.48268491175784i</v>
      </c>
      <c r="AQ403">
        <f t="shared" si="340"/>
        <v>3.4341298681053054</v>
      </c>
      <c r="AR403" s="44">
        <f t="shared" si="341"/>
        <v>-93.152282508950435</v>
      </c>
      <c r="AS403" t="str">
        <f t="shared" ref="AS403:AS466" si="368">COMPLEX(Adc_ea,0)</f>
        <v>-0.000166666666666667</v>
      </c>
      <c r="AT403" t="str">
        <f t="shared" ref="AT403:AT466" si="369">COMPLEX(0,2*PI()*O403*wp0_ea)</f>
        <v>0.00561357104301134i</v>
      </c>
      <c r="AU403">
        <f t="shared" si="342"/>
        <v>5.6135710430113396E-3</v>
      </c>
      <c r="AV403">
        <f t="shared" si="343"/>
        <v>1.5707963267948966</v>
      </c>
      <c r="AW403" t="str">
        <f t="shared" ref="AW403:AW466" si="370">IMSUM(COMPLEX(1,0),IMDIV(COMPLEX(0,2*PI()*O403),COMPLEX(wp1_ea,0)))</f>
        <v>1+1.02272307800122i</v>
      </c>
      <c r="AX403">
        <f t="shared" si="344"/>
        <v>1.4303714532513188</v>
      </c>
      <c r="AY403">
        <f t="shared" si="345"/>
        <v>0.79663159541388961</v>
      </c>
      <c r="AZ403" t="str">
        <f t="shared" ref="AZ403:AZ466" si="371">IMSUM(COMPLEX(1,0),IMDIV(COMPLEX(0,2*PI()*O403),COMPLEX(wz_ea,0)))</f>
        <v>1+20.8173632973796i</v>
      </c>
      <c r="BA403">
        <f t="shared" si="346"/>
        <v>20.841367869098406</v>
      </c>
      <c r="BB403">
        <f t="shared" si="347"/>
        <v>1.5227964014381439</v>
      </c>
      <c r="BC403" s="42" t="str">
        <f t="shared" si="348"/>
        <v>-0.287249625251749+0.323466775003312i</v>
      </c>
      <c r="BD403">
        <f t="shared" si="349"/>
        <v>-7.2782617673657413</v>
      </c>
      <c r="BE403" s="44">
        <f t="shared" si="350"/>
        <v>131.60617861612587</v>
      </c>
      <c r="BF403" s="42" t="str">
        <f t="shared" si="351"/>
        <v>0.145405619096646-0.0174701527062275i</v>
      </c>
      <c r="BG403" s="20">
        <f t="shared" si="352"/>
        <v>-16.686131929412916</v>
      </c>
      <c r="BH403" s="44">
        <f t="shared" si="353"/>
        <v>-6.8511165007790469</v>
      </c>
      <c r="BI403" s="42" t="str">
        <f t="shared" si="357"/>
        <v>0.503055057829803+0.399487574548019i</v>
      </c>
      <c r="BJ403" s="20">
        <f t="shared" si="354"/>
        <v>-3.8441318992604456</v>
      </c>
      <c r="BK403" s="44">
        <f t="shared" si="358"/>
        <v>38.453896107175439</v>
      </c>
      <c r="BL403">
        <f t="shared" si="355"/>
        <v>-16.686131929412916</v>
      </c>
      <c r="BM403" s="44">
        <f t="shared" si="356"/>
        <v>-6.8511165007790469</v>
      </c>
    </row>
    <row r="404" spans="14:65" x14ac:dyDescent="0.35">
      <c r="N404" s="9">
        <v>86</v>
      </c>
      <c r="O404" s="35">
        <f t="shared" si="359"/>
        <v>72443.596007499116</v>
      </c>
      <c r="P404" s="34" t="str">
        <f t="shared" si="360"/>
        <v>16.3709677419355</v>
      </c>
      <c r="Q404" s="4" t="str">
        <f t="shared" si="361"/>
        <v>1+66.9550004333254i</v>
      </c>
      <c r="R404" s="4">
        <f t="shared" ref="R404:R467" si="372">IMABS(Q404)</f>
        <v>66.962467719063369</v>
      </c>
      <c r="S404" s="4">
        <f t="shared" ref="S404:S467" si="373">IMARGUMENT(Q404)</f>
        <v>1.5558620328953363</v>
      </c>
      <c r="T404" s="4" t="str">
        <f t="shared" si="362"/>
        <v>1+0.0728282460853715i</v>
      </c>
      <c r="U404" s="4">
        <f t="shared" ref="U404:U467" si="374">IMABS(T404)</f>
        <v>1.0026484695185405</v>
      </c>
      <c r="V404" s="4">
        <f t="shared" ref="V404:V467" si="375">IMARGUMENT(T404)</f>
        <v>7.2699895090574632E-2</v>
      </c>
      <c r="W404" t="str">
        <f t="shared" si="363"/>
        <v>1-0.953083934739683i</v>
      </c>
      <c r="X404" s="4">
        <f t="shared" ref="X404:X467" si="376">IMABS(W404)</f>
        <v>1.3814372901651657</v>
      </c>
      <c r="Y404" s="4">
        <f t="shared" ref="Y404:Y467" si="377">IMARGUMENT(W404)</f>
        <v>-0.76138125173522109</v>
      </c>
      <c r="Z404" t="str">
        <f t="shared" si="364"/>
        <v>0.99545866989508+0.187699455308763i</v>
      </c>
      <c r="AA404" s="4">
        <f t="shared" ref="AA404:AA467" si="378">IMABS(Z404)</f>
        <v>1.0130000241818793</v>
      </c>
      <c r="AB404" s="4">
        <f t="shared" ref="AB404:AB467" si="379">IMARGUMENT(Z404)</f>
        <v>0.18636764822085236</v>
      </c>
      <c r="AC404" s="48" t="str">
        <f t="shared" ref="AC404:AC467" si="380">(IMDIV(IMPRODUCT(P404,T404,W404),IMPRODUCT(Q404,Z404)))</f>
        <v>-0.253358334029203-0.218069203610232i</v>
      </c>
      <c r="AD404" s="20">
        <f t="shared" ref="AD404:AD467" si="381">20*LOG(IMABS(AC404))</f>
        <v>-9.5177336541317192</v>
      </c>
      <c r="AE404" s="44">
        <f t="shared" ref="AE404:AE467" si="382">(180/PI())*IMARGUMENT(AC404)</f>
        <v>-139.28094283546307</v>
      </c>
      <c r="AF404" t="str">
        <f t="shared" ref="AF404:AF467" si="383">COMPLEX($B$68,0)</f>
        <v>45.9520231294187</v>
      </c>
      <c r="AG404" t="str">
        <f t="shared" si="365"/>
        <v>1+32.1301085670756i</v>
      </c>
      <c r="AH404">
        <f t="shared" ref="AH404:AH467" si="384">IMABS(AG404)</f>
        <v>32.145666528041772</v>
      </c>
      <c r="AI404">
        <f t="shared" ref="AI404:AI467" si="385">IMARGUMENT(AG404)</f>
        <v>1.53968291503587</v>
      </c>
      <c r="AJ404" t="str">
        <f t="shared" si="366"/>
        <v>1+0.0728282460853715i</v>
      </c>
      <c r="AK404">
        <f t="shared" ref="AK404:AK467" si="386">IMABS(AJ404)</f>
        <v>1.0026484695185405</v>
      </c>
      <c r="AL404">
        <f t="shared" ref="AL404:AL467" si="387">IMARGUMENT(AJ404)</f>
        <v>7.2699895090574632E-2</v>
      </c>
      <c r="AM404" t="str">
        <f t="shared" si="367"/>
        <v>1-0.162940664322866i</v>
      </c>
      <c r="AN404">
        <f t="shared" ref="AN404:AN467" si="388">IMABS(AM404)</f>
        <v>1.0131878700862822</v>
      </c>
      <c r="AO404">
        <f t="shared" ref="AO404:AO467" si="389">IMARGUMENT(AM404)</f>
        <v>-0.16152120195727745</v>
      </c>
      <c r="AP404" s="42" t="str">
        <f t="shared" ref="AP404:AP467" si="390">(IMDIV(IMPRODUCT(AF404,AJ404,AM404),IMPRODUCT(AG404)))</f>
        <v>-0.0837558282495392-1.44976407231417i</v>
      </c>
      <c r="AQ404">
        <f t="shared" ref="AQ404:AQ467" si="391">20*LOG(IMABS(AP404))</f>
        <v>3.2404175738592618</v>
      </c>
      <c r="AR404" s="44">
        <f t="shared" ref="AR404:AR467" si="392">(180/PI())*IMARGUMENT(AP404)</f>
        <v>-93.306418834253492</v>
      </c>
      <c r="AS404" t="str">
        <f t="shared" si="368"/>
        <v>-0.000166666666666667</v>
      </c>
      <c r="AT404" t="str">
        <f t="shared" si="369"/>
        <v>0.00574432790998368i</v>
      </c>
      <c r="AU404">
        <f t="shared" ref="AU404:AU467" si="393">IMABS(AT404)</f>
        <v>5.74432790998368E-3</v>
      </c>
      <c r="AV404">
        <f t="shared" ref="AV404:AV467" si="394">IMARGUMENT(AT404)</f>
        <v>1.5707963267948966</v>
      </c>
      <c r="AW404" t="str">
        <f t="shared" si="370"/>
        <v>1+1.04654535876245i</v>
      </c>
      <c r="AX404">
        <f t="shared" ref="AX404:AX467" si="395">IMABS(AW404)</f>
        <v>1.4475003239886428</v>
      </c>
      <c r="AY404">
        <f t="shared" ref="AY404:AY467" si="396">IMARGUMENT(AW404)</f>
        <v>0.80813762318100979</v>
      </c>
      <c r="AZ404" t="str">
        <f t="shared" si="371"/>
        <v>1+21.3022619799711i</v>
      </c>
      <c r="BA404">
        <f t="shared" ref="BA404:BA467" si="397">IMABS(AZ404)</f>
        <v>21.325720748976391</v>
      </c>
      <c r="BB404">
        <f t="shared" ref="BB404:BB467" si="398">IMARGUMENT(AZ404)</f>
        <v>1.5238873924005618</v>
      </c>
      <c r="BC404" s="42" t="str">
        <f t="shared" ref="BC404:BC467" si="399">IMPRODUCT(AS404,IMDIV(AZ404,IMPRODUCT(AT404,AW404)))</f>
        <v>-0.280491561198642+0.322561269790356i</v>
      </c>
      <c r="BD404">
        <f t="shared" ref="BD404:BD467" si="400">20*LOG(IMABS(BC404))</f>
        <v>-7.3821085048904731</v>
      </c>
      <c r="BE404" s="44">
        <f t="shared" ref="BE404:BE467" si="401">(180/PI())*IMARGUMENT(BC404)</f>
        <v>131.00944096374289</v>
      </c>
      <c r="BF404" s="42" t="str">
        <f t="shared" ref="BF404:BF467" si="402">IMPRODUCT(AC404,BC404)</f>
        <v>0.141405553873226-0.0205570145664504i</v>
      </c>
      <c r="BG404" s="20">
        <f t="shared" ref="BG404:BG467" si="403">20*LOG(IMABS(BF404))</f>
        <v>-16.89984215902221</v>
      </c>
      <c r="BH404" s="44">
        <f t="shared" ref="BH404:BH467" si="404">(180/PI())*IMARGUMENT(BF404)</f>
        <v>-8.271501871720206</v>
      </c>
      <c r="BI404" s="42" t="str">
        <f t="shared" si="357"/>
        <v>0.491130543087295+0.379630201700588i</v>
      </c>
      <c r="BJ404" s="20">
        <f t="shared" ref="BJ404:BJ467" si="405">20*LOG(IMABS(BI404))</f>
        <v>-4.14169093103121</v>
      </c>
      <c r="BK404" s="44">
        <f t="shared" si="358"/>
        <v>37.703022129489362</v>
      </c>
      <c r="BL404">
        <f t="shared" ref="BL404:BL467" si="406">IF($B$31=0,BJ404,BG404)</f>
        <v>-16.89984215902221</v>
      </c>
      <c r="BM404" s="44">
        <f t="shared" ref="BM404:BM467" si="407">IF($B$31=0,BK404,BH404)</f>
        <v>-8.271501871720206</v>
      </c>
    </row>
    <row r="405" spans="14:65" x14ac:dyDescent="0.35">
      <c r="N405" s="9">
        <v>87</v>
      </c>
      <c r="O405" s="35">
        <f t="shared" si="359"/>
        <v>74131.024130091857</v>
      </c>
      <c r="P405" s="34" t="str">
        <f t="shared" si="360"/>
        <v>16.3709677419355</v>
      </c>
      <c r="Q405" s="4" t="str">
        <f t="shared" si="361"/>
        <v>1+68.5145827415768i</v>
      </c>
      <c r="R405" s="4">
        <f t="shared" si="372"/>
        <v>68.521880069452067</v>
      </c>
      <c r="S405" s="4">
        <f t="shared" si="373"/>
        <v>1.5562019300960457</v>
      </c>
      <c r="T405" s="4" t="str">
        <f t="shared" si="362"/>
        <v>1+0.074524633859259i</v>
      </c>
      <c r="U405" s="4">
        <f t="shared" si="374"/>
        <v>1.0027731154413029</v>
      </c>
      <c r="V405" s="4">
        <f t="shared" si="375"/>
        <v>7.4387123823531506E-2</v>
      </c>
      <c r="W405" t="str">
        <f t="shared" si="363"/>
        <v>1-0.975284111474486i</v>
      </c>
      <c r="X405" s="4">
        <f t="shared" si="376"/>
        <v>1.3968461254177489</v>
      </c>
      <c r="Y405" s="4">
        <f t="shared" si="377"/>
        <v>-0.7728862423901689</v>
      </c>
      <c r="Z405" t="str">
        <f t="shared" si="364"/>
        <v>0.995244643601016+0.192071537272372i</v>
      </c>
      <c r="AA405" s="4">
        <f t="shared" si="378"/>
        <v>1.0136090844337799</v>
      </c>
      <c r="AB405" s="4">
        <f t="shared" si="379"/>
        <v>0.19064547514487004</v>
      </c>
      <c r="AC405" s="48" t="str">
        <f t="shared" si="380"/>
        <v>-0.253317750457817-0.211746160457008i</v>
      </c>
      <c r="AD405" s="20">
        <f t="shared" si="381"/>
        <v>-9.6254832500369627</v>
      </c>
      <c r="AE405" s="44">
        <f t="shared" si="382"/>
        <v>-140.10803526115996</v>
      </c>
      <c r="AF405" t="str">
        <f t="shared" si="383"/>
        <v>45.9520231294187</v>
      </c>
      <c r="AG405" t="str">
        <f t="shared" si="365"/>
        <v>1+32.8785149379083i</v>
      </c>
      <c r="AH405">
        <f t="shared" si="384"/>
        <v>32.893718922041316</v>
      </c>
      <c r="AI405">
        <f t="shared" si="385"/>
        <v>1.5403907012507403</v>
      </c>
      <c r="AJ405" t="str">
        <f t="shared" si="366"/>
        <v>1+0.074524633859259i</v>
      </c>
      <c r="AK405">
        <f t="shared" si="386"/>
        <v>1.0027731154413029</v>
      </c>
      <c r="AL405">
        <f t="shared" si="387"/>
        <v>7.4387123823531506E-2</v>
      </c>
      <c r="AM405" t="str">
        <f t="shared" si="367"/>
        <v>1-0.16673603995916i</v>
      </c>
      <c r="AN405">
        <f t="shared" si="388"/>
        <v>1.0138051622581445</v>
      </c>
      <c r="AO405">
        <f t="shared" si="389"/>
        <v>-0.16521617499383742</v>
      </c>
      <c r="AP405" s="42" t="str">
        <f t="shared" si="390"/>
        <v>-0.0857610093479588-1.41760603896191i</v>
      </c>
      <c r="AQ405">
        <f t="shared" si="391"/>
        <v>3.0469768000564601</v>
      </c>
      <c r="AR405" s="44">
        <f t="shared" si="392"/>
        <v>-93.46200727210099</v>
      </c>
      <c r="AS405" t="str">
        <f t="shared" si="368"/>
        <v>-0.000166666666666667</v>
      </c>
      <c r="AT405" t="str">
        <f t="shared" si="369"/>
        <v>0.00587813049564905i</v>
      </c>
      <c r="AU405">
        <f t="shared" si="393"/>
        <v>5.8781304956490501E-3</v>
      </c>
      <c r="AV405">
        <f t="shared" si="394"/>
        <v>1.5707963267948966</v>
      </c>
      <c r="AW405" t="str">
        <f t="shared" si="370"/>
        <v>1+1.07092253172557i</v>
      </c>
      <c r="AX405">
        <f t="shared" si="395"/>
        <v>1.4652218497406815</v>
      </c>
      <c r="AY405">
        <f t="shared" si="396"/>
        <v>0.81963161398809747</v>
      </c>
      <c r="AZ405" t="str">
        <f t="shared" si="371"/>
        <v>1+21.7984554038332i</v>
      </c>
      <c r="BA405">
        <f t="shared" si="397"/>
        <v>21.821380753584425</v>
      </c>
      <c r="BB405">
        <f t="shared" si="398"/>
        <v>1.5249536573698019</v>
      </c>
      <c r="BC405" s="42" t="str">
        <f t="shared" si="399"/>
        <v>-0.273747628941156+0.321516189894996i</v>
      </c>
      <c r="BD405">
        <f t="shared" si="400"/>
        <v>-7.4882326555111822</v>
      </c>
      <c r="BE405" s="44">
        <f t="shared" si="401"/>
        <v>130.41197628331483</v>
      </c>
      <c r="BF405" s="42" t="str">
        <f t="shared" si="402"/>
        <v>0.137424952291567-0.0234807485974692i</v>
      </c>
      <c r="BG405" s="20">
        <f t="shared" si="403"/>
        <v>-17.113715905548116</v>
      </c>
      <c r="BH405" s="44">
        <f t="shared" si="404"/>
        <v>-9.6960589778450768</v>
      </c>
      <c r="BI405" s="42" t="str">
        <f t="shared" si="357"/>
        <v>0.479260165383775+0.360492738971382i</v>
      </c>
      <c r="BJ405" s="20">
        <f t="shared" si="405"/>
        <v>-4.4412558554547159</v>
      </c>
      <c r="BK405" s="44">
        <f t="shared" si="358"/>
        <v>36.949969011213817</v>
      </c>
      <c r="BL405">
        <f t="shared" si="406"/>
        <v>-17.113715905548116</v>
      </c>
      <c r="BM405" s="44">
        <f t="shared" si="407"/>
        <v>-9.6960589778450768</v>
      </c>
    </row>
    <row r="406" spans="14:65" x14ac:dyDescent="0.35">
      <c r="N406" s="9">
        <v>88</v>
      </c>
      <c r="O406" s="35">
        <f t="shared" si="359"/>
        <v>75857.757502918481</v>
      </c>
      <c r="P406" s="34" t="str">
        <f t="shared" si="360"/>
        <v>16.3709677419355</v>
      </c>
      <c r="Q406" s="4" t="str">
        <f t="shared" si="361"/>
        <v>1+70.1104923884953i</v>
      </c>
      <c r="R406" s="4">
        <f t="shared" si="372"/>
        <v>70.11762362599903</v>
      </c>
      <c r="S406" s="4">
        <f t="shared" si="373"/>
        <v>1.5565340935506342</v>
      </c>
      <c r="T406" s="4" t="str">
        <f t="shared" si="362"/>
        <v>1+0.0762605355804686i</v>
      </c>
      <c r="U406" s="4">
        <f t="shared" si="374"/>
        <v>1.0029036191414507</v>
      </c>
      <c r="V406" s="4">
        <f t="shared" si="375"/>
        <v>7.6113213952599568E-2</v>
      </c>
      <c r="W406" t="str">
        <f t="shared" si="363"/>
        <v>1-0.998001396754602i</v>
      </c>
      <c r="X406" s="4">
        <f t="shared" si="376"/>
        <v>1.4128010432909994</v>
      </c>
      <c r="Y406" s="4">
        <f t="shared" si="377"/>
        <v>-0.78439786250574606</v>
      </c>
      <c r="Z406" t="str">
        <f t="shared" si="364"/>
        <v>0.995020530558467+0.196545458107409i</v>
      </c>
      <c r="AA406" s="4">
        <f t="shared" si="378"/>
        <v>1.014246505212369</v>
      </c>
      <c r="AB406" s="4">
        <f t="shared" si="379"/>
        <v>0.19501851937763395</v>
      </c>
      <c r="AC406" s="48" t="str">
        <f t="shared" si="380"/>
        <v>-0.253260387973826-0.205538230827259i</v>
      </c>
      <c r="AD406" s="20">
        <f t="shared" si="381"/>
        <v>-9.7311230117887</v>
      </c>
      <c r="AE406" s="44">
        <f t="shared" si="382"/>
        <v>-140.93829337190337</v>
      </c>
      <c r="AF406" t="str">
        <f t="shared" si="383"/>
        <v>45.9520231294187</v>
      </c>
      <c r="AG406" t="str">
        <f t="shared" si="365"/>
        <v>1+33.6443539325596i</v>
      </c>
      <c r="AH406">
        <f t="shared" si="384"/>
        <v>33.659211986309764</v>
      </c>
      <c r="AI406">
        <f t="shared" si="385"/>
        <v>1.5410824057317178</v>
      </c>
      <c r="AJ406" t="str">
        <f t="shared" si="366"/>
        <v>1+0.0762605355804686i</v>
      </c>
      <c r="AK406">
        <f t="shared" si="386"/>
        <v>1.0029036191414507</v>
      </c>
      <c r="AL406">
        <f t="shared" si="387"/>
        <v>7.6113213952599568E-2</v>
      </c>
      <c r="AM406" t="str">
        <f t="shared" si="367"/>
        <v>1-0.170619821250852i</v>
      </c>
      <c r="AN406">
        <f t="shared" si="388"/>
        <v>1.0144511439215163</v>
      </c>
      <c r="AO406">
        <f t="shared" si="389"/>
        <v>-0.1689925069449105</v>
      </c>
      <c r="AP406" s="42" t="str">
        <f t="shared" si="390"/>
        <v>-0.0876761055008864-1.38619415270063i</v>
      </c>
      <c r="AQ406">
        <f t="shared" si="391"/>
        <v>2.8538205460796018</v>
      </c>
      <c r="AR406" s="44">
        <f t="shared" si="392"/>
        <v>-93.619109222913394</v>
      </c>
      <c r="AS406" t="str">
        <f t="shared" si="368"/>
        <v>-0.000166666666666667</v>
      </c>
      <c r="AT406" t="str">
        <f t="shared" si="369"/>
        <v>0.00601504974390947i</v>
      </c>
      <c r="AU406">
        <f t="shared" si="393"/>
        <v>6.0150497439094702E-3</v>
      </c>
      <c r="AV406">
        <f t="shared" si="394"/>
        <v>1.5707963267948966</v>
      </c>
      <c r="AW406" t="str">
        <f t="shared" si="370"/>
        <v>1+1.09586752199033i</v>
      </c>
      <c r="AX406">
        <f t="shared" si="395"/>
        <v>1.4835516929831689</v>
      </c>
      <c r="AY406">
        <f t="shared" si="396"/>
        <v>0.83110751521119297</v>
      </c>
      <c r="AZ406" t="str">
        <f t="shared" si="371"/>
        <v>1+22.306206657287i</v>
      </c>
      <c r="BA406">
        <f t="shared" si="397"/>
        <v>22.328610692060419</v>
      </c>
      <c r="BB406">
        <f t="shared" si="398"/>
        <v>1.525995751990076</v>
      </c>
      <c r="BC406" s="42" t="str">
        <f t="shared" si="399"/>
        <v>-0.267024906649839+0.320332200124752i</v>
      </c>
      <c r="BD406">
        <f t="shared" si="400"/>
        <v>-7.596629109383473</v>
      </c>
      <c r="BE406" s="44">
        <f t="shared" si="401"/>
        <v>129.8141632007173</v>
      </c>
      <c r="BF406" s="42" t="str">
        <f t="shared" si="402"/>
        <v>0.133467345147458-0.0262436303844821i</v>
      </c>
      <c r="BG406" s="20">
        <f t="shared" si="403"/>
        <v>-17.327752121172168</v>
      </c>
      <c r="BH406" s="44">
        <f t="shared" si="404"/>
        <v>-11.124130171186074</v>
      </c>
      <c r="BI406" s="42" t="str">
        <f t="shared" si="357"/>
        <v>0.467454326621455+0.34206288444997i</v>
      </c>
      <c r="BJ406" s="20">
        <f t="shared" si="405"/>
        <v>-4.7428085633038659</v>
      </c>
      <c r="BK406" s="44">
        <f t="shared" si="358"/>
        <v>36.195053977803951</v>
      </c>
      <c r="BL406">
        <f t="shared" si="406"/>
        <v>-17.327752121172168</v>
      </c>
      <c r="BM406" s="44">
        <f t="shared" si="407"/>
        <v>-11.124130171186074</v>
      </c>
    </row>
    <row r="407" spans="14:65" x14ac:dyDescent="0.35">
      <c r="N407" s="9">
        <v>89</v>
      </c>
      <c r="O407" s="35">
        <f t="shared" si="359"/>
        <v>77624.711662869129</v>
      </c>
      <c r="P407" s="34" t="str">
        <f t="shared" si="360"/>
        <v>16.3709677419355</v>
      </c>
      <c r="Q407" s="4" t="str">
        <f t="shared" si="361"/>
        <v>1+71.7435755465003i</v>
      </c>
      <c r="R407" s="4">
        <f t="shared" si="372"/>
        <v>71.750544473170351</v>
      </c>
      <c r="S407" s="4">
        <f t="shared" si="373"/>
        <v>1.5568586990832061</v>
      </c>
      <c r="T407" s="4" t="str">
        <f t="shared" si="362"/>
        <v>1+0.0780368716470706i</v>
      </c>
      <c r="U407" s="4">
        <f t="shared" si="374"/>
        <v>1.0030402550927164</v>
      </c>
      <c r="V407" s="4">
        <f t="shared" si="375"/>
        <v>7.7879039509064885E-2</v>
      </c>
      <c r="W407" t="str">
        <f t="shared" si="363"/>
        <v>1-1.02124783558539i</v>
      </c>
      <c r="X407" s="4">
        <f t="shared" si="376"/>
        <v>1.4293170193095175</v>
      </c>
      <c r="Y407" s="4">
        <f t="shared" si="377"/>
        <v>-0.79591001285211549</v>
      </c>
      <c r="Z407" t="str">
        <f t="shared" si="364"/>
        <v>0.994785855393624+0.201123589945922i</v>
      </c>
      <c r="AA407" s="4">
        <f t="shared" si="378"/>
        <v>1.0149135906686635</v>
      </c>
      <c r="AB407" s="4">
        <f t="shared" si="379"/>
        <v>0.19948869373572181</v>
      </c>
      <c r="AC407" s="48" t="str">
        <f t="shared" si="380"/>
        <v>-0.253186194490575-0.199442344898184i</v>
      </c>
      <c r="AD407" s="20">
        <f t="shared" si="381"/>
        <v>-9.8346597696311484</v>
      </c>
      <c r="AE407" s="44">
        <f t="shared" si="382"/>
        <v>-141.77143729955756</v>
      </c>
      <c r="AF407" t="str">
        <f t="shared" si="383"/>
        <v>45.9520231294187</v>
      </c>
      <c r="AG407" t="str">
        <f t="shared" si="365"/>
        <v>1+34.4280316090016i</v>
      </c>
      <c r="AH407">
        <f t="shared" si="384"/>
        <v>34.442551596396179</v>
      </c>
      <c r="AI407">
        <f t="shared" si="385"/>
        <v>1.5417583925805636</v>
      </c>
      <c r="AJ407" t="str">
        <f t="shared" si="366"/>
        <v>1+0.0780368716470706i</v>
      </c>
      <c r="AK407">
        <f t="shared" si="386"/>
        <v>1.0030402550927164</v>
      </c>
      <c r="AL407">
        <f t="shared" si="387"/>
        <v>7.7879039509064885E-2</v>
      </c>
      <c r="AM407" t="str">
        <f t="shared" si="367"/>
        <v>1-0.174594067430191i</v>
      </c>
      <c r="AN407">
        <f t="shared" si="388"/>
        <v>1.0151271291724098</v>
      </c>
      <c r="AO407">
        <f t="shared" si="389"/>
        <v>-0.17285176903033606</v>
      </c>
      <c r="AP407" s="42" t="str">
        <f t="shared" si="390"/>
        <v>-0.0895051568689105-1.35551212408626i</v>
      </c>
      <c r="AQ407">
        <f t="shared" si="391"/>
        <v>2.6609623300897152</v>
      </c>
      <c r="AR407" s="44">
        <f t="shared" si="392"/>
        <v>-93.777785494146556</v>
      </c>
      <c r="AS407" t="str">
        <f t="shared" si="368"/>
        <v>-0.000166666666666667</v>
      </c>
      <c r="AT407" t="str">
        <f t="shared" si="369"/>
        <v>0.00615515825116269i</v>
      </c>
      <c r="AU407">
        <f t="shared" si="393"/>
        <v>6.1551582511626896E-3</v>
      </c>
      <c r="AV407">
        <f t="shared" si="394"/>
        <v>1.5707963267948966</v>
      </c>
      <c r="AW407" t="str">
        <f t="shared" si="370"/>
        <v>1+1.12139355572078i</v>
      </c>
      <c r="AX407">
        <f t="shared" si="395"/>
        <v>1.5025057426885575</v>
      </c>
      <c r="AY407">
        <f t="shared" si="396"/>
        <v>0.84255932187111338</v>
      </c>
      <c r="AZ407" t="str">
        <f t="shared" si="371"/>
        <v>1+22.8257849567681i</v>
      </c>
      <c r="BA407">
        <f t="shared" si="397"/>
        <v>22.847679507832318</v>
      </c>
      <c r="BB407">
        <f t="shared" si="398"/>
        <v>1.527014219735199</v>
      </c>
      <c r="BC407" s="42" t="str">
        <f t="shared" si="399"/>
        <v>-0.260330383265822+0.319010374121959i</v>
      </c>
      <c r="BD407">
        <f t="shared" si="400"/>
        <v>-7.7072903218225006</v>
      </c>
      <c r="BE407" s="44">
        <f t="shared" si="401"/>
        <v>129.21637691466989</v>
      </c>
      <c r="BF407" s="42" t="str">
        <f t="shared" si="402"/>
        <v>0.129536236111077-0.0288481205401749i</v>
      </c>
      <c r="BG407" s="20">
        <f t="shared" si="403"/>
        <v>-17.541950091453636</v>
      </c>
      <c r="BH407" s="44">
        <f t="shared" si="404"/>
        <v>-12.555060384887653</v>
      </c>
      <c r="BI407" s="42" t="str">
        <f t="shared" si="357"/>
        <v>0.45572334162356+0.324327917206249i</v>
      </c>
      <c r="BJ407" s="20">
        <f t="shared" si="405"/>
        <v>-5.0463279917327828</v>
      </c>
      <c r="BK407" s="44">
        <f t="shared" si="358"/>
        <v>35.438591420523359</v>
      </c>
      <c r="BL407">
        <f t="shared" si="406"/>
        <v>-17.541950091453636</v>
      </c>
      <c r="BM407" s="44">
        <f t="shared" si="407"/>
        <v>-12.555060384887653</v>
      </c>
    </row>
    <row r="408" spans="14:65" x14ac:dyDescent="0.35">
      <c r="N408" s="9">
        <v>90</v>
      </c>
      <c r="O408" s="35">
        <f t="shared" si="359"/>
        <v>79432.823472428237</v>
      </c>
      <c r="P408" s="34" t="str">
        <f t="shared" si="360"/>
        <v>16.3709677419355</v>
      </c>
      <c r="Q408" s="4" t="str">
        <f t="shared" si="361"/>
        <v>1+73.4146980978988i</v>
      </c>
      <c r="R408" s="4">
        <f t="shared" si="372"/>
        <v>73.421508407316352</v>
      </c>
      <c r="S408" s="4">
        <f t="shared" si="373"/>
        <v>1.5571759185301284</v>
      </c>
      <c r="T408" s="4" t="str">
        <f t="shared" si="362"/>
        <v>1+0.0798545838959602i</v>
      </c>
      <c r="U408" s="4">
        <f t="shared" si="374"/>
        <v>1.0031833105515646</v>
      </c>
      <c r="V408" s="4">
        <f t="shared" si="375"/>
        <v>7.9685492683663345E-2</v>
      </c>
      <c r="W408" t="str">
        <f t="shared" si="363"/>
        <v>1-1.04503575353642i</v>
      </c>
      <c r="X408" s="4">
        <f t="shared" si="376"/>
        <v>1.4464092526561885</v>
      </c>
      <c r="Y408" s="4">
        <f t="shared" si="377"/>
        <v>-0.80741659279503308</v>
      </c>
      <c r="Z408" t="str">
        <f t="shared" si="364"/>
        <v>0.994540120328998+0.20580836017401i</v>
      </c>
      <c r="AA408" s="4">
        <f t="shared" si="378"/>
        <v>1.015611703389407</v>
      </c>
      <c r="AB408" s="4">
        <f t="shared" si="379"/>
        <v>0.20405793512348624</v>
      </c>
      <c r="AC408" s="48" t="str">
        <f t="shared" si="380"/>
        <v>-0.253095088630613-0.193455504698i</v>
      </c>
      <c r="AD408" s="20">
        <f t="shared" si="381"/>
        <v>-9.9361031391657946</v>
      </c>
      <c r="AE408" s="44">
        <f t="shared" si="382"/>
        <v>-142.60718720670764</v>
      </c>
      <c r="AF408" t="str">
        <f t="shared" si="383"/>
        <v>45.9520231294187</v>
      </c>
      <c r="AG408" t="str">
        <f t="shared" si="365"/>
        <v>1+35.2299634835118i</v>
      </c>
      <c r="AH408">
        <f t="shared" si="384"/>
        <v>35.244153090258457</v>
      </c>
      <c r="AI408">
        <f t="shared" si="385"/>
        <v>1.5424190177418569</v>
      </c>
      <c r="AJ408" t="str">
        <f t="shared" si="366"/>
        <v>1+0.0798545838959602i</v>
      </c>
      <c r="AK408">
        <f t="shared" si="386"/>
        <v>1.0031833105515646</v>
      </c>
      <c r="AL408">
        <f t="shared" si="387"/>
        <v>7.9685492683663345E-2</v>
      </c>
      <c r="AM408" t="str">
        <f t="shared" si="367"/>
        <v>1-0.178660885695109i</v>
      </c>
      <c r="AN408">
        <f t="shared" si="388"/>
        <v>1.015834490494077</v>
      </c>
      <c r="AO408">
        <f t="shared" si="389"/>
        <v>-0.17679554741622644</v>
      </c>
      <c r="AP408" s="42" t="str">
        <f t="shared" si="390"/>
        <v>-0.0912520230339199-1.32554402632523i</v>
      </c>
      <c r="AQ408">
        <f t="shared" si="391"/>
        <v>2.4684162099653544</v>
      </c>
      <c r="AR408" s="44">
        <f t="shared" si="392"/>
        <v>-93.938096241782745</v>
      </c>
      <c r="AS408" t="str">
        <f t="shared" si="368"/>
        <v>-0.000166666666666667</v>
      </c>
      <c r="AT408" t="str">
        <f t="shared" si="369"/>
        <v>0.00629853030479386i</v>
      </c>
      <c r="AU408">
        <f t="shared" si="393"/>
        <v>6.2985303047938604E-3</v>
      </c>
      <c r="AV408">
        <f t="shared" si="394"/>
        <v>1.5707963267948966</v>
      </c>
      <c r="AW408" t="str">
        <f t="shared" si="370"/>
        <v>1+1.14751416715788i</v>
      </c>
      <c r="AX408">
        <f t="shared" si="395"/>
        <v>1.5221001162302179</v>
      </c>
      <c r="AY408">
        <f t="shared" si="396"/>
        <v>0.85398109217002727</v>
      </c>
      <c r="AZ408" t="str">
        <f t="shared" si="371"/>
        <v>1+23.3574657895683i</v>
      </c>
      <c r="BA408">
        <f t="shared" si="397"/>
        <v>23.37886242123114</v>
      </c>
      <c r="BB408">
        <f t="shared" si="398"/>
        <v>1.5280095921539771</v>
      </c>
      <c r="BC408" s="42" t="str">
        <f t="shared" si="399"/>
        <v>-0.253670929752324+0.317552185141609i</v>
      </c>
      <c r="BD408">
        <f t="shared" si="400"/>
        <v>-7.8202063503768144</v>
      </c>
      <c r="BE408" s="44">
        <f t="shared" si="401"/>
        <v>128.61898832061411</v>
      </c>
      <c r="BF408" s="42" t="str">
        <f t="shared" si="402"/>
        <v>0.125635084693197-0.0312968607008136i</v>
      </c>
      <c r="BG408" s="20">
        <f t="shared" si="403"/>
        <v>-17.756309489542616</v>
      </c>
      <c r="BH408" s="44">
        <f t="shared" si="404"/>
        <v>-13.988198886093549</v>
      </c>
      <c r="BI408" s="42" t="str">
        <f t="shared" si="357"/>
        <v>0.444077387585778+0.307274706272546i</v>
      </c>
      <c r="BJ408" s="20">
        <f t="shared" si="405"/>
        <v>-5.3517901404114676</v>
      </c>
      <c r="BK408" s="44">
        <f t="shared" si="358"/>
        <v>34.680892078831342</v>
      </c>
      <c r="BL408">
        <f t="shared" si="406"/>
        <v>-17.756309489542616</v>
      </c>
      <c r="BM408" s="44">
        <f t="shared" si="407"/>
        <v>-13.988198886093549</v>
      </c>
    </row>
    <row r="409" spans="14:65" x14ac:dyDescent="0.35">
      <c r="N409" s="9">
        <v>91</v>
      </c>
      <c r="O409" s="35">
        <f t="shared" si="359"/>
        <v>81283.051616410012</v>
      </c>
      <c r="P409" s="34" t="str">
        <f t="shared" si="360"/>
        <v>16.3709677419355</v>
      </c>
      <c r="Q409" s="4" t="str">
        <f t="shared" si="361"/>
        <v>1+75.124746093987i</v>
      </c>
      <c r="R409" s="4">
        <f t="shared" si="372"/>
        <v>75.131401395728105</v>
      </c>
      <c r="S409" s="4">
        <f t="shared" si="373"/>
        <v>1.5574859198298343</v>
      </c>
      <c r="T409" s="4" t="str">
        <f t="shared" si="362"/>
        <v>1+0.0817146361022315i</v>
      </c>
      <c r="U409" s="4">
        <f t="shared" si="374"/>
        <v>1.0033330861450349</v>
      </c>
      <c r="V409" s="4">
        <f t="shared" si="375"/>
        <v>8.1533484095855688E-2</v>
      </c>
      <c r="W409" t="str">
        <f t="shared" si="363"/>
        <v>1-1.06937776327665i</v>
      </c>
      <c r="X409" s="4">
        <f t="shared" si="376"/>
        <v>1.4640931666361163</v>
      </c>
      <c r="Y409" s="4">
        <f t="shared" si="377"/>
        <v>-0.8189115164466455</v>
      </c>
      <c r="Z409" t="str">
        <f t="shared" si="364"/>
        <v>0.994282804127571+0.210602252718858i</v>
      </c>
      <c r="AA409" s="4">
        <f t="shared" si="378"/>
        <v>1.0163422668737354</v>
      </c>
      <c r="AB409" s="4">
        <f t="shared" si="379"/>
        <v>0.20872820378712753</v>
      </c>
      <c r="AC409" s="48" t="str">
        <f t="shared" si="380"/>
        <v>-0.25298696011091-0.187574783382812i</v>
      </c>
      <c r="AD409" s="20">
        <f t="shared" si="381"/>
        <v>-10.03546552832352</v>
      </c>
      <c r="AE409" s="44">
        <f t="shared" si="382"/>
        <v>-143.44526415901061</v>
      </c>
      <c r="AF409" t="str">
        <f t="shared" si="383"/>
        <v>45.9520231294187</v>
      </c>
      <c r="AG409" t="str">
        <f t="shared" si="365"/>
        <v>1+36.0505747509844i</v>
      </c>
      <c r="AH409">
        <f t="shared" si="384"/>
        <v>36.064441488484391</v>
      </c>
      <c r="AI409">
        <f t="shared" si="385"/>
        <v>1.5430646291799719</v>
      </c>
      <c r="AJ409" t="str">
        <f t="shared" si="366"/>
        <v>1+0.0817146361022315i</v>
      </c>
      <c r="AK409">
        <f t="shared" si="386"/>
        <v>1.0033330861450349</v>
      </c>
      <c r="AL409">
        <f t="shared" si="387"/>
        <v>8.1533484095855688E-2</v>
      </c>
      <c r="AM409" t="str">
        <f t="shared" si="367"/>
        <v>1-0.182822432326477i</v>
      </c>
      <c r="AN409">
        <f t="shared" si="388"/>
        <v>1.016574661184199</v>
      </c>
      <c r="AO409">
        <f t="shared" si="389"/>
        <v>-0.18082544218943647</v>
      </c>
      <c r="AP409" s="42" t="str">
        <f t="shared" si="390"/>
        <v>-0.0929203910160506-1.29627428844625i</v>
      </c>
      <c r="AQ409">
        <f t="shared" si="391"/>
        <v>2.276196804706236</v>
      </c>
      <c r="AR409" s="44">
        <f t="shared" si="392"/>
        <v>-94.100100906283799</v>
      </c>
      <c r="AS409" t="str">
        <f t="shared" si="368"/>
        <v>-0.000166666666666667</v>
      </c>
      <c r="AT409" t="str">
        <f t="shared" si="369"/>
        <v>0.00644524192256352i</v>
      </c>
      <c r="AU409">
        <f t="shared" si="393"/>
        <v>6.4452419225635204E-3</v>
      </c>
      <c r="AV409">
        <f t="shared" si="394"/>
        <v>1.5707963267948966</v>
      </c>
      <c r="AW409" t="str">
        <f t="shared" si="370"/>
        <v>1+1.17424320579554i</v>
      </c>
      <c r="AX409">
        <f t="shared" si="395"/>
        <v>1.5423511618165908</v>
      </c>
      <c r="AY409">
        <f t="shared" si="396"/>
        <v>0.86536696262611856</v>
      </c>
      <c r="AZ409" t="str">
        <f t="shared" si="371"/>
        <v>1+23.9015310599027i</v>
      </c>
      <c r="BA409">
        <f t="shared" si="397"/>
        <v>23.922441075431529</v>
      </c>
      <c r="BB409">
        <f t="shared" si="398"/>
        <v>1.5289823891120977</v>
      </c>
      <c r="BC409" s="42" t="str">
        <f t="shared" si="399"/>
        <v>-0.247053271389104+0.315959494416492i</v>
      </c>
      <c r="BD409">
        <f t="shared" si="400"/>
        <v>-7.9353649014366674</v>
      </c>
      <c r="BE409" s="44">
        <f t="shared" si="401"/>
        <v>128.02236315742078</v>
      </c>
      <c r="BF409" s="42" t="str">
        <f t="shared" si="402"/>
        <v>0.121767289837101-0.0335926681457821i</v>
      </c>
      <c r="BG409" s="20">
        <f t="shared" si="403"/>
        <v>-17.970830429760213</v>
      </c>
      <c r="BH409" s="44">
        <f t="shared" si="404"/>
        <v>-15.422901001589873</v>
      </c>
      <c r="BI409" s="42" t="str">
        <f t="shared" si="357"/>
        <v>0.432526455381845+0.290889723811815i</v>
      </c>
      <c r="BJ409" s="20">
        <f t="shared" si="405"/>
        <v>-5.6591680967304336</v>
      </c>
      <c r="BK409" s="44">
        <f t="shared" si="358"/>
        <v>33.922262251136985</v>
      </c>
      <c r="BL409">
        <f t="shared" si="406"/>
        <v>-17.970830429760213</v>
      </c>
      <c r="BM409" s="44">
        <f t="shared" si="407"/>
        <v>-15.422901001589873</v>
      </c>
    </row>
    <row r="410" spans="14:65" x14ac:dyDescent="0.35">
      <c r="N410" s="9">
        <v>92</v>
      </c>
      <c r="O410" s="35">
        <f t="shared" si="359"/>
        <v>83176.377110267174</v>
      </c>
      <c r="P410" s="34" t="str">
        <f t="shared" si="360"/>
        <v>16.3709677419355</v>
      </c>
      <c r="Q410" s="4" t="str">
        <f t="shared" si="361"/>
        <v>1+76.8746262248479i</v>
      </c>
      <c r="R410" s="4">
        <f t="shared" si="372"/>
        <v>76.881130046390922</v>
      </c>
      <c r="S410" s="4">
        <f t="shared" si="373"/>
        <v>1.5577888671106483</v>
      </c>
      <c r="T410" s="4" t="str">
        <f t="shared" si="362"/>
        <v>1+0.0836180144901854i</v>
      </c>
      <c r="U410" s="4">
        <f t="shared" si="374"/>
        <v>1.0034898964849028</v>
      </c>
      <c r="V410" s="4">
        <f t="shared" si="375"/>
        <v>8.3423943058813788E-2</v>
      </c>
      <c r="W410" t="str">
        <f t="shared" si="363"/>
        <v>1-1.09428677126186i</v>
      </c>
      <c r="X410" s="4">
        <f t="shared" si="376"/>
        <v>1.482384409577592</v>
      </c>
      <c r="Y410" s="4">
        <f t="shared" si="377"/>
        <v>-0.83038872872117886</v>
      </c>
      <c r="Z410" t="str">
        <f t="shared" si="364"/>
        <v>0.994013360987181+0.215507809365748i</v>
      </c>
      <c r="AA410" s="4">
        <f t="shared" si="378"/>
        <v>1.0171067681018819</v>
      </c>
      <c r="AB410" s="4">
        <f t="shared" si="379"/>
        <v>0.21350148247569323</v>
      </c>
      <c r="AC410" s="48" t="str">
        <f t="shared" si="380"/>
        <v>-0.252861670113766-0.181797324586677i</v>
      </c>
      <c r="AD410" s="20">
        <f t="shared" si="381"/>
        <v>-10.132762134185221</v>
      </c>
      <c r="AE410" s="44">
        <f t="shared" si="382"/>
        <v>-144.28539098689708</v>
      </c>
      <c r="AF410" t="str">
        <f t="shared" si="383"/>
        <v>45.9520231294187</v>
      </c>
      <c r="AG410" t="str">
        <f t="shared" si="365"/>
        <v>1+36.8903005103758i</v>
      </c>
      <c r="AH410">
        <f t="shared" si="384"/>
        <v>36.903851719648905</v>
      </c>
      <c r="AI410">
        <f t="shared" si="385"/>
        <v>1.5436955670526074</v>
      </c>
      <c r="AJ410" t="str">
        <f t="shared" si="366"/>
        <v>1+0.0836180144901854i</v>
      </c>
      <c r="AK410">
        <f t="shared" si="386"/>
        <v>1.0034898964849028</v>
      </c>
      <c r="AL410">
        <f t="shared" si="387"/>
        <v>8.3423943058813788E-2</v>
      </c>
      <c r="AM410" t="str">
        <f t="shared" si="367"/>
        <v>1-0.187080913831407i</v>
      </c>
      <c r="AN410">
        <f t="shared" si="388"/>
        <v>1.0173491378676223</v>
      </c>
      <c r="AO410">
        <f t="shared" si="389"/>
        <v>-0.18494306622967871</v>
      </c>
      <c r="AP410" s="42" t="str">
        <f t="shared" si="390"/>
        <v>-0.0945137829395096-1.26768768855359i</v>
      </c>
      <c r="AQ410">
        <f t="shared" si="391"/>
        <v>2.084319316289442</v>
      </c>
      <c r="AR410" s="44">
        <f t="shared" si="392"/>
        <v>-94.263858142728097</v>
      </c>
      <c r="AS410" t="str">
        <f t="shared" si="368"/>
        <v>-0.000166666666666667</v>
      </c>
      <c r="AT410" t="str">
        <f t="shared" si="369"/>
        <v>0.00659537089291338i</v>
      </c>
      <c r="AU410">
        <f t="shared" si="393"/>
        <v>6.5953708929133801E-3</v>
      </c>
      <c r="AV410">
        <f t="shared" si="394"/>
        <v>1.5707963267948966</v>
      </c>
      <c r="AW410" t="str">
        <f t="shared" si="370"/>
        <v>1+1.20159484372386i</v>
      </c>
      <c r="AX410">
        <f t="shared" si="395"/>
        <v>1.5632754614794437</v>
      </c>
      <c r="AY410">
        <f t="shared" si="396"/>
        <v>0.87671116271417127</v>
      </c>
      <c r="AZ410" t="str">
        <f t="shared" si="371"/>
        <v>1+24.4582692383792i</v>
      </c>
      <c r="BA410">
        <f t="shared" si="397"/>
        <v>24.478703685796887</v>
      </c>
      <c r="BB410">
        <f t="shared" si="398"/>
        <v>1.5299331190304619</v>
      </c>
      <c r="BC410" s="42" t="str">
        <f t="shared" si="399"/>
        <v>-0.240483961342304+0.314234537243681i</v>
      </c>
      <c r="BD410">
        <f t="shared" si="400"/>
        <v>-8.0527513859858484</v>
      </c>
      <c r="BE410" s="44">
        <f t="shared" si="401"/>
        <v>127.42686118220242</v>
      </c>
      <c r="BF410" s="42" t="str">
        <f t="shared" si="402"/>
        <v>0.117936174264223-0.0357385291168269i</v>
      </c>
      <c r="BG410" s="20">
        <f t="shared" si="403"/>
        <v>-18.185513520171071</v>
      </c>
      <c r="BH410" s="44">
        <f t="shared" si="404"/>
        <v>-16.858529804694697</v>
      </c>
      <c r="BI410" s="42" t="str">
        <f t="shared" si="357"/>
        <v>0.421080303104889+0.27515906224309i</v>
      </c>
      <c r="BJ410" s="20">
        <f t="shared" si="405"/>
        <v>-5.9684320696963997</v>
      </c>
      <c r="BK410" s="44">
        <f t="shared" si="358"/>
        <v>33.163003039474347</v>
      </c>
      <c r="BL410">
        <f t="shared" si="406"/>
        <v>-18.185513520171071</v>
      </c>
      <c r="BM410" s="44">
        <f t="shared" si="407"/>
        <v>-16.858529804694697</v>
      </c>
    </row>
    <row r="411" spans="14:65" x14ac:dyDescent="0.35">
      <c r="N411" s="9">
        <v>93</v>
      </c>
      <c r="O411" s="35">
        <f t="shared" si="359"/>
        <v>85113.803820237721</v>
      </c>
      <c r="P411" s="34" t="str">
        <f t="shared" si="360"/>
        <v>16.3709677419355</v>
      </c>
      <c r="Q411" s="4" t="str">
        <f t="shared" si="361"/>
        <v>1+78.6652663000891i</v>
      </c>
      <c r="R411" s="4">
        <f t="shared" si="372"/>
        <v>78.671622088679058</v>
      </c>
      <c r="S411" s="4">
        <f t="shared" si="373"/>
        <v>1.5580849207766725</v>
      </c>
      <c r="T411" s="4" t="str">
        <f t="shared" si="362"/>
        <v>1+0.0855657282562373i</v>
      </c>
      <c r="U411" s="4">
        <f t="shared" si="374"/>
        <v>1.0036540708092705</v>
      </c>
      <c r="V411" s="4">
        <f t="shared" si="375"/>
        <v>8.5357817839309402E-2</v>
      </c>
      <c r="W411" t="str">
        <f t="shared" si="363"/>
        <v>1-1.1197759845778i</v>
      </c>
      <c r="X411" s="4">
        <f t="shared" si="376"/>
        <v>1.5012988562032481</v>
      </c>
      <c r="Y411" s="4">
        <f t="shared" si="377"/>
        <v>-0.84184222119241636</v>
      </c>
      <c r="Z411" t="str">
        <f t="shared" si="364"/>
        <v>0.993731219382802+0.220527631105747i</v>
      </c>
      <c r="AA411" s="4">
        <f t="shared" si="378"/>
        <v>1.0179067601981739</v>
      </c>
      <c r="AB411" s="4">
        <f t="shared" si="379"/>
        <v>0.21837977550336971</v>
      </c>
      <c r="AC411" s="48" t="str">
        <f t="shared" si="380"/>
        <v>-0.25271905164766-0.17612034184583i</v>
      </c>
      <c r="AD411" s="20">
        <f t="shared" si="381"/>
        <v>-10.228010929755387</v>
      </c>
      <c r="AE411" s="44">
        <f t="shared" si="382"/>
        <v>-145.12729313044119</v>
      </c>
      <c r="AF411" t="str">
        <f t="shared" si="383"/>
        <v>45.9520231294187</v>
      </c>
      <c r="AG411" t="str">
        <f t="shared" si="365"/>
        <v>1+37.7495859953987i</v>
      </c>
      <c r="AH411">
        <f t="shared" si="384"/>
        <v>37.762828850921665</v>
      </c>
      <c r="AI411">
        <f t="shared" si="385"/>
        <v>1.544312163880901</v>
      </c>
      <c r="AJ411" t="str">
        <f t="shared" si="366"/>
        <v>1+0.0855657282562373i</v>
      </c>
      <c r="AK411">
        <f t="shared" si="386"/>
        <v>1.0036540708092705</v>
      </c>
      <c r="AL411">
        <f t="shared" si="387"/>
        <v>8.5357817839309402E-2</v>
      </c>
      <c r="AM411" t="str">
        <f t="shared" si="367"/>
        <v>1-0.191438588113158i</v>
      </c>
      <c r="AN411">
        <f t="shared" si="388"/>
        <v>1.0181594830962186</v>
      </c>
      <c r="AO411">
        <f t="shared" si="389"/>
        <v>-0.18915004397339233</v>
      </c>
      <c r="AP411" s="42" t="str">
        <f t="shared" si="390"/>
        <v>-0.0960355633621837-1.23976934716561i</v>
      </c>
      <c r="AQ411">
        <f t="shared" si="391"/>
        <v>1.8927995519650662</v>
      </c>
      <c r="AR411" s="44">
        <f t="shared" si="392"/>
        <v>-94.429425744841581</v>
      </c>
      <c r="AS411" t="str">
        <f t="shared" si="368"/>
        <v>-0.000166666666666667</v>
      </c>
      <c r="AT411" t="str">
        <f t="shared" si="369"/>
        <v>0.00674899681621072i</v>
      </c>
      <c r="AU411">
        <f t="shared" si="393"/>
        <v>6.7489968162107198E-3</v>
      </c>
      <c r="AV411">
        <f t="shared" si="394"/>
        <v>1.5707963267948966</v>
      </c>
      <c r="AW411" t="str">
        <f t="shared" si="370"/>
        <v>1+1.22958358314332i</v>
      </c>
      <c r="AX411">
        <f t="shared" si="395"/>
        <v>1.5848898346369584</v>
      </c>
      <c r="AY411">
        <f t="shared" si="396"/>
        <v>0.88800802892561903</v>
      </c>
      <c r="AZ411" t="str">
        <f t="shared" si="371"/>
        <v>1+25.0279755149494i</v>
      </c>
      <c r="BA411">
        <f t="shared" si="397"/>
        <v>25.047945192708053</v>
      </c>
      <c r="BB411">
        <f t="shared" si="398"/>
        <v>1.5308622791199165</v>
      </c>
      <c r="BC411" s="42" t="str">
        <f t="shared" si="399"/>
        <v>-0.233969355723202+0.312379906951222i</v>
      </c>
      <c r="BD411">
        <f t="shared" si="400"/>
        <v>-8.172348984028261</v>
      </c>
      <c r="BE411" s="44">
        <f t="shared" si="401"/>
        <v>126.83283537818023</v>
      </c>
      <c r="BF411" s="42" t="str">
        <f t="shared" si="402"/>
        <v>0.114144969690999-0.0377375909270782i</v>
      </c>
      <c r="BG411" s="20">
        <f t="shared" si="403"/>
        <v>-18.400359913783678</v>
      </c>
      <c r="BH411" s="44">
        <f t="shared" si="404"/>
        <v>-18.294457752261039</v>
      </c>
      <c r="BI411" s="42" t="str">
        <f t="shared" si="357"/>
        <v>0.409748412194935+0.260068455054625i</v>
      </c>
      <c r="BJ411" s="20">
        <f t="shared" si="405"/>
        <v>-6.279549432063205</v>
      </c>
      <c r="BK411" s="44">
        <f t="shared" si="358"/>
        <v>32.403409633338647</v>
      </c>
      <c r="BL411">
        <f t="shared" si="406"/>
        <v>-18.400359913783678</v>
      </c>
      <c r="BM411" s="44">
        <f t="shared" si="407"/>
        <v>-18.294457752261039</v>
      </c>
    </row>
    <row r="412" spans="14:65" x14ac:dyDescent="0.35">
      <c r="N412" s="9">
        <v>94</v>
      </c>
      <c r="O412" s="35">
        <f t="shared" si="359"/>
        <v>87096.358995608127</v>
      </c>
      <c r="P412" s="34" t="str">
        <f t="shared" si="360"/>
        <v>16.3709677419355</v>
      </c>
      <c r="Q412" s="4" t="str">
        <f t="shared" si="361"/>
        <v>1+80.4976157407806i</v>
      </c>
      <c r="R412" s="4">
        <f t="shared" si="372"/>
        <v>80.503826865251369</v>
      </c>
      <c r="S412" s="4">
        <f t="shared" si="373"/>
        <v>1.5583742375917724</v>
      </c>
      <c r="T412" s="4" t="str">
        <f t="shared" si="362"/>
        <v>1+0.087558810104007i</v>
      </c>
      <c r="U412" s="4">
        <f t="shared" si="374"/>
        <v>1.0038259536527383</v>
      </c>
      <c r="V412" s="4">
        <f t="shared" si="375"/>
        <v>8.7336075911643427E-2</v>
      </c>
      <c r="W412" t="str">
        <f t="shared" si="363"/>
        <v>1-1.14585891794274i</v>
      </c>
      <c r="X412" s="4">
        <f t="shared" si="376"/>
        <v>1.5208526095019554</v>
      </c>
      <c r="Y412" s="4">
        <f t="shared" si="377"/>
        <v>-0.85326604765231595</v>
      </c>
      <c r="Z412" t="str">
        <f t="shared" si="364"/>
        <v>0.993435780854263+0.225664379514786i</v>
      </c>
      <c r="AA412" s="4">
        <f t="shared" si="378"/>
        <v>1.0187438651905163</v>
      </c>
      <c r="AB412" s="4">
        <f t="shared" si="379"/>
        <v>0.2233651077072536</v>
      </c>
      <c r="AC412" s="48" t="str">
        <f t="shared" si="380"/>
        <v>-0.252558909902517-0.170541118097933i</v>
      </c>
      <c r="AD412" s="20">
        <f t="shared" si="381"/>
        <v>-10.321232640879543</v>
      </c>
      <c r="AE412" s="44">
        <f t="shared" si="382"/>
        <v>-145.9706994613517</v>
      </c>
      <c r="AF412" t="str">
        <f t="shared" si="383"/>
        <v>45.9520231294187</v>
      </c>
      <c r="AG412" t="str">
        <f t="shared" si="365"/>
        <v>1+38.6288868105912i</v>
      </c>
      <c r="AH412">
        <f t="shared" si="384"/>
        <v>38.641828324051474</v>
      </c>
      <c r="AI412">
        <f t="shared" si="385"/>
        <v>1.5449147447161795</v>
      </c>
      <c r="AJ412" t="str">
        <f t="shared" si="366"/>
        <v>1+0.087558810104007i</v>
      </c>
      <c r="AK412">
        <f t="shared" si="386"/>
        <v>1.0038259536527383</v>
      </c>
      <c r="AL412">
        <f t="shared" si="387"/>
        <v>8.7336075911643427E-2</v>
      </c>
      <c r="AM412" t="str">
        <f t="shared" si="367"/>
        <v>1-0.195897765668317i</v>
      </c>
      <c r="AN412">
        <f t="shared" si="388"/>
        <v>1.0190073280373595</v>
      </c>
      <c r="AO412">
        <f t="shared" si="389"/>
        <v>-0.19344801006340365</v>
      </c>
      <c r="AP412" s="42" t="str">
        <f t="shared" si="390"/>
        <v>-0.0974889462834433-1.2125047206413i</v>
      </c>
      <c r="AQ412">
        <f t="shared" si="391"/>
        <v>1.7016539469709782</v>
      </c>
      <c r="AR412" s="44">
        <f t="shared" si="392"/>
        <v>-94.596860562634049</v>
      </c>
      <c r="AS412" t="str">
        <f t="shared" si="368"/>
        <v>-0.000166666666666667</v>
      </c>
      <c r="AT412" t="str">
        <f t="shared" si="369"/>
        <v>0.00690620114695355i</v>
      </c>
      <c r="AU412">
        <f t="shared" si="393"/>
        <v>6.9062011469535499E-3</v>
      </c>
      <c r="AV412">
        <f t="shared" si="394"/>
        <v>1.5707963267948966</v>
      </c>
      <c r="AW412" t="str">
        <f t="shared" si="370"/>
        <v>1+1.25822426405402i</v>
      </c>
      <c r="AX412">
        <f t="shared" si="395"/>
        <v>1.6072113422491392</v>
      </c>
      <c r="AY412">
        <f t="shared" si="396"/>
        <v>0.89925201816837674</v>
      </c>
      <c r="AZ412" t="str">
        <f t="shared" si="371"/>
        <v>1+25.610951955422i</v>
      </c>
      <c r="BA412">
        <f t="shared" si="397"/>
        <v>25.630467417956584</v>
      </c>
      <c r="BB412">
        <f t="shared" si="398"/>
        <v>1.531770355612343</v>
      </c>
      <c r="BC412" s="42" t="str">
        <f t="shared" si="399"/>
        <v>-0.227515590327499+0.310398536925686i</v>
      </c>
      <c r="BD412">
        <f t="shared" si="400"/>
        <v>-8.2941387171528209</v>
      </c>
      <c r="BE412" s="44">
        <f t="shared" si="401"/>
        <v>126.2406312001708</v>
      </c>
      <c r="BF412" s="42" t="str">
        <f t="shared" si="402"/>
        <v>0.11039680302221-0.0395931529621245i</v>
      </c>
      <c r="BG412" s="20">
        <f t="shared" si="403"/>
        <v>-18.615371358032352</v>
      </c>
      <c r="BH412" s="44">
        <f t="shared" si="404"/>
        <v>-19.730068261180886</v>
      </c>
      <c r="BI412" s="42" t="str">
        <f t="shared" si="357"/>
        <v>0.398539946466631+0.245603300998777i</v>
      </c>
      <c r="BJ412" s="20">
        <f t="shared" si="405"/>
        <v>-6.5924847701818372</v>
      </c>
      <c r="BK412" s="44">
        <f t="shared" si="358"/>
        <v>31.643770637536708</v>
      </c>
      <c r="BL412">
        <f t="shared" si="406"/>
        <v>-18.615371358032352</v>
      </c>
      <c r="BM412" s="44">
        <f t="shared" si="407"/>
        <v>-19.730068261180886</v>
      </c>
    </row>
    <row r="413" spans="14:65" x14ac:dyDescent="0.35">
      <c r="N413" s="9">
        <v>95</v>
      </c>
      <c r="O413" s="35">
        <f t="shared" si="359"/>
        <v>89125.093813374609</v>
      </c>
      <c r="P413" s="34" t="str">
        <f t="shared" si="360"/>
        <v>16.3709677419355</v>
      </c>
      <c r="Q413" s="4" t="str">
        <f t="shared" si="361"/>
        <v>1+82.3726460828497i</v>
      </c>
      <c r="R413" s="4">
        <f t="shared" si="372"/>
        <v>82.378715835405046</v>
      </c>
      <c r="S413" s="4">
        <f t="shared" si="373"/>
        <v>1.5586569707617053</v>
      </c>
      <c r="T413" s="4" t="str">
        <f t="shared" si="362"/>
        <v>1+0.0895983167918717i</v>
      </c>
      <c r="U413" s="4">
        <f t="shared" si="374"/>
        <v>1.0040059055463453</v>
      </c>
      <c r="V413" s="4">
        <f t="shared" si="375"/>
        <v>8.9359704204679272E-2</v>
      </c>
      <c r="W413" t="str">
        <f t="shared" si="363"/>
        <v>1-1.17254940087322i</v>
      </c>
      <c r="X413" s="4">
        <f t="shared" si="376"/>
        <v>1.5410620031290587</v>
      </c>
      <c r="Y413" s="4">
        <f t="shared" si="377"/>
        <v>-0.86465433927365953</v>
      </c>
      <c r="Z413" t="str">
        <f t="shared" si="364"/>
        <v>0.993126418736837+0.230920778164865i</v>
      </c>
      <c r="AA413" s="4">
        <f t="shared" si="378"/>
        <v>1.0196197768684767</v>
      </c>
      <c r="AB413" s="4">
        <f t="shared" si="379"/>
        <v>0.22845952329462599</v>
      </c>
      <c r="AC413" s="48" t="str">
        <f t="shared" si="380"/>
        <v>-0.252381022604066-0.165057005257119i</v>
      </c>
      <c r="AD413" s="20">
        <f t="shared" si="381"/>
        <v>-10.412450713579366</v>
      </c>
      <c r="AE413" s="44">
        <f t="shared" si="382"/>
        <v>-146.81534307623201</v>
      </c>
      <c r="AF413" t="str">
        <f t="shared" si="383"/>
        <v>45.9520231294187</v>
      </c>
      <c r="AG413" t="str">
        <f t="shared" si="365"/>
        <v>1+39.5286691728845i</v>
      </c>
      <c r="AH413">
        <f t="shared" si="384"/>
        <v>39.541316196850971</v>
      </c>
      <c r="AI413">
        <f t="shared" si="385"/>
        <v>1.5455036273033809</v>
      </c>
      <c r="AJ413" t="str">
        <f t="shared" si="366"/>
        <v>1+0.0895983167918717i</v>
      </c>
      <c r="AK413">
        <f t="shared" si="386"/>
        <v>1.0040059055463453</v>
      </c>
      <c r="AL413">
        <f t="shared" si="387"/>
        <v>8.9359704204679272E-2</v>
      </c>
      <c r="AM413" t="str">
        <f t="shared" si="367"/>
        <v>1-0.200460810811846i</v>
      </c>
      <c r="AN413">
        <f t="shared" si="388"/>
        <v>1.0198943752523311</v>
      </c>
      <c r="AO413">
        <f t="shared" si="389"/>
        <v>-0.19783860787817939</v>
      </c>
      <c r="AP413" s="42" t="str">
        <f t="shared" si="390"/>
        <v>-0.0988770018438757-1.18587959469765i</v>
      </c>
      <c r="AQ413">
        <f t="shared" si="391"/>
        <v>1.5108995876452656</v>
      </c>
      <c r="AR413" s="44">
        <f t="shared" si="392"/>
        <v>-94.766218413341207</v>
      </c>
      <c r="AS413" t="str">
        <f t="shared" si="368"/>
        <v>-0.000166666666666667</v>
      </c>
      <c r="AT413" t="str">
        <f t="shared" si="369"/>
        <v>0.00706706723695888i</v>
      </c>
      <c r="AU413">
        <f t="shared" si="393"/>
        <v>7.0670672369588803E-3</v>
      </c>
      <c r="AV413">
        <f t="shared" si="394"/>
        <v>1.5707963267948966</v>
      </c>
      <c r="AW413" t="str">
        <f t="shared" si="370"/>
        <v>1+1.28753207212408i</v>
      </c>
      <c r="AX413">
        <f t="shared" si="395"/>
        <v>1.6302572915795002</v>
      </c>
      <c r="AY413">
        <f t="shared" si="396"/>
        <v>0.91043772043419091</v>
      </c>
      <c r="AZ413" t="str">
        <f t="shared" si="371"/>
        <v>1+26.2075076616224i</v>
      </c>
      <c r="BA413">
        <f t="shared" si="397"/>
        <v>26.226579224786384</v>
      </c>
      <c r="BB413">
        <f t="shared" si="398"/>
        <v>1.5326578239880808</v>
      </c>
      <c r="BC413" s="42" t="str">
        <f t="shared" si="399"/>
        <v>-0.221128559222575+0.308293680899806i</v>
      </c>
      <c r="BD413">
        <f t="shared" si="400"/>
        <v>-8.418099528639214</v>
      </c>
      <c r="BE413" s="44">
        <f t="shared" si="401"/>
        <v>125.65058586183095</v>
      </c>
      <c r="BF413" s="42" t="str">
        <f t="shared" si="402"/>
        <v>0.106694683612573-0.0413086566857649i</v>
      </c>
      <c r="BG413" s="20">
        <f t="shared" si="403"/>
        <v>-18.830550242218589</v>
      </c>
      <c r="BH413" s="44">
        <f t="shared" si="404"/>
        <v>-21.164757214401074</v>
      </c>
      <c r="BI413" s="42" t="str">
        <f t="shared" si="357"/>
        <v>0.387463714311293+0.231748691332157i</v>
      </c>
      <c r="BJ413" s="20">
        <f t="shared" si="405"/>
        <v>-6.9071999409939462</v>
      </c>
      <c r="BK413" s="44">
        <f t="shared" si="358"/>
        <v>30.884367448489687</v>
      </c>
      <c r="BL413">
        <f t="shared" si="406"/>
        <v>-18.830550242218589</v>
      </c>
      <c r="BM413" s="44">
        <f t="shared" si="407"/>
        <v>-21.164757214401074</v>
      </c>
    </row>
    <row r="414" spans="14:65" x14ac:dyDescent="0.35">
      <c r="N414" s="9">
        <v>96</v>
      </c>
      <c r="O414" s="35">
        <f t="shared" si="359"/>
        <v>91201.083935591028</v>
      </c>
      <c r="P414" s="34" t="str">
        <f t="shared" si="360"/>
        <v>16.3709677419355</v>
      </c>
      <c r="Q414" s="4" t="str">
        <f t="shared" si="361"/>
        <v>1+84.2913514922028i</v>
      </c>
      <c r="R414" s="4">
        <f t="shared" si="372"/>
        <v>84.297283090157066</v>
      </c>
      <c r="S414" s="4">
        <f t="shared" si="373"/>
        <v>1.5589332700144276</v>
      </c>
      <c r="T414" s="4" t="str">
        <f t="shared" si="362"/>
        <v>1+0.0916853296932733i</v>
      </c>
      <c r="U414" s="4">
        <f t="shared" si="374"/>
        <v>1.0041943037485146</v>
      </c>
      <c r="V414" s="4">
        <f t="shared" si="375"/>
        <v>9.1429709340975676E-2</v>
      </c>
      <c r="W414" t="str">
        <f t="shared" si="363"/>
        <v>1-1.19986158501656i</v>
      </c>
      <c r="X414" s="4">
        <f t="shared" si="376"/>
        <v>1.5619436043591497</v>
      </c>
      <c r="Y414" s="4">
        <f t="shared" si="377"/>
        <v>-0.87600131928415725</v>
      </c>
      <c r="Z414" t="str">
        <f t="shared" si="364"/>
        <v>0.992802476831994+0.236299614068125i</v>
      </c>
      <c r="AA414" s="4">
        <f t="shared" si="378"/>
        <v>1.0205362637420028</v>
      </c>
      <c r="AB414" s="4">
        <f t="shared" si="379"/>
        <v>0.23366508457359511</v>
      </c>
      <c r="AC414" s="48" t="str">
        <f t="shared" si="380"/>
        <v>-0.252185140372148-0.159665423865461i</v>
      </c>
      <c r="AD414" s="20">
        <f t="shared" si="381"/>
        <v>-10.501691272158597</v>
      </c>
      <c r="AE414" s="44">
        <f t="shared" si="382"/>
        <v>-147.66096205551801</v>
      </c>
      <c r="AF414" t="str">
        <f t="shared" si="383"/>
        <v>45.9520231294187</v>
      </c>
      <c r="AG414" t="str">
        <f t="shared" si="365"/>
        <v>1+40.4494101587969i</v>
      </c>
      <c r="AH414">
        <f t="shared" si="384"/>
        <v>40.461769390309435</v>
      </c>
      <c r="AI414">
        <f t="shared" si="385"/>
        <v>1.5460791222411971</v>
      </c>
      <c r="AJ414" t="str">
        <f t="shared" si="366"/>
        <v>1+0.0916853296932733i</v>
      </c>
      <c r="AK414">
        <f t="shared" si="386"/>
        <v>1.0041943037485146</v>
      </c>
      <c r="AL414">
        <f t="shared" si="387"/>
        <v>9.1429709340975676E-2</v>
      </c>
      <c r="AM414" t="str">
        <f t="shared" si="367"/>
        <v>1-0.20513014293068i</v>
      </c>
      <c r="AN414">
        <f t="shared" si="388"/>
        <v>1.0208224015658949</v>
      </c>
      <c r="AO414">
        <f t="shared" si="389"/>
        <v>-0.20232348793441729</v>
      </c>
      <c r="AP414" s="42" t="str">
        <f t="shared" si="390"/>
        <v>-0.100202662730206-1.15988007802021i</v>
      </c>
      <c r="AQ414">
        <f t="shared" si="391"/>
        <v>1.320554234910013</v>
      </c>
      <c r="AR414" s="44">
        <f t="shared" si="392"/>
        <v>-94.937553985373896</v>
      </c>
      <c r="AS414" t="str">
        <f t="shared" si="368"/>
        <v>-0.000166666666666667</v>
      </c>
      <c r="AT414" t="str">
        <f t="shared" si="369"/>
        <v>0.00723168037955693i</v>
      </c>
      <c r="AU414">
        <f t="shared" si="393"/>
        <v>7.23168037955693E-3</v>
      </c>
      <c r="AV414">
        <f t="shared" si="394"/>
        <v>1.5707963267948966</v>
      </c>
      <c r="AW414" t="str">
        <f t="shared" si="370"/>
        <v>1+1.31752254674129i</v>
      </c>
      <c r="AX414">
        <f t="shared" si="395"/>
        <v>1.6540452415734144</v>
      </c>
      <c r="AY414">
        <f t="shared" si="396"/>
        <v>0.92155987066931477</v>
      </c>
      <c r="AZ414" t="str">
        <f t="shared" si="371"/>
        <v>1+26.8179589352824i</v>
      </c>
      <c r="BA414">
        <f t="shared" si="397"/>
        <v>26.836596681667611</v>
      </c>
      <c r="BB414">
        <f t="shared" si="398"/>
        <v>1.533525149199658</v>
      </c>
      <c r="BC414" s="42" t="str">
        <f t="shared" si="399"/>
        <v>-0.214813895324199+0.306068891714571i</v>
      </c>
      <c r="BD414">
        <f t="shared" si="400"/>
        <v>-8.5442083704519209</v>
      </c>
      <c r="BE414" s="44">
        <f t="shared" si="401"/>
        <v>125.06302766833656</v>
      </c>
      <c r="BF414" s="42" t="str">
        <f t="shared" si="402"/>
        <v>0.10304149167386-0.0428876747714579i</v>
      </c>
      <c r="BG414" s="20">
        <f t="shared" si="403"/>
        <v>-19.045899642610511</v>
      </c>
      <c r="BH414" s="44">
        <f t="shared" si="404"/>
        <v>-22.597934387181461</v>
      </c>
      <c r="BI414" s="42" t="str">
        <f t="shared" si="357"/>
        <v>0.376528134304388+0.218489439739774i</v>
      </c>
      <c r="BJ414" s="20">
        <f t="shared" si="405"/>
        <v>-7.2236541355419135</v>
      </c>
      <c r="BK414" s="44">
        <f t="shared" si="358"/>
        <v>30.125473682962678</v>
      </c>
      <c r="BL414">
        <f t="shared" si="406"/>
        <v>-19.045899642610511</v>
      </c>
      <c r="BM414" s="44">
        <f t="shared" si="407"/>
        <v>-22.597934387181461</v>
      </c>
    </row>
    <row r="415" spans="14:65" x14ac:dyDescent="0.35">
      <c r="N415" s="9">
        <v>97</v>
      </c>
      <c r="O415" s="35">
        <f t="shared" si="359"/>
        <v>93325.430079699145</v>
      </c>
      <c r="P415" s="34" t="str">
        <f t="shared" si="360"/>
        <v>16.3709677419355</v>
      </c>
      <c r="Q415" s="4" t="str">
        <f t="shared" si="361"/>
        <v>1+86.2547492918451i</v>
      </c>
      <c r="R415" s="4">
        <f t="shared" si="372"/>
        <v>86.260545879324539</v>
      </c>
      <c r="S415" s="4">
        <f t="shared" si="373"/>
        <v>1.559203281678619</v>
      </c>
      <c r="T415" s="4" t="str">
        <f t="shared" si="362"/>
        <v>1+0.0938209553700771i</v>
      </c>
      <c r="U415" s="4">
        <f t="shared" si="374"/>
        <v>1.0043915430082802</v>
      </c>
      <c r="V415" s="4">
        <f t="shared" si="375"/>
        <v>9.3547117866939408E-2</v>
      </c>
      <c r="W415" t="str">
        <f t="shared" si="363"/>
        <v>1-1.22780995165432i</v>
      </c>
      <c r="X415" s="4">
        <f t="shared" si="376"/>
        <v>1.5835142176126438</v>
      </c>
      <c r="Y415" s="4">
        <f t="shared" si="377"/>
        <v>-0.88730131706535198</v>
      </c>
      <c r="Z415" t="str">
        <f t="shared" si="364"/>
        <v>0.992463268015523+0.241803739154559i</v>
      </c>
      <c r="AA415" s="4">
        <f t="shared" si="378"/>
        <v>1.0214951721027259</v>
      </c>
      <c r="AB415" s="4">
        <f t="shared" si="379"/>
        <v>0.23898387056084322</v>
      </c>
      <c r="AC415" s="48" t="str">
        <f t="shared" si="380"/>
        <v>-0.251970987088102-0.15436386282137i</v>
      </c>
      <c r="AD415" s="20">
        <f t="shared" si="381"/>
        <v>-10.58898306850354</v>
      </c>
      <c r="AE415" s="44">
        <f t="shared" si="382"/>
        <v>-148.50730018282511</v>
      </c>
      <c r="AF415" t="str">
        <f t="shared" si="383"/>
        <v>45.9520231294187</v>
      </c>
      <c r="AG415" t="str">
        <f t="shared" si="365"/>
        <v>1+41.3915979573869i</v>
      </c>
      <c r="AH415">
        <f t="shared" si="384"/>
        <v>41.403675941466304</v>
      </c>
      <c r="AI415">
        <f t="shared" si="385"/>
        <v>1.5466415331389833</v>
      </c>
      <c r="AJ415" t="str">
        <f t="shared" si="366"/>
        <v>1+0.0938209553700771i</v>
      </c>
      <c r="AK415">
        <f t="shared" si="386"/>
        <v>1.0043915430082802</v>
      </c>
      <c r="AL415">
        <f t="shared" si="387"/>
        <v>9.3547117866939408E-2</v>
      </c>
      <c r="AM415" t="str">
        <f t="shared" si="367"/>
        <v>1-0.209908237766514i</v>
      </c>
      <c r="AN415">
        <f t="shared" si="388"/>
        <v>1.0217932610280043</v>
      </c>
      <c r="AO415">
        <f t="shared" si="389"/>
        <v>-0.20690430615655239</v>
      </c>
      <c r="AP415" s="42" t="str">
        <f t="shared" si="390"/>
        <v>-0.101468730298056-1.13449259596876i</v>
      </c>
      <c r="AQ415">
        <f t="shared" si="391"/>
        <v>1.1306363480948385</v>
      </c>
      <c r="AR415" s="44">
        <f t="shared" si="392"/>
        <v>-95.110920734971401</v>
      </c>
      <c r="AS415" t="str">
        <f t="shared" si="368"/>
        <v>-0.000166666666666667</v>
      </c>
      <c r="AT415" t="str">
        <f t="shared" si="369"/>
        <v>0.00740012785481483i</v>
      </c>
      <c r="AU415">
        <f t="shared" si="393"/>
        <v>7.4001278548148303E-3</v>
      </c>
      <c r="AV415">
        <f t="shared" si="394"/>
        <v>1.5707963267948966</v>
      </c>
      <c r="AW415" t="str">
        <f t="shared" si="370"/>
        <v>1+1.34821158925226i</v>
      </c>
      <c r="AX415">
        <f t="shared" si="395"/>
        <v>1.67859300886013</v>
      </c>
      <c r="AY415">
        <f t="shared" si="396"/>
        <v>0.9326133597929811</v>
      </c>
      <c r="AZ415" t="str">
        <f t="shared" si="371"/>
        <v>1+27.4426294457475i</v>
      </c>
      <c r="BA415">
        <f t="shared" si="397"/>
        <v>27.460843229890223</v>
      </c>
      <c r="BB415">
        <f t="shared" si="398"/>
        <v>1.5343727858918186</v>
      </c>
      <c r="BC415" s="42" t="str">
        <f t="shared" si="399"/>
        <v>-0.20857695307678+0.303727998781402i</v>
      </c>
      <c r="BD415">
        <f t="shared" si="400"/>
        <v>-8.6724402964297891</v>
      </c>
      <c r="BE415" s="44">
        <f t="shared" si="401"/>
        <v>124.47827539767782</v>
      </c>
      <c r="BF415" s="42" t="str">
        <f t="shared" si="402"/>
        <v>0.0994399678894866-0.0443338994868003i</v>
      </c>
      <c r="BG415" s="20">
        <f t="shared" si="403"/>
        <v>-19.261423364933325</v>
      </c>
      <c r="BH415" s="44">
        <f t="shared" si="404"/>
        <v>-24.029024785147264</v>
      </c>
      <c r="BI415" s="42" t="str">
        <f t="shared" si="357"/>
        <v>0.365741204404047+0.205810114563012i</v>
      </c>
      <c r="BJ415" s="20">
        <f t="shared" si="405"/>
        <v>-7.5418039483349562</v>
      </c>
      <c r="BK415" s="44">
        <f t="shared" si="358"/>
        <v>29.367354662706429</v>
      </c>
      <c r="BL415">
        <f t="shared" si="406"/>
        <v>-19.261423364933325</v>
      </c>
      <c r="BM415" s="44">
        <f t="shared" si="407"/>
        <v>-24.029024785147264</v>
      </c>
    </row>
    <row r="416" spans="14:65" x14ac:dyDescent="0.35">
      <c r="N416" s="9">
        <v>98</v>
      </c>
      <c r="O416" s="35">
        <f t="shared" si="359"/>
        <v>95499.258602143804</v>
      </c>
      <c r="P416" s="34" t="str">
        <f t="shared" si="360"/>
        <v>16.3709677419355</v>
      </c>
      <c r="Q416" s="4" t="str">
        <f t="shared" si="361"/>
        <v>1+88.2638805012785i</v>
      </c>
      <c r="R416" s="4">
        <f t="shared" si="372"/>
        <v>88.269545150884127</v>
      </c>
      <c r="S416" s="4">
        <f t="shared" si="373"/>
        <v>1.5594671487604632</v>
      </c>
      <c r="T416" s="4" t="str">
        <f t="shared" si="362"/>
        <v>1+0.0960063261592854i</v>
      </c>
      <c r="U416" s="4">
        <f t="shared" si="374"/>
        <v>1.0045980363621079</v>
      </c>
      <c r="V416" s="4">
        <f t="shared" si="375"/>
        <v>9.5712976472836497E-2</v>
      </c>
      <c r="W416" t="str">
        <f t="shared" si="363"/>
        <v>1-1.25640931938044i</v>
      </c>
      <c r="X416" s="4">
        <f t="shared" si="376"/>
        <v>1.6057908885736087</v>
      </c>
      <c r="Y416" s="4">
        <f t="shared" si="377"/>
        <v>-0.89854878159604057</v>
      </c>
      <c r="Z416" t="str">
        <f t="shared" si="364"/>
        <v>0.992108072780046+0.247436071784144i</v>
      </c>
      <c r="AA416" s="4">
        <f t="shared" si="378"/>
        <v>1.0224984291896517</v>
      </c>
      <c r="AB416" s="4">
        <f t="shared" si="379"/>
        <v>0.24441797546010316</v>
      </c>
      <c r="AC416" s="48" t="str">
        <f t="shared" si="380"/>
        <v>-0.251738260276586-0.149149879185205i</v>
      </c>
      <c r="AD416" s="20">
        <f t="shared" si="381"/>
        <v>-10.674357423067633</v>
      </c>
      <c r="AE416" s="44">
        <f t="shared" si="382"/>
        <v>-149.35410761981774</v>
      </c>
      <c r="AF416" t="str">
        <f t="shared" si="383"/>
        <v>45.9520231294187</v>
      </c>
      <c r="AG416" t="str">
        <f t="shared" si="365"/>
        <v>1+42.3557321290964i</v>
      </c>
      <c r="AH416">
        <f t="shared" si="384"/>
        <v>42.367535262176503</v>
      </c>
      <c r="AI416">
        <f t="shared" si="385"/>
        <v>1.5471911567704746</v>
      </c>
      <c r="AJ416" t="str">
        <f t="shared" si="366"/>
        <v>1+0.0960063261592854i</v>
      </c>
      <c r="AK416">
        <f t="shared" si="386"/>
        <v>1.0045980363621079</v>
      </c>
      <c r="AL416">
        <f t="shared" si="387"/>
        <v>9.5712976472836497E-2</v>
      </c>
      <c r="AM416" t="str">
        <f t="shared" si="367"/>
        <v>1-0.214797628728476i</v>
      </c>
      <c r="AN416">
        <f t="shared" si="388"/>
        <v>1.0228088879685082</v>
      </c>
      <c r="AO416">
        <f t="shared" si="389"/>
        <v>-0.21158272200671394</v>
      </c>
      <c r="AP416" s="42" t="str">
        <f t="shared" si="390"/>
        <v>-0.102677880424734-1.1097038843798i</v>
      </c>
      <c r="AQ416">
        <f t="shared" si="391"/>
        <v>0.94116510906417583</v>
      </c>
      <c r="AR416" s="44">
        <f t="shared" si="392"/>
        <v>-95.286370775257893</v>
      </c>
      <c r="AS416" t="str">
        <f t="shared" si="368"/>
        <v>-0.000166666666666667</v>
      </c>
      <c r="AT416" t="str">
        <f t="shared" si="369"/>
        <v>0.00757249897581364i</v>
      </c>
      <c r="AU416">
        <f t="shared" si="393"/>
        <v>7.5724989758136404E-3</v>
      </c>
      <c r="AV416">
        <f t="shared" si="394"/>
        <v>1.5707963267948966</v>
      </c>
      <c r="AW416" t="str">
        <f t="shared" si="370"/>
        <v>1+1.37961547139354i</v>
      </c>
      <c r="AX416">
        <f t="shared" si="395"/>
        <v>1.7039186743822077</v>
      </c>
      <c r="AY416">
        <f t="shared" si="396"/>
        <v>0.94359324481719498</v>
      </c>
      <c r="AZ416" t="str">
        <f t="shared" si="371"/>
        <v>1+28.0818504015909i</v>
      </c>
      <c r="BA416">
        <f t="shared" si="397"/>
        <v>28.09964985506636</v>
      </c>
      <c r="BB416">
        <f t="shared" si="398"/>
        <v>1.535201178617841</v>
      </c>
      <c r="BC416" s="42" t="str">
        <f t="shared" si="399"/>
        <v>-0.202422793323265+0.301275084477821i</v>
      </c>
      <c r="BD416">
        <f t="shared" si="400"/>
        <v>-8.80276856094072</v>
      </c>
      <c r="BE416" s="44">
        <f t="shared" si="401"/>
        <v>123.89663773323196</v>
      </c>
      <c r="BF416" s="42" t="str">
        <f t="shared" si="402"/>
        <v>0.0958927042829051-0.0456511304626314i</v>
      </c>
      <c r="BG416" s="20">
        <f t="shared" si="403"/>
        <v>-19.477125984008353</v>
      </c>
      <c r="BH416" s="44">
        <f t="shared" si="404"/>
        <v>-25.457469886585748</v>
      </c>
      <c r="BI416" s="42" t="str">
        <f t="shared" si="357"/>
        <v>0.355110474879977+0.193695072938871i</v>
      </c>
      <c r="BJ416" s="20">
        <f t="shared" si="405"/>
        <v>-7.8616034518765492</v>
      </c>
      <c r="BK416" s="44">
        <f t="shared" si="358"/>
        <v>28.610266957974051</v>
      </c>
      <c r="BL416">
        <f t="shared" si="406"/>
        <v>-19.477125984008353</v>
      </c>
      <c r="BM416" s="44">
        <f t="shared" si="407"/>
        <v>-25.457469886585748</v>
      </c>
    </row>
    <row r="417" spans="14:65" x14ac:dyDescent="0.35">
      <c r="N417" s="9">
        <v>99</v>
      </c>
      <c r="O417" s="35">
        <f t="shared" si="359"/>
        <v>97723.722095581266</v>
      </c>
      <c r="P417" s="34" t="str">
        <f t="shared" si="360"/>
        <v>16.3709677419355</v>
      </c>
      <c r="Q417" s="4" t="str">
        <f t="shared" si="361"/>
        <v>1+90.3198103884641i</v>
      </c>
      <c r="R417" s="4">
        <f t="shared" si="372"/>
        <v>90.325346102896873</v>
      </c>
      <c r="S417" s="4">
        <f t="shared" si="373"/>
        <v>1.5597250110187197</v>
      </c>
      <c r="T417" s="4" t="str">
        <f t="shared" si="362"/>
        <v>1+0.0982426007734171i</v>
      </c>
      <c r="U417" s="4">
        <f t="shared" si="374"/>
        <v>1.0048142159656805</v>
      </c>
      <c r="V417" s="4">
        <f t="shared" si="375"/>
        <v>9.7928352201418115E-2</v>
      </c>
      <c r="W417" t="str">
        <f t="shared" si="363"/>
        <v>1-1.28567485195824i</v>
      </c>
      <c r="X417" s="4">
        <f t="shared" si="376"/>
        <v>1.628790908913063</v>
      </c>
      <c r="Y417" s="4">
        <f t="shared" si="377"/>
        <v>-0.90973829416749763</v>
      </c>
      <c r="Z417" t="str">
        <f t="shared" si="364"/>
        <v>0.991736137708846+0.253199598294192i</v>
      </c>
      <c r="AA417" s="4">
        <f t="shared" si="378"/>
        <v>1.0235480464609366</v>
      </c>
      <c r="AB417" s="4">
        <f t="shared" si="379"/>
        <v>0.24996950700489143</v>
      </c>
      <c r="AC417" s="48" t="str">
        <f t="shared" si="380"/>
        <v>-0.25148663150742-0.144021098062204i</v>
      </c>
      <c r="AD417" s="20">
        <f t="shared" si="381"/>
        <v>-10.757848158086375</v>
      </c>
      <c r="AE417" s="44">
        <f t="shared" si="382"/>
        <v>-150.2011415321314</v>
      </c>
      <c r="AF417" t="str">
        <f t="shared" si="383"/>
        <v>45.9520231294187</v>
      </c>
      <c r="AG417" t="str">
        <f t="shared" si="365"/>
        <v>1+43.3423238706251i</v>
      </c>
      <c r="AH417">
        <f t="shared" si="384"/>
        <v>43.353858403908625</v>
      </c>
      <c r="AI417">
        <f t="shared" si="385"/>
        <v>1.5477282832243646</v>
      </c>
      <c r="AJ417" t="str">
        <f t="shared" si="366"/>
        <v>1+0.0982426007734171i</v>
      </c>
      <c r="AK417">
        <f t="shared" si="386"/>
        <v>1.0048142159656805</v>
      </c>
      <c r="AL417">
        <f t="shared" si="387"/>
        <v>9.7928352201418115E-2</v>
      </c>
      <c r="AM417" t="str">
        <f t="shared" si="367"/>
        <v>1-0.219800908236373i</v>
      </c>
      <c r="AN417">
        <f t="shared" si="388"/>
        <v>1.02387130014545</v>
      </c>
      <c r="AO417">
        <f t="shared" si="389"/>
        <v>-0.21636039646859032</v>
      </c>
      <c r="AP417" s="42" t="str">
        <f t="shared" si="390"/>
        <v>-0.103832669103687-1.0855009834673i</v>
      </c>
      <c r="AQ417">
        <f t="shared" si="391"/>
        <v>0.7521604466072318</v>
      </c>
      <c r="AR417" s="44">
        <f t="shared" si="392"/>
        <v>-95.463954757400117</v>
      </c>
      <c r="AS417" t="str">
        <f t="shared" si="368"/>
        <v>-0.000166666666666667</v>
      </c>
      <c r="AT417" t="str">
        <f t="shared" si="369"/>
        <v>0.00774888513600328i</v>
      </c>
      <c r="AU417">
        <f t="shared" si="393"/>
        <v>7.7488851360032803E-3</v>
      </c>
      <c r="AV417">
        <f t="shared" si="394"/>
        <v>1.5707963267948966</v>
      </c>
      <c r="AW417" t="str">
        <f t="shared" si="370"/>
        <v>1+1.41175084391911i</v>
      </c>
      <c r="AX417">
        <f t="shared" si="395"/>
        <v>1.7300405906528089</v>
      </c>
      <c r="AY417">
        <f t="shared" si="396"/>
        <v>0.95449475803053552</v>
      </c>
      <c r="AZ417" t="str">
        <f t="shared" si="371"/>
        <v>1+28.7359607262245i</v>
      </c>
      <c r="BA417">
        <f t="shared" si="397"/>
        <v>28.753355262631821</v>
      </c>
      <c r="BB417">
        <f t="shared" si="398"/>
        <v>1.5360107620521435</v>
      </c>
      <c r="BC417" s="42" t="str">
        <f t="shared" si="399"/>
        <v>-0.196356170422497+0.298714459713777i</v>
      </c>
      <c r="BD417">
        <f t="shared" si="400"/>
        <v>-8.9351647222498212</v>
      </c>
      <c r="BE417" s="44">
        <f t="shared" si="401"/>
        <v>123.31841274975059</v>
      </c>
      <c r="BF417" s="42" t="str">
        <f t="shared" si="402"/>
        <v>0.0924021363702868-0.0468432619804394i</v>
      </c>
      <c r="BG417" s="20">
        <f t="shared" si="403"/>
        <v>-19.693012880336202</v>
      </c>
      <c r="BH417" s="44">
        <f t="shared" si="404"/>
        <v>-26.882728782380827</v>
      </c>
      <c r="BI417" s="42" t="str">
        <f t="shared" si="357"/>
        <v>0.344643025065154+0.182128496451546i</v>
      </c>
      <c r="BJ417" s="20">
        <f t="shared" si="405"/>
        <v>-8.1830042756425971</v>
      </c>
      <c r="BK417" s="44">
        <f t="shared" si="358"/>
        <v>27.854457992350497</v>
      </c>
      <c r="BL417">
        <f t="shared" si="406"/>
        <v>-19.693012880336202</v>
      </c>
      <c r="BM417" s="44">
        <f t="shared" si="407"/>
        <v>-26.882728782380827</v>
      </c>
    </row>
    <row r="418" spans="14:65" x14ac:dyDescent="0.35">
      <c r="N418" s="9">
        <v>100</v>
      </c>
      <c r="O418" s="35">
        <f t="shared" si="359"/>
        <v>100000</v>
      </c>
      <c r="P418" s="34" t="str">
        <f t="shared" si="360"/>
        <v>16.3709677419355</v>
      </c>
      <c r="Q418" s="4" t="str">
        <f t="shared" si="361"/>
        <v>1+92.4236290346417i</v>
      </c>
      <c r="R418" s="4">
        <f t="shared" si="372"/>
        <v>92.429038748290921</v>
      </c>
      <c r="S418" s="4">
        <f t="shared" si="373"/>
        <v>1.5599770050381236</v>
      </c>
      <c r="T418" s="4" t="str">
        <f t="shared" si="362"/>
        <v>1+0.100530964914873i</v>
      </c>
      <c r="U418" s="4">
        <f t="shared" si="374"/>
        <v>1.0050405339620465</v>
      </c>
      <c r="V418" s="4">
        <f t="shared" si="375"/>
        <v>0.10019433264382774</v>
      </c>
      <c r="W418" t="str">
        <f t="shared" si="363"/>
        <v>1-1.31562206636046i</v>
      </c>
      <c r="X418" s="4">
        <f t="shared" si="376"/>
        <v>1.6525318216284268</v>
      </c>
      <c r="Y418" s="4">
        <f t="shared" si="377"/>
        <v>-0.92086458030582075</v>
      </c>
      <c r="Z418" t="str">
        <f t="shared" si="364"/>
        <v>0.991346673877772+0.259097374582748i</v>
      </c>
      <c r="AA418" s="4">
        <f t="shared" si="378"/>
        <v>1.0246461229732897</v>
      </c>
      <c r="AB418" s="4">
        <f t="shared" si="379"/>
        <v>0.25564058465897943</v>
      </c>
      <c r="AC418" s="48" t="str">
        <f t="shared" si="380"/>
        <v>-0.251215746823324-0.138975212562579i</v>
      </c>
      <c r="AD418" s="20">
        <f t="shared" si="381"/>
        <v>-10.83949152361625</v>
      </c>
      <c r="AE418" s="44">
        <f t="shared" si="382"/>
        <v>-151.04816666234746</v>
      </c>
      <c r="AF418" t="str">
        <f t="shared" si="383"/>
        <v>45.9520231294187</v>
      </c>
      <c r="AG418" t="str">
        <f t="shared" si="365"/>
        <v>1+44.3518962859735i</v>
      </c>
      <c r="AH418">
        <f t="shared" si="384"/>
        <v>44.363168328713286</v>
      </c>
      <c r="AI418">
        <f t="shared" si="385"/>
        <v>1.5482531960517905</v>
      </c>
      <c r="AJ418" t="str">
        <f t="shared" si="366"/>
        <v>1+0.100530964914873i</v>
      </c>
      <c r="AK418">
        <f t="shared" si="386"/>
        <v>1.0050405339620465</v>
      </c>
      <c r="AL418">
        <f t="shared" si="387"/>
        <v>0.10019433264382774</v>
      </c>
      <c r="AM418" t="str">
        <f t="shared" si="367"/>
        <v>1-0.224920729095225i</v>
      </c>
      <c r="AN418">
        <f t="shared" si="388"/>
        <v>1.0249826019873349</v>
      </c>
      <c r="AO418">
        <f t="shared" si="389"/>
        <v>-0.22123898987865026</v>
      </c>
      <c r="AP418" s="42" t="str">
        <f t="shared" si="390"/>
        <v>-0.10493553779182-1.06187123182282i</v>
      </c>
      <c r="AQ418">
        <f t="shared" si="391"/>
        <v>0.56364306104327377</v>
      </c>
      <c r="AR418" s="44">
        <f t="shared" si="392"/>
        <v>-95.643721743571433</v>
      </c>
      <c r="AS418" t="str">
        <f t="shared" si="368"/>
        <v>-0.000166666666666667</v>
      </c>
      <c r="AT418" t="str">
        <f t="shared" si="369"/>
        <v>0.00792937985766064i</v>
      </c>
      <c r="AU418">
        <f t="shared" si="393"/>
        <v>7.9293798576606407E-3</v>
      </c>
      <c r="AV418">
        <f t="shared" si="394"/>
        <v>1.5707963267948966</v>
      </c>
      <c r="AW418" t="str">
        <f t="shared" si="370"/>
        <v>1+1.44463474542887i</v>
      </c>
      <c r="AX418">
        <f t="shared" si="395"/>
        <v>1.7569773896383345</v>
      </c>
      <c r="AY418">
        <f t="shared" si="396"/>
        <v>0.96531331521801966</v>
      </c>
      <c r="AZ418" t="str">
        <f t="shared" si="371"/>
        <v>1+29.4053072376004i</v>
      </c>
      <c r="BA418">
        <f t="shared" si="397"/>
        <v>29.422306057440064</v>
      </c>
      <c r="BB418">
        <f t="shared" si="398"/>
        <v>1.5368019611991819</v>
      </c>
      <c r="BC418" s="42" t="str">
        <f t="shared" si="399"/>
        <v>-0.190381521644037+0.296050638906139i</v>
      </c>
      <c r="BD418">
        <f t="shared" si="400"/>
        <v>-9.0695987498315151</v>
      </c>
      <c r="BE418" s="44">
        <f t="shared" si="401"/>
        <v>122.74388745436661</v>
      </c>
      <c r="BF418" s="42" t="str">
        <f t="shared" si="402"/>
        <v>0.0889705366124355-0.0479142699118606i</v>
      </c>
      <c r="BG418" s="20">
        <f t="shared" si="403"/>
        <v>-19.909090273447774</v>
      </c>
      <c r="BH418" s="44">
        <f t="shared" si="404"/>
        <v>-28.30427920798083</v>
      </c>
      <c r="BI418" s="42" t="str">
        <f t="shared" si="357"/>
        <v>0.334345443976537+0.171094427897229i</v>
      </c>
      <c r="BJ418" s="20">
        <f t="shared" si="405"/>
        <v>-8.5059556887882319</v>
      </c>
      <c r="BK418" s="44">
        <f t="shared" si="358"/>
        <v>27.100165710795189</v>
      </c>
      <c r="BL418">
        <f t="shared" si="406"/>
        <v>-19.909090273447774</v>
      </c>
      <c r="BM418" s="44">
        <f t="shared" si="407"/>
        <v>-28.30427920798083</v>
      </c>
    </row>
    <row r="419" spans="14:65" x14ac:dyDescent="0.35">
      <c r="N419" s="9">
        <v>1</v>
      </c>
      <c r="O419" s="35">
        <f>10^(5+(N419/100))</f>
        <v>102329.29922807543</v>
      </c>
      <c r="P419" s="34" t="str">
        <f t="shared" si="360"/>
        <v>16.3709677419355</v>
      </c>
      <c r="Q419" s="4" t="str">
        <f t="shared" si="361"/>
        <v>1+94.5764519123048i</v>
      </c>
      <c r="R419" s="4">
        <f t="shared" si="372"/>
        <v>94.581738492800511</v>
      </c>
      <c r="S419" s="4">
        <f t="shared" si="373"/>
        <v>1.5602232643011518</v>
      </c>
      <c r="T419" s="4" t="str">
        <f t="shared" si="362"/>
        <v>1+0.102872631904612i</v>
      </c>
      <c r="U419" s="4">
        <f t="shared" si="374"/>
        <v>1.0052774633875874</v>
      </c>
      <c r="V419" s="4">
        <f t="shared" si="375"/>
        <v>0.10251202612136098</v>
      </c>
      <c r="W419" t="str">
        <f t="shared" si="363"/>
        <v>1-1.34626684099658i</v>
      </c>
      <c r="X419" s="4">
        <f t="shared" si="376"/>
        <v>1.6770314270063369</v>
      </c>
      <c r="Y419" s="4">
        <f t="shared" si="377"/>
        <v>-0.93192252084530902</v>
      </c>
      <c r="Z419" t="str">
        <f t="shared" si="364"/>
        <v>0.99093885518182+0.265132527728868i</v>
      </c>
      <c r="AA419" s="4">
        <f t="shared" si="378"/>
        <v>1.0257948488703552</v>
      </c>
      <c r="AB419" s="4">
        <f t="shared" si="379"/>
        <v>0.26143333766804699</v>
      </c>
      <c r="AC419" s="48" t="str">
        <f t="shared" si="380"/>
        <v>-0.250925227199675-0.134009983838333i</v>
      </c>
      <c r="AD419" s="20">
        <f t="shared" si="381"/>
        <v>-10.919326117030288</v>
      </c>
      <c r="AE419" s="44">
        <f t="shared" si="382"/>
        <v>-151.89495584651775</v>
      </c>
      <c r="AF419" t="str">
        <f t="shared" si="383"/>
        <v>45.9520231294187</v>
      </c>
      <c r="AG419" t="str">
        <f t="shared" si="365"/>
        <v>1+45.3849846637994i</v>
      </c>
      <c r="AH419">
        <f t="shared" si="384"/>
        <v>45.396000186506598</v>
      </c>
      <c r="AI419">
        <f t="shared" si="385"/>
        <v>1.5487661724107695</v>
      </c>
      <c r="AJ419" t="str">
        <f t="shared" si="366"/>
        <v>1+0.102872631904612i</v>
      </c>
      <c r="AK419">
        <f t="shared" si="386"/>
        <v>1.0052774633875874</v>
      </c>
      <c r="AL419">
        <f t="shared" si="387"/>
        <v>0.10251202612136098</v>
      </c>
      <c r="AM419" t="str">
        <f t="shared" si="367"/>
        <v>1-0.230159805901822i</v>
      </c>
      <c r="AN419">
        <f t="shared" si="388"/>
        <v>1.0261449879294662</v>
      </c>
      <c r="AO419">
        <f t="shared" si="389"/>
        <v>-0.22622015959819144</v>
      </c>
      <c r="AP419" s="42" t="str">
        <f t="shared" si="390"/>
        <v>-0.10598881852039-1.03880226051602i</v>
      </c>
      <c r="AQ419">
        <f t="shared" si="391"/>
        <v>0.37563444899012172</v>
      </c>
      <c r="AR419" s="44">
        <f t="shared" si="392"/>
        <v>-95.825719071431323</v>
      </c>
      <c r="AS419" t="str">
        <f t="shared" si="368"/>
        <v>-0.000166666666666667</v>
      </c>
      <c r="AT419" t="str">
        <f t="shared" si="369"/>
        <v>0.0081140788414763i</v>
      </c>
      <c r="AU419">
        <f t="shared" si="393"/>
        <v>8.1140788414763004E-3</v>
      </c>
      <c r="AV419">
        <f t="shared" si="394"/>
        <v>1.5707963267948966</v>
      </c>
      <c r="AW419" t="str">
        <f t="shared" si="370"/>
        <v>1+1.47828461140265i</v>
      </c>
      <c r="AX419">
        <f t="shared" si="395"/>
        <v>1.7847479912609185</v>
      </c>
      <c r="AY419">
        <f t="shared" si="396"/>
        <v>0.97604452289826038</v>
      </c>
      <c r="AZ419" t="str">
        <f t="shared" si="371"/>
        <v>1+30.0902448320991i</v>
      </c>
      <c r="BA419">
        <f t="shared" si="397"/>
        <v>30.106856927545035</v>
      </c>
      <c r="BB419">
        <f t="shared" si="398"/>
        <v>1.5375751915986524</v>
      </c>
      <c r="BC419" s="42" t="str">
        <f t="shared" si="399"/>
        <v>-0.184502958843339+0.293288314595619i</v>
      </c>
      <c r="BD419">
        <f t="shared" si="400"/>
        <v>-9.2060391348515207</v>
      </c>
      <c r="BE419" s="44">
        <f t="shared" si="401"/>
        <v>122.17333738369121</v>
      </c>
      <c r="BF419" s="42" t="str">
        <f t="shared" si="402"/>
        <v>0.085600009165708-0.048868198442195i</v>
      </c>
      <c r="BG419" s="20">
        <f t="shared" si="403"/>
        <v>-20.125365251881803</v>
      </c>
      <c r="BH419" s="44">
        <f t="shared" si="404"/>
        <v>-29.721618462826559</v>
      </c>
      <c r="BI419" s="42" t="str">
        <f t="shared" si="357"/>
        <v>0.324223814806184+0.160576808768529i</v>
      </c>
      <c r="BJ419" s="20">
        <f t="shared" si="405"/>
        <v>-8.8304046858614011</v>
      </c>
      <c r="BK419" s="44">
        <f t="shared" si="358"/>
        <v>26.347618312259936</v>
      </c>
      <c r="BL419">
        <f t="shared" si="406"/>
        <v>-20.125365251881803</v>
      </c>
      <c r="BM419" s="44">
        <f t="shared" si="407"/>
        <v>-29.721618462826559</v>
      </c>
    </row>
    <row r="420" spans="14:65" x14ac:dyDescent="0.35">
      <c r="N420" s="9">
        <v>2</v>
      </c>
      <c r="O420" s="35">
        <f t="shared" ref="O420:O483" si="408">10^(5+(N420/100))</f>
        <v>104712.85480508996</v>
      </c>
      <c r="P420" s="34" t="str">
        <f t="shared" si="360"/>
        <v>16.3709677419355</v>
      </c>
      <c r="Q420" s="4" t="str">
        <f t="shared" si="361"/>
        <v>1+96.7794204766393i</v>
      </c>
      <c r="R420" s="4">
        <f t="shared" si="372"/>
        <v>96.784586726369568</v>
      </c>
      <c r="S420" s="4">
        <f t="shared" si="373"/>
        <v>1.5604639192581835</v>
      </c>
      <c r="T420" s="4" t="str">
        <f t="shared" si="362"/>
        <v>1+0.105268843325467i</v>
      </c>
      <c r="U420" s="4">
        <f t="shared" si="374"/>
        <v>1.0055254991172933</v>
      </c>
      <c r="V420" s="4">
        <f t="shared" si="375"/>
        <v>0.10488256185154543</v>
      </c>
      <c r="W420" t="str">
        <f t="shared" si="363"/>
        <v>1-1.37762542413175i</v>
      </c>
      <c r="X420" s="4">
        <f t="shared" si="376"/>
        <v>1.7023077892126866</v>
      </c>
      <c r="Y420" s="4">
        <f t="shared" si="377"/>
        <v>-0.9429071621057773</v>
      </c>
      <c r="Z420" t="str">
        <f t="shared" si="364"/>
        <v>0.99051181658286+0.271308257650633i</v>
      </c>
      <c r="AA420" s="4">
        <f t="shared" si="378"/>
        <v>1.026996508981262</v>
      </c>
      <c r="AB420" s="4">
        <f t="shared" si="379"/>
        <v>0.26734990295597311</v>
      </c>
      <c r="AC420" s="48" t="str">
        <f t="shared" si="380"/>
        <v>-0.250614669042651-0.12912324119606i</v>
      </c>
      <c r="AD420" s="20">
        <f t="shared" si="381"/>
        <v>-10.997392796631789</v>
      </c>
      <c r="AE420" s="44">
        <f t="shared" si="382"/>
        <v>-152.74129047125203</v>
      </c>
      <c r="AF420" t="str">
        <f t="shared" si="383"/>
        <v>45.9520231294187</v>
      </c>
      <c r="AG420" t="str">
        <f t="shared" si="365"/>
        <v>1+46.4421367612355i</v>
      </c>
      <c r="AH420">
        <f t="shared" si="384"/>
        <v>46.452901598816204</v>
      </c>
      <c r="AI420">
        <f t="shared" si="385"/>
        <v>1.5492674832076421</v>
      </c>
      <c r="AJ420" t="str">
        <f t="shared" si="366"/>
        <v>1+0.105268843325467i</v>
      </c>
      <c r="AK420">
        <f t="shared" si="386"/>
        <v>1.0055254991172933</v>
      </c>
      <c r="AL420">
        <f t="shared" si="387"/>
        <v>0.10488256185154543</v>
      </c>
      <c r="AM420" t="str">
        <f t="shared" si="367"/>
        <v>1-0.235520916484033i</v>
      </c>
      <c r="AN420">
        <f t="shared" si="388"/>
        <v>1.0273607458441649</v>
      </c>
      <c r="AO420">
        <f t="shared" si="389"/>
        <v>-0.23130555751973017</v>
      </c>
      <c r="AP420" s="42" t="str">
        <f t="shared" si="390"/>
        <v>-0.106994738779734-1.01628198729609i</v>
      </c>
      <c r="AQ420">
        <f t="shared" si="391"/>
        <v>0.18815692823514554</v>
      </c>
      <c r="AR420" s="44">
        <f t="shared" si="392"/>
        <v>-96.009992209840675</v>
      </c>
      <c r="AS420" t="str">
        <f t="shared" si="368"/>
        <v>-0.000166666666666667</v>
      </c>
      <c r="AT420" t="str">
        <f t="shared" si="369"/>
        <v>0.00830308001729623i</v>
      </c>
      <c r="AU420">
        <f t="shared" si="393"/>
        <v>8.3030800172962296E-3</v>
      </c>
      <c r="AV420">
        <f t="shared" si="394"/>
        <v>1.5707963267948966</v>
      </c>
      <c r="AW420" t="str">
        <f t="shared" si="370"/>
        <v>1+1.51271828344481i</v>
      </c>
      <c r="AX420">
        <f t="shared" si="395"/>
        <v>1.8133716125130594</v>
      </c>
      <c r="AY420">
        <f t="shared" si="396"/>
        <v>0.98668418456836449</v>
      </c>
      <c r="AZ420" t="str">
        <f t="shared" si="371"/>
        <v>1+30.7911366726992i</v>
      </c>
      <c r="BA420">
        <f t="shared" si="397"/>
        <v>30.80737083226742</v>
      </c>
      <c r="BB420">
        <f t="shared" si="398"/>
        <v>1.5383308595270095</v>
      </c>
      <c r="BC420" s="42" t="str">
        <f t="shared" si="399"/>
        <v>-0.178724262394375+0.290432331933877i</v>
      </c>
      <c r="BD420">
        <f t="shared" si="400"/>
        <v>-9.3444530030492938</v>
      </c>
      <c r="BE420" s="44">
        <f t="shared" si="401"/>
        <v>121.60702625755522</v>
      </c>
      <c r="BF420" s="42" t="str">
        <f t="shared" si="402"/>
        <v>0.0822924859172904-0.0497091467061572i</v>
      </c>
      <c r="BG420" s="20">
        <f t="shared" si="403"/>
        <v>-20.341845799681082</v>
      </c>
      <c r="BH420" s="44">
        <f t="shared" si="404"/>
        <v>-31.134264213696813</v>
      </c>
      <c r="BI420" s="42" t="str">
        <f t="shared" si="357"/>
        <v>0.314283703241285+0.150559517075729i</v>
      </c>
      <c r="BJ420" s="20">
        <f t="shared" si="405"/>
        <v>-9.1562960748141471</v>
      </c>
      <c r="BK420" s="44">
        <f t="shared" si="358"/>
        <v>25.597034047714548</v>
      </c>
      <c r="BL420">
        <f t="shared" si="406"/>
        <v>-20.341845799681082</v>
      </c>
      <c r="BM420" s="44">
        <f t="shared" si="407"/>
        <v>-31.134264213696813</v>
      </c>
    </row>
    <row r="421" spans="14:65" x14ac:dyDescent="0.35">
      <c r="N421" s="9">
        <v>3</v>
      </c>
      <c r="O421" s="35">
        <f t="shared" si="408"/>
        <v>107151.93052376082</v>
      </c>
      <c r="P421" s="34" t="str">
        <f t="shared" si="360"/>
        <v>16.3709677419355</v>
      </c>
      <c r="Q421" s="4" t="str">
        <f t="shared" si="361"/>
        <v>1+99.0337027707377i</v>
      </c>
      <c r="R421" s="4">
        <f t="shared" si="372"/>
        <v>99.038751428331423</v>
      </c>
      <c r="S421" s="4">
        <f t="shared" si="373"/>
        <v>1.5606990973960988</v>
      </c>
      <c r="T421" s="4" t="str">
        <f t="shared" si="362"/>
        <v>1+0.107720869680452i</v>
      </c>
      <c r="U421" s="4">
        <f t="shared" si="374"/>
        <v>1.0057851588508915</v>
      </c>
      <c r="V421" s="4">
        <f t="shared" si="375"/>
        <v>0.10730709009691727</v>
      </c>
      <c r="W421" t="str">
        <f t="shared" si="363"/>
        <v>1-1.40971444250183i</v>
      </c>
      <c r="X421" s="4">
        <f t="shared" si="376"/>
        <v>1.7283792435105918</v>
      </c>
      <c r="Y421" s="4">
        <f t="shared" si="377"/>
        <v>-0.95381372513595164</v>
      </c>
      <c r="Z421" t="str">
        <f t="shared" si="364"/>
        <v>0.99006465227477+0.277627838801795i</v>
      </c>
      <c r="AA421" s="4">
        <f t="shared" si="378"/>
        <v>1.0282534865302995</v>
      </c>
      <c r="AB421" s="4">
        <f t="shared" si="379"/>
        <v>0.27339242285930215</v>
      </c>
      <c r="AC421" s="48" t="str">
        <f t="shared" si="380"/>
        <v>-0.250283644732426-0.124312882284598i</v>
      </c>
      <c r="AD421" s="20">
        <f t="shared" si="381"/>
        <v>-11.073734590066259</v>
      </c>
      <c r="AE421" s="44">
        <f t="shared" si="382"/>
        <v>-153.58696086892516</v>
      </c>
      <c r="AF421" t="str">
        <f t="shared" si="383"/>
        <v>45.9520231294187</v>
      </c>
      <c r="AG421" t="str">
        <f t="shared" si="365"/>
        <v>1+47.5239130943167i</v>
      </c>
      <c r="AH421">
        <f t="shared" si="384"/>
        <v>47.534432949138733</v>
      </c>
      <c r="AI421">
        <f t="shared" si="385"/>
        <v>1.5497573932355651</v>
      </c>
      <c r="AJ421" t="str">
        <f t="shared" si="366"/>
        <v>1+0.107720869680452i</v>
      </c>
      <c r="AK421">
        <f t="shared" si="386"/>
        <v>1.0057851588508915</v>
      </c>
      <c r="AL421">
        <f t="shared" si="387"/>
        <v>0.10730709009691727</v>
      </c>
      <c r="AM421" t="str">
        <f t="shared" si="367"/>
        <v>1-0.241006903373652i</v>
      </c>
      <c r="AN421">
        <f t="shared" si="388"/>
        <v>1.0286322605643656</v>
      </c>
      <c r="AO421">
        <f t="shared" si="389"/>
        <v>-0.23649682740139566</v>
      </c>
      <c r="AP421" s="42" t="str">
        <f t="shared" si="390"/>
        <v>-0.107955426187688-0.994298610894785i</v>
      </c>
      <c r="AQ421">
        <f t="shared" si="391"/>
        <v>1.2336626441758649E-3</v>
      </c>
      <c r="AR421" s="44">
        <f t="shared" si="392"/>
        <v>-96.196584605544558</v>
      </c>
      <c r="AS421" t="str">
        <f t="shared" si="368"/>
        <v>-0.000166666666666667</v>
      </c>
      <c r="AT421" t="str">
        <f t="shared" si="369"/>
        <v>0.00849648359604561i</v>
      </c>
      <c r="AU421">
        <f t="shared" si="393"/>
        <v>8.4964835960456096E-3</v>
      </c>
      <c r="AV421">
        <f t="shared" si="394"/>
        <v>1.5707963267948966</v>
      </c>
      <c r="AW421" t="str">
        <f t="shared" si="370"/>
        <v>1+1.54795401874405i</v>
      </c>
      <c r="AX421">
        <f t="shared" si="395"/>
        <v>1.8428677771738955</v>
      </c>
      <c r="AY421">
        <f t="shared" si="396"/>
        <v>0.99722830595558021</v>
      </c>
      <c r="AZ421" t="str">
        <f t="shared" si="371"/>
        <v>1+31.508354381532i</v>
      </c>
      <c r="BA421">
        <f t="shared" si="397"/>
        <v>31.524219194647898</v>
      </c>
      <c r="BB421">
        <f t="shared" si="398"/>
        <v>1.5390693621953213</v>
      </c>
      <c r="BC421" s="42" t="str">
        <f t="shared" si="399"/>
        <v>-0.173048877332754+0.287487663259262i</v>
      </c>
      <c r="BD421">
        <f t="shared" si="400"/>
        <v>-9.484806229260597</v>
      </c>
      <c r="BE421" s="44">
        <f t="shared" si="401"/>
        <v>121.04520568944797</v>
      </c>
      <c r="BF421" s="42" t="str">
        <f t="shared" si="402"/>
        <v>0.079049723776719-0.050441255458788i</v>
      </c>
      <c r="BG421" s="20">
        <f t="shared" si="403"/>
        <v>-20.558540819326851</v>
      </c>
      <c r="BH421" s="44">
        <f t="shared" si="404"/>
        <v>-32.5417551794772</v>
      </c>
      <c r="BI421" s="42" t="str">
        <f t="shared" si="357"/>
        <v>0.30453014953183+0.141026405138003i</v>
      </c>
      <c r="BJ421" s="20">
        <f t="shared" si="405"/>
        <v>-9.4835725666164308</v>
      </c>
      <c r="BK421" s="44">
        <f t="shared" si="358"/>
        <v>24.848621083903396</v>
      </c>
      <c r="BL421">
        <f t="shared" si="406"/>
        <v>-20.558540819326851</v>
      </c>
      <c r="BM421" s="44">
        <f t="shared" si="407"/>
        <v>-32.5417551794772</v>
      </c>
    </row>
    <row r="422" spans="14:65" x14ac:dyDescent="0.35">
      <c r="N422" s="9">
        <v>4</v>
      </c>
      <c r="O422" s="35">
        <f t="shared" si="408"/>
        <v>109647.81961431868</v>
      </c>
      <c r="P422" s="34" t="str">
        <f t="shared" si="360"/>
        <v>16.3709677419355</v>
      </c>
      <c r="Q422" s="4" t="str">
        <f t="shared" si="361"/>
        <v>1+101.340494044911i</v>
      </c>
      <c r="R422" s="4">
        <f t="shared" si="372"/>
        <v>101.34542778668725</v>
      </c>
      <c r="S422" s="4">
        <f t="shared" si="373"/>
        <v>1.5609289233053403</v>
      </c>
      <c r="T422" s="4" t="str">
        <f t="shared" si="362"/>
        <v>1+0.110230011066394i</v>
      </c>
      <c r="U422" s="4">
        <f t="shared" si="374"/>
        <v>1.006056984141404</v>
      </c>
      <c r="V422" s="4">
        <f t="shared" si="375"/>
        <v>0.1097867822947358</v>
      </c>
      <c r="W422" t="str">
        <f t="shared" si="363"/>
        <v>1-1.44255091012909i</v>
      </c>
      <c r="X422" s="4">
        <f t="shared" si="376"/>
        <v>1.7552644041039132</v>
      </c>
      <c r="Y422" s="4">
        <f t="shared" si="377"/>
        <v>-0.96463761399439207</v>
      </c>
      <c r="Z422" t="str">
        <f t="shared" si="364"/>
        <v>0.989596413762099+0.284094621907927i</v>
      </c>
      <c r="AA422" s="4">
        <f t="shared" si="378"/>
        <v>1.0295682669584447</v>
      </c>
      <c r="AB422" s="4">
        <f t="shared" si="379"/>
        <v>0.2795630426934822</v>
      </c>
      <c r="AC422" s="48" t="str">
        <f t="shared" si="380"/>
        <v>-0.249931703218305-0.119576873355991i</v>
      </c>
      <c r="AD422" s="20">
        <f t="shared" si="381"/>
        <v>-11.148396598221538</v>
      </c>
      <c r="AE422" s="44">
        <f t="shared" si="382"/>
        <v>-154.43176664910652</v>
      </c>
      <c r="AF422" t="str">
        <f t="shared" si="383"/>
        <v>45.9520231294187</v>
      </c>
      <c r="AG422" t="str">
        <f t="shared" si="365"/>
        <v>1+48.6308872351739i</v>
      </c>
      <c r="AH422">
        <f t="shared" si="384"/>
        <v>48.641167680065003</v>
      </c>
      <c r="AI422">
        <f t="shared" si="385"/>
        <v>1.5502361613101072</v>
      </c>
      <c r="AJ422" t="str">
        <f t="shared" si="366"/>
        <v>1+0.110230011066394i</v>
      </c>
      <c r="AK422">
        <f t="shared" si="386"/>
        <v>1.006056984141404</v>
      </c>
      <c r="AL422">
        <f t="shared" si="387"/>
        <v>0.1097867822947358</v>
      </c>
      <c r="AM422" t="str">
        <f t="shared" si="367"/>
        <v>1-0.246620675313543i</v>
      </c>
      <c r="AN422">
        <f t="shared" si="388"/>
        <v>1.029962017499727</v>
      </c>
      <c r="AO422">
        <f t="shared" si="389"/>
        <v>-0.24179560202312542</v>
      </c>
      <c r="AP422" s="42" t="str">
        <f t="shared" si="390"/>
        <v>-0.108872912951112-0.972840605431318i</v>
      </c>
      <c r="AQ422">
        <f t="shared" si="391"/>
        <v>-0.18511131296530936</v>
      </c>
      <c r="AR422" s="44">
        <f t="shared" si="392"/>
        <v>-96.385537520571035</v>
      </c>
      <c r="AS422" t="str">
        <f t="shared" si="368"/>
        <v>-0.000166666666666667</v>
      </c>
      <c r="AT422" t="str">
        <f t="shared" si="369"/>
        <v>0.00869439212286186i</v>
      </c>
      <c r="AU422">
        <f t="shared" si="393"/>
        <v>8.69439212286186E-3</v>
      </c>
      <c r="AV422">
        <f t="shared" si="394"/>
        <v>1.5707963267948966</v>
      </c>
      <c r="AW422" t="str">
        <f t="shared" si="370"/>
        <v>1+1.58401049975362i</v>
      </c>
      <c r="AX422">
        <f t="shared" si="395"/>
        <v>1.8732563261149588</v>
      </c>
      <c r="AY422">
        <f t="shared" si="396"/>
        <v>1.007673099283191</v>
      </c>
      <c r="AZ422" t="str">
        <f t="shared" si="371"/>
        <v>1+32.2422782369203i</v>
      </c>
      <c r="BA422">
        <f t="shared" si="397"/>
        <v>32.257782098386492</v>
      </c>
      <c r="BB422">
        <f t="shared" si="398"/>
        <v>1.5397910879434822</v>
      </c>
      <c r="BC422" s="42" t="str">
        <f t="shared" si="399"/>
        <v>-0.167479911640189+0.284459382967574i</v>
      </c>
      <c r="BD422">
        <f t="shared" si="400"/>
        <v>-9.6270635528422037</v>
      </c>
      <c r="BE422" s="44">
        <f t="shared" si="401"/>
        <v>120.48811495322492</v>
      </c>
      <c r="BF422" s="42" t="str">
        <f t="shared" si="402"/>
        <v>0.0758733031831206-0.0510686938976424i</v>
      </c>
      <c r="BG422" s="20">
        <f t="shared" si="403"/>
        <v>-20.77546015106374</v>
      </c>
      <c r="BH422" s="44">
        <f t="shared" si="404"/>
        <v>-33.943651695881606</v>
      </c>
      <c r="BI422" s="42" t="str">
        <f t="shared" si="357"/>
        <v>0.294967664187856+0.131961336997669i</v>
      </c>
      <c r="BJ422" s="20">
        <f t="shared" si="405"/>
        <v>-9.8121748658075187</v>
      </c>
      <c r="BK422" s="44">
        <f t="shared" si="358"/>
        <v>24.102577432653803</v>
      </c>
      <c r="BL422">
        <f t="shared" si="406"/>
        <v>-20.77546015106374</v>
      </c>
      <c r="BM422" s="44">
        <f t="shared" si="407"/>
        <v>-33.943651695881606</v>
      </c>
    </row>
    <row r="423" spans="14:65" x14ac:dyDescent="0.35">
      <c r="N423" s="9">
        <v>5</v>
      </c>
      <c r="O423" s="35">
        <f t="shared" si="408"/>
        <v>112201.84543019651</v>
      </c>
      <c r="P423" s="34" t="str">
        <f t="shared" si="360"/>
        <v>16.3709677419355</v>
      </c>
      <c r="Q423" s="4" t="str">
        <f t="shared" si="361"/>
        <v>1+103.701017390427i</v>
      </c>
      <c r="R423" s="4">
        <f t="shared" si="372"/>
        <v>103.70583883181141</v>
      </c>
      <c r="S423" s="4">
        <f t="shared" si="373"/>
        <v>1.5611535187454761</v>
      </c>
      <c r="T423" s="4" t="str">
        <f t="shared" si="362"/>
        <v>1+0.112797597863271i</v>
      </c>
      <c r="U423" s="4">
        <f t="shared" si="374"/>
        <v>1.0063415414677683</v>
      </c>
      <c r="V423" s="4">
        <f t="shared" si="375"/>
        <v>0.11232283116579914</v>
      </c>
      <c r="W423" t="str">
        <f t="shared" si="363"/>
        <v>1-1.47615223734332i</v>
      </c>
      <c r="X423" s="4">
        <f t="shared" si="376"/>
        <v>1.7829821726011983</v>
      </c>
      <c r="Y423" s="4">
        <f t="shared" si="377"/>
        <v>-0.97537442304867428</v>
      </c>
      <c r="Z423" t="str">
        <f t="shared" si="364"/>
        <v>0.989106107848185+0.290712035743032i</v>
      </c>
      <c r="AA423" s="4">
        <f t="shared" si="378"/>
        <v>1.0309434418572356</v>
      </c>
      <c r="AB423" s="4">
        <f t="shared" si="379"/>
        <v>0.28586390814469276</v>
      </c>
      <c r="AC423" s="48" t="str">
        <f t="shared" si="380"/>
        <v>-0.249558370672976-0.114913249597799i</v>
      </c>
      <c r="AD423" s="20">
        <f t="shared" si="381"/>
        <v>-11.221425895303852</v>
      </c>
      <c r="AE423" s="44">
        <f t="shared" si="382"/>
        <v>-155.27551696485577</v>
      </c>
      <c r="AF423" t="str">
        <f t="shared" si="383"/>
        <v>45.9520231294187</v>
      </c>
      <c r="AG423" t="str">
        <f t="shared" si="365"/>
        <v>1+49.763646116149i</v>
      </c>
      <c r="AH423">
        <f t="shared" si="384"/>
        <v>49.773692597328065</v>
      </c>
      <c r="AI423">
        <f t="shared" si="385"/>
        <v>1.5507040404019938</v>
      </c>
      <c r="AJ423" t="str">
        <f t="shared" si="366"/>
        <v>1+0.112797597863271i</v>
      </c>
      <c r="AK423">
        <f t="shared" si="386"/>
        <v>1.0063415414677683</v>
      </c>
      <c r="AL423">
        <f t="shared" si="387"/>
        <v>0.11232283116579914</v>
      </c>
      <c r="AM423" t="str">
        <f t="shared" si="367"/>
        <v>1-0.252365208799896i</v>
      </c>
      <c r="AN423">
        <f t="shared" si="388"/>
        <v>1.0313526063440259</v>
      </c>
      <c r="AO423">
        <f t="shared" si="389"/>
        <v>-0.24720350015872075</v>
      </c>
      <c r="AP423" s="42" t="str">
        <f t="shared" si="390"/>
        <v>-0.109749140129545-0.951896714919192i</v>
      </c>
      <c r="AQ423">
        <f t="shared" si="391"/>
        <v>-0.37085306806796997</v>
      </c>
      <c r="AR423" s="44">
        <f t="shared" si="392"/>
        <v>-96.576889860114036</v>
      </c>
      <c r="AS423" t="str">
        <f t="shared" si="368"/>
        <v>-0.000166666666666667</v>
      </c>
      <c r="AT423" t="str">
        <f t="shared" si="369"/>
        <v>0.00889691053146553i</v>
      </c>
      <c r="AU423">
        <f t="shared" si="393"/>
        <v>8.8969105314655305E-3</v>
      </c>
      <c r="AV423">
        <f t="shared" si="394"/>
        <v>1.5707963267948966</v>
      </c>
      <c r="AW423" t="str">
        <f t="shared" si="370"/>
        <v>1+1.62090684409701i</v>
      </c>
      <c r="AX423">
        <f t="shared" si="395"/>
        <v>1.9045574281812896</v>
      </c>
      <c r="AY423">
        <f t="shared" si="396"/>
        <v>1.0180149865658907</v>
      </c>
      <c r="AZ423" t="str">
        <f t="shared" si="371"/>
        <v>1+32.9932973750068i</v>
      </c>
      <c r="BA423">
        <f t="shared" si="397"/>
        <v>33.008448489373599</v>
      </c>
      <c r="BB423">
        <f t="shared" si="398"/>
        <v>1.5404964164308101</v>
      </c>
      <c r="BC423" s="42" t="str">
        <f t="shared" si="399"/>
        <v>-0.162020136581414+0.281352642870052i</v>
      </c>
      <c r="BD423">
        <f t="shared" si="400"/>
        <v>-9.7711886932857723</v>
      </c>
      <c r="BE423" s="44">
        <f t="shared" si="401"/>
        <v>119.93598080522059</v>
      </c>
      <c r="BF423" s="42" t="str">
        <f t="shared" si="402"/>
        <v>0.0727646277765974-0.0515956467443364i</v>
      </c>
      <c r="BG423" s="20">
        <f t="shared" si="403"/>
        <v>-20.992614588589621</v>
      </c>
      <c r="BH423" s="44">
        <f t="shared" si="404"/>
        <v>-35.339536159635195</v>
      </c>
      <c r="BI423" s="42" t="str">
        <f t="shared" si="357"/>
        <v>0.285600227155317+0.123348225134444i</v>
      </c>
      <c r="BJ423" s="20">
        <f t="shared" si="405"/>
        <v>-10.142041761353731</v>
      </c>
      <c r="BK423" s="44">
        <f t="shared" si="358"/>
        <v>23.359090945106601</v>
      </c>
      <c r="BL423">
        <f t="shared" si="406"/>
        <v>-20.992614588589621</v>
      </c>
      <c r="BM423" s="44">
        <f t="shared" si="407"/>
        <v>-35.339536159635195</v>
      </c>
    </row>
    <row r="424" spans="14:65" x14ac:dyDescent="0.35">
      <c r="N424" s="9">
        <v>6</v>
      </c>
      <c r="O424" s="35">
        <f t="shared" si="408"/>
        <v>114815.36214968823</v>
      </c>
      <c r="P424" s="34" t="str">
        <f t="shared" si="360"/>
        <v>16.3709677419355</v>
      </c>
      <c r="Q424" s="4" t="str">
        <f t="shared" si="361"/>
        <v>1+106.116524388008i</v>
      </c>
      <c r="R424" s="4">
        <f t="shared" si="372"/>
        <v>106.12123608491703</v>
      </c>
      <c r="S424" s="4">
        <f t="shared" si="373"/>
        <v>1.5613730027092951</v>
      </c>
      <c r="T424" s="4" t="str">
        <f t="shared" si="362"/>
        <v>1+0.115424991439588i</v>
      </c>
      <c r="U424" s="4">
        <f t="shared" si="374"/>
        <v>1.006639423353183</v>
      </c>
      <c r="V424" s="4">
        <f t="shared" si="375"/>
        <v>0.11491645080034539</v>
      </c>
      <c r="W424" t="str">
        <f t="shared" si="363"/>
        <v>1-1.51053624001297i</v>
      </c>
      <c r="X424" s="4">
        <f t="shared" si="376"/>
        <v>1.8115517470921223</v>
      </c>
      <c r="Y424" s="4">
        <f t="shared" si="377"/>
        <v>-0.98601994328257092</v>
      </c>
      <c r="Z424" t="str">
        <f t="shared" si="364"/>
        <v>0.988592694528446+0.297483588947516i</v>
      </c>
      <c r="AA424" s="4">
        <f t="shared" si="378"/>
        <v>1.032381713015156</v>
      </c>
      <c r="AB424" s="4">
        <f t="shared" si="379"/>
        <v>0.29229716248124182</v>
      </c>
      <c r="AC424" s="48" t="str">
        <f t="shared" si="380"/>
        <v>-0.249163151213228-0.110320115534232i</v>
      </c>
      <c r="AD424" s="20">
        <f t="shared" si="381"/>
        <v>-11.292871425770157</v>
      </c>
      <c r="AE424" s="44">
        <f t="shared" si="382"/>
        <v>-156.11803071307338</v>
      </c>
      <c r="AF424" t="str">
        <f t="shared" si="383"/>
        <v>45.9520231294187</v>
      </c>
      <c r="AG424" t="str">
        <f t="shared" si="365"/>
        <v>1+50.9227903409945i</v>
      </c>
      <c r="AH424">
        <f t="shared" si="384"/>
        <v>50.932608180937315</v>
      </c>
      <c r="AI424">
        <f t="shared" si="385"/>
        <v>1.5511612777670525</v>
      </c>
      <c r="AJ424" t="str">
        <f t="shared" si="366"/>
        <v>1+0.115424991439588i</v>
      </c>
      <c r="AK424">
        <f t="shared" si="386"/>
        <v>1.006639423353183</v>
      </c>
      <c r="AL424">
        <f t="shared" si="387"/>
        <v>0.11491645080034539</v>
      </c>
      <c r="AM424" t="str">
        <f t="shared" si="367"/>
        <v>1-0.258243549660402i</v>
      </c>
      <c r="AN424">
        <f t="shared" si="388"/>
        <v>1.0328067248721826</v>
      </c>
      <c r="AO424">
        <f t="shared" si="389"/>
        <v>-0.25272212335810351</v>
      </c>
      <c r="AP424" s="42" t="str">
        <f t="shared" si="390"/>
        <v>-0.110585961709654-0.931455947875111i</v>
      </c>
      <c r="AQ424">
        <f t="shared" si="391"/>
        <v>-0.55596575187845909</v>
      </c>
      <c r="AR424" s="44">
        <f t="shared" si="392"/>
        <v>-96.7706779906934</v>
      </c>
      <c r="AS424" t="str">
        <f t="shared" si="368"/>
        <v>-0.000166666666666667</v>
      </c>
      <c r="AT424" t="str">
        <f t="shared" si="369"/>
        <v>0.00910414619979749i</v>
      </c>
      <c r="AU424">
        <f t="shared" si="393"/>
        <v>9.1041461997974898E-3</v>
      </c>
      <c r="AV424">
        <f t="shared" si="394"/>
        <v>1.5707963267948966</v>
      </c>
      <c r="AW424" t="str">
        <f t="shared" si="370"/>
        <v>1+1.65866261470438i</v>
      </c>
      <c r="AX424">
        <f t="shared" si="395"/>
        <v>1.9367915916324014</v>
      </c>
      <c r="AY424">
        <f t="shared" si="396"/>
        <v>1.0282506019571231</v>
      </c>
      <c r="AZ424" t="str">
        <f t="shared" si="371"/>
        <v>1+33.7618099960794i</v>
      </c>
      <c r="BA424">
        <f t="shared" si="397"/>
        <v>33.776616381919709</v>
      </c>
      <c r="BB424">
        <f t="shared" si="398"/>
        <v>1.5411857188230587</v>
      </c>
      <c r="BC424" s="42" t="str">
        <f t="shared" si="399"/>
        <v>-0.156671988987131+0.278172648214759i</v>
      </c>
      <c r="BD424">
        <f t="shared" si="400"/>
        <v>-9.9171444653429202</v>
      </c>
      <c r="BE424" s="44">
        <f t="shared" si="401"/>
        <v>119.38901736046788</v>
      </c>
      <c r="BF424" s="42" t="str">
        <f t="shared" si="402"/>
        <v>0.0697249251723932-0.0520263016844799i</v>
      </c>
      <c r="BG424" s="20">
        <f t="shared" si="403"/>
        <v>-21.210015891113073</v>
      </c>
      <c r="BH424" s="44">
        <f t="shared" si="404"/>
        <v>-36.729013352605556</v>
      </c>
      <c r="BI424" s="42" t="str">
        <f t="shared" si="357"/>
        <v>0.276431290290914+0.115171066183337i</v>
      </c>
      <c r="BJ424" s="20">
        <f t="shared" si="405"/>
        <v>-10.473110217221384</v>
      </c>
      <c r="BK424" s="44">
        <f t="shared" si="358"/>
        <v>22.618339369774549</v>
      </c>
      <c r="BL424">
        <f t="shared" si="406"/>
        <v>-21.210015891113073</v>
      </c>
      <c r="BM424" s="44">
        <f t="shared" si="407"/>
        <v>-36.729013352605556</v>
      </c>
    </row>
    <row r="425" spans="14:65" x14ac:dyDescent="0.35">
      <c r="N425" s="9">
        <v>7</v>
      </c>
      <c r="O425" s="35">
        <f t="shared" si="408"/>
        <v>117489.75549395311</v>
      </c>
      <c r="P425" s="34" t="str">
        <f t="shared" si="360"/>
        <v>16.3709677419355</v>
      </c>
      <c r="Q425" s="4" t="str">
        <f t="shared" si="361"/>
        <v>1+108.588295771439i</v>
      </c>
      <c r="R425" s="4">
        <f t="shared" si="372"/>
        <v>108.59290022163287</v>
      </c>
      <c r="S425" s="4">
        <f t="shared" si="373"/>
        <v>1.5615874914854659</v>
      </c>
      <c r="T425" s="4" t="str">
        <f t="shared" si="362"/>
        <v>1+0.118113584874196i</v>
      </c>
      <c r="U425" s="4">
        <f t="shared" si="374"/>
        <v>1.0069512495308965</v>
      </c>
      <c r="V425" s="4">
        <f t="shared" si="375"/>
        <v>0.11756887671895928</v>
      </c>
      <c r="W425" t="str">
        <f t="shared" si="363"/>
        <v>1-1.5457211489914i</v>
      </c>
      <c r="X425" s="4">
        <f t="shared" si="376"/>
        <v>1.840992631826454</v>
      </c>
      <c r="Y425" s="4">
        <f t="shared" si="377"/>
        <v>-0.99657016760985717</v>
      </c>
      <c r="Z425" t="str">
        <f t="shared" si="364"/>
        <v>0.988055084784399+0.304412871888522i</v>
      </c>
      <c r="AA425" s="4">
        <f t="shared" si="378"/>
        <v>1.0338858965764661</v>
      </c>
      <c r="AB425" s="4">
        <f t="shared" si="379"/>
        <v>0.29886494357886129</v>
      </c>
      <c r="AC425" s="48" t="str">
        <f t="shared" si="380"/>
        <v>-0.248745527694774-0.105795645493055i</v>
      </c>
      <c r="AD425" s="20">
        <f t="shared" si="381"/>
        <v>-11.362783898775788</v>
      </c>
      <c r="AE425" s="44">
        <f t="shared" si="382"/>
        <v>-156.95913666862245</v>
      </c>
      <c r="AF425" t="str">
        <f t="shared" si="383"/>
        <v>45.9520231294187</v>
      </c>
      <c r="AG425" t="str">
        <f t="shared" si="365"/>
        <v>1+52.1089345033219i</v>
      </c>
      <c r="AH425">
        <f t="shared" si="384"/>
        <v>52.118528903562613</v>
      </c>
      <c r="AI425">
        <f t="shared" si="385"/>
        <v>1.5516081150734056</v>
      </c>
      <c r="AJ425" t="str">
        <f t="shared" si="366"/>
        <v>1+0.118113584874196i</v>
      </c>
      <c r="AK425">
        <f t="shared" si="386"/>
        <v>1.0069512495308965</v>
      </c>
      <c r="AL425">
        <f t="shared" si="387"/>
        <v>0.11756887671895928</v>
      </c>
      <c r="AM425" t="str">
        <f t="shared" si="367"/>
        <v>1-0.264258814669197i</v>
      </c>
      <c r="AN425">
        <f t="shared" si="388"/>
        <v>1.0343271828248395</v>
      </c>
      <c r="AO425">
        <f t="shared" si="389"/>
        <v>-0.2583530525345154</v>
      </c>
      <c r="AP425" s="42" t="str">
        <f t="shared" si="390"/>
        <v>-0.111385148498754-0.911507572029734i</v>
      </c>
      <c r="AQ425">
        <f t="shared" si="391"/>
        <v>-0.74042256910067661</v>
      </c>
      <c r="AR425" s="44">
        <f t="shared" si="392"/>
        <v>-96.966935548414199</v>
      </c>
      <c r="AS425" t="str">
        <f t="shared" si="368"/>
        <v>-0.000166666666666667</v>
      </c>
      <c r="AT425" t="str">
        <f t="shared" si="369"/>
        <v>0.00931620900695225i</v>
      </c>
      <c r="AU425">
        <f t="shared" si="393"/>
        <v>9.3162090069522502E-3</v>
      </c>
      <c r="AV425">
        <f t="shared" si="394"/>
        <v>1.5707963267948966</v>
      </c>
      <c r="AW425" t="str">
        <f t="shared" si="370"/>
        <v>1+1.69729783018507i</v>
      </c>
      <c r="AX425">
        <f t="shared" si="395"/>
        <v>1.9699796761263673</v>
      </c>
      <c r="AY425">
        <f t="shared" si="396"/>
        <v>1.0383767931774235</v>
      </c>
      <c r="AZ425" t="str">
        <f t="shared" si="371"/>
        <v>1+34.5482235757024i</v>
      </c>
      <c r="BA425">
        <f t="shared" si="397"/>
        <v>34.562693069793035</v>
      </c>
      <c r="BB425">
        <f t="shared" si="398"/>
        <v>1.5418593579758719</v>
      </c>
      <c r="BC425" s="42" t="str">
        <f t="shared" si="399"/>
        <v>-0.151437575361935+0.274924634530079i</v>
      </c>
      <c r="BD425">
        <f t="shared" si="400"/>
        <v>-10.064892893020051</v>
      </c>
      <c r="BE425" s="44">
        <f t="shared" si="401"/>
        <v>118.84742602137311</v>
      </c>
      <c r="BF425" s="42" t="str">
        <f t="shared" si="402"/>
        <v>0.0667552487682736-0.0523648372551583i</v>
      </c>
      <c r="BG425" s="20">
        <f t="shared" si="403"/>
        <v>-21.42767679179584</v>
      </c>
      <c r="BH425" s="44">
        <f t="shared" si="404"/>
        <v>-38.111710647249296</v>
      </c>
      <c r="BI425" s="42" t="str">
        <f t="shared" si="357"/>
        <v>0.267463782931655+0.107413975389129i</v>
      </c>
      <c r="BJ425" s="20">
        <f t="shared" si="405"/>
        <v>-10.805315462120715</v>
      </c>
      <c r="BK425" s="44">
        <f t="shared" si="358"/>
        <v>21.880490472958929</v>
      </c>
      <c r="BL425">
        <f t="shared" si="406"/>
        <v>-21.42767679179584</v>
      </c>
      <c r="BM425" s="44">
        <f t="shared" si="407"/>
        <v>-38.111710647249296</v>
      </c>
    </row>
    <row r="426" spans="14:65" x14ac:dyDescent="0.35">
      <c r="N426" s="9">
        <v>8</v>
      </c>
      <c r="O426" s="35">
        <f t="shared" si="408"/>
        <v>120226.44346174144</v>
      </c>
      <c r="P426" s="34" t="str">
        <f t="shared" si="360"/>
        <v>16.3709677419355</v>
      </c>
      <c r="Q426" s="4" t="str">
        <f t="shared" si="361"/>
        <v>1+111.117642106623i</v>
      </c>
      <c r="R426" s="4">
        <f t="shared" si="372"/>
        <v>111.12214175102798</v>
      </c>
      <c r="S426" s="4">
        <f t="shared" si="373"/>
        <v>1.5617970987197898</v>
      </c>
      <c r="T426" s="4" t="str">
        <f t="shared" si="362"/>
        <v>1+0.120864803694923i</v>
      </c>
      <c r="U426" s="4">
        <f t="shared" si="374"/>
        <v>1.0072776681591884</v>
      </c>
      <c r="V426" s="4">
        <f t="shared" si="375"/>
        <v>0.12028136590622515</v>
      </c>
      <c r="W426" t="str">
        <f t="shared" si="363"/>
        <v>1-1.58172561978305i</v>
      </c>
      <c r="X426" s="4">
        <f t="shared" si="376"/>
        <v>1.8713246474831868</v>
      </c>
      <c r="Y426" s="4">
        <f t="shared" si="377"/>
        <v>-1.00702129520161</v>
      </c>
      <c r="Z426" t="str">
        <f t="shared" si="364"/>
        <v>0.987492138273697+0.311503558563584i</v>
      </c>
      <c r="AA426" s="4">
        <f t="shared" si="378"/>
        <v>1.0354589273120081</v>
      </c>
      <c r="AB426" s="4">
        <f t="shared" si="379"/>
        <v>0.30556938075455287</v>
      </c>
      <c r="AC426" s="48" t="str">
        <f t="shared" si="380"/>
        <v>-0.248304962588925-0.101338084134594i</v>
      </c>
      <c r="AD426" s="20">
        <f t="shared" si="381"/>
        <v>-11.431215680772027</v>
      </c>
      <c r="AE426" s="44">
        <f t="shared" si="382"/>
        <v>-157.79867355243735</v>
      </c>
      <c r="AF426" t="str">
        <f t="shared" si="383"/>
        <v>45.9520231294187</v>
      </c>
      <c r="AG426" t="str">
        <f t="shared" si="365"/>
        <v>1+53.3227075124661i</v>
      </c>
      <c r="AH426">
        <f t="shared" si="384"/>
        <v>53.332083556336045</v>
      </c>
      <c r="AI426">
        <f t="shared" si="385"/>
        <v>1.5520447885259609</v>
      </c>
      <c r="AJ426" t="str">
        <f t="shared" si="366"/>
        <v>1+0.120864803694923i</v>
      </c>
      <c r="AK426">
        <f t="shared" si="386"/>
        <v>1.0072776681591884</v>
      </c>
      <c r="AL426">
        <f t="shared" si="387"/>
        <v>0.12028136590622515</v>
      </c>
      <c r="AM426" t="str">
        <f t="shared" si="367"/>
        <v>1-0.270414193199407i</v>
      </c>
      <c r="AN426">
        <f t="shared" si="388"/>
        <v>1.0359169058779214</v>
      </c>
      <c r="AO426">
        <f t="shared" si="389"/>
        <v>-0.26409784435183059</v>
      </c>
      <c r="AP426" s="42" t="str">
        <f t="shared" si="390"/>
        <v>-0.112148391845301-0.892041109140083i</v>
      </c>
      <c r="AQ426">
        <f t="shared" si="391"/>
        <v>-0.92419575608253435</v>
      </c>
      <c r="AR426" s="44">
        <f t="shared" si="392"/>
        <v>-97.165693237179312</v>
      </c>
      <c r="AS426" t="str">
        <f t="shared" si="368"/>
        <v>-0.000166666666666667</v>
      </c>
      <c r="AT426" t="str">
        <f t="shared" si="369"/>
        <v>0.00953321139143708i</v>
      </c>
      <c r="AU426">
        <f t="shared" si="393"/>
        <v>9.5332113914370804E-3</v>
      </c>
      <c r="AV426">
        <f t="shared" si="394"/>
        <v>1.5707963267948966</v>
      </c>
      <c r="AW426" t="str">
        <f t="shared" si="370"/>
        <v>1+1.73683297544171i</v>
      </c>
      <c r="AX426">
        <f t="shared" si="395"/>
        <v>2.0041429052294908</v>
      </c>
      <c r="AY426">
        <f t="shared" si="396"/>
        <v>1.0483906220586752</v>
      </c>
      <c r="AZ426" t="str">
        <f t="shared" si="371"/>
        <v>1+35.352955080765i</v>
      </c>
      <c r="BA426">
        <f t="shared" si="397"/>
        <v>35.367095342176292</v>
      </c>
      <c r="BB426">
        <f t="shared" si="398"/>
        <v>1.5425176886147223</v>
      </c>
      <c r="BC426" s="42" t="str">
        <f t="shared" si="399"/>
        <v>-0.146318677683904+0.271613845430579i</v>
      </c>
      <c r="BD426">
        <f t="shared" si="400"/>
        <v>-10.214395321846323</v>
      </c>
      <c r="BE426" s="44">
        <f t="shared" si="401"/>
        <v>118.31139545684141</v>
      </c>
      <c r="BF426" s="42" t="str">
        <f t="shared" si="402"/>
        <v>0.0638564805087274-0.05261541125868i</v>
      </c>
      <c r="BG426" s="20">
        <f t="shared" si="403"/>
        <v>-21.645611002618345</v>
      </c>
      <c r="BH426" s="44">
        <f t="shared" si="404"/>
        <v>-39.487278095595954</v>
      </c>
      <c r="BI426" s="42" t="str">
        <f t="shared" si="357"/>
        <v>0.258700120334878+0.100061219561102i</v>
      </c>
      <c r="BJ426" s="20">
        <f t="shared" si="405"/>
        <v>-11.138591077928851</v>
      </c>
      <c r="BK426" s="44">
        <f t="shared" si="358"/>
        <v>21.145702219661956</v>
      </c>
      <c r="BL426">
        <f t="shared" si="406"/>
        <v>-21.645611002618345</v>
      </c>
      <c r="BM426" s="44">
        <f t="shared" si="407"/>
        <v>-39.487278095595954</v>
      </c>
    </row>
    <row r="427" spans="14:65" x14ac:dyDescent="0.35">
      <c r="N427" s="9">
        <v>9</v>
      </c>
      <c r="O427" s="35">
        <f t="shared" si="408"/>
        <v>123026.87708123829</v>
      </c>
      <c r="P427" s="34" t="str">
        <f t="shared" si="360"/>
        <v>16.3709677419355</v>
      </c>
      <c r="Q427" s="4" t="str">
        <f t="shared" si="361"/>
        <v>1+113.705904486468i</v>
      </c>
      <c r="R427" s="4">
        <f t="shared" si="372"/>
        <v>113.71030171046853</v>
      </c>
      <c r="S427" s="4">
        <f t="shared" si="373"/>
        <v>1.5620019354750816</v>
      </c>
      <c r="T427" s="4" t="str">
        <f t="shared" si="362"/>
        <v>1+0.123680106634404i</v>
      </c>
      <c r="U427" s="4">
        <f t="shared" si="374"/>
        <v>1.0076193570873366</v>
      </c>
      <c r="V427" s="4">
        <f t="shared" si="375"/>
        <v>0.12305519681473659</v>
      </c>
      <c r="W427" t="str">
        <f t="shared" si="363"/>
        <v>1-1.61856874243493i</v>
      </c>
      <c r="X427" s="4">
        <f t="shared" si="376"/>
        <v>1.9025679420161032</v>
      </c>
      <c r="Y427" s="4">
        <f t="shared" si="377"/>
        <v>-1.0173697348418631</v>
      </c>
      <c r="Z427" t="str">
        <f t="shared" si="364"/>
        <v>0.986902660911315+0.318759408548633i</v>
      </c>
      <c r="AA427" s="4">
        <f t="shared" si="378"/>
        <v>1.0371038630012464</v>
      </c>
      <c r="AB427" s="4">
        <f t="shared" si="379"/>
        <v>0.31241259140412286</v>
      </c>
      <c r="AC427" s="48" t="str">
        <f t="shared" si="380"/>
        <v>-0.247840898949094-0.0969457470384523i</v>
      </c>
      <c r="AD427" s="20">
        <f t="shared" si="381"/>
        <v>-11.498220686852406</v>
      </c>
      <c r="AE427" s="44">
        <f t="shared" si="382"/>
        <v>-158.63649003433571</v>
      </c>
      <c r="AF427" t="str">
        <f t="shared" si="383"/>
        <v>45.9520231294187</v>
      </c>
      <c r="AG427" t="str">
        <f t="shared" si="365"/>
        <v>1+54.5647529269428i</v>
      </c>
      <c r="AH427">
        <f t="shared" si="384"/>
        <v>54.573915582247842</v>
      </c>
      <c r="AI427">
        <f t="shared" si="385"/>
        <v>1.5524715289882489</v>
      </c>
      <c r="AJ427" t="str">
        <f t="shared" si="366"/>
        <v>1+0.123680106634404i</v>
      </c>
      <c r="AK427">
        <f t="shared" si="386"/>
        <v>1.0076193570873366</v>
      </c>
      <c r="AL427">
        <f t="shared" si="387"/>
        <v>0.12305519681473659</v>
      </c>
      <c r="AM427" t="str">
        <f t="shared" si="367"/>
        <v>1-0.276712948914207i</v>
      </c>
      <c r="AN427">
        <f t="shared" si="388"/>
        <v>1.0375789396941306</v>
      </c>
      <c r="AO427">
        <f t="shared" si="389"/>
        <v>-0.2699580274077627</v>
      </c>
      <c r="AP427" s="42" t="str">
        <f t="shared" si="390"/>
        <v>-0.112877307193996-0.87304632990316i</v>
      </c>
      <c r="AQ427">
        <f t="shared" si="391"/>
        <v>-1.1072565574902506</v>
      </c>
      <c r="AR427" s="44">
        <f t="shared" si="392"/>
        <v>-97.366978616754182</v>
      </c>
      <c r="AS427" t="str">
        <f t="shared" si="368"/>
        <v>-0.000166666666666667</v>
      </c>
      <c r="AT427" t="str">
        <f t="shared" si="369"/>
        <v>0.00975526841078862i</v>
      </c>
      <c r="AU427">
        <f t="shared" si="393"/>
        <v>9.7552684107886194E-3</v>
      </c>
      <c r="AV427">
        <f t="shared" si="394"/>
        <v>1.5707963267948966</v>
      </c>
      <c r="AW427" t="str">
        <f t="shared" si="370"/>
        <v>1+1.77728901253163i</v>
      </c>
      <c r="AX427">
        <f t="shared" si="395"/>
        <v>2.0393028794334738</v>
      </c>
      <c r="AY427">
        <f t="shared" si="396"/>
        <v>1.058289364244333</v>
      </c>
      <c r="AZ427" t="str">
        <f t="shared" si="371"/>
        <v>1+36.1764311905631i</v>
      </c>
      <c r="BA427">
        <f t="shared" si="397"/>
        <v>36.190249704658669</v>
      </c>
      <c r="BB427">
        <f t="shared" si="398"/>
        <v>1.5431610575113617</v>
      </c>
      <c r="BC427" s="42" t="str">
        <f t="shared" si="399"/>
        <v>-0.141316760753119+0.268245511506339i</v>
      </c>
      <c r="BD427">
        <f t="shared" si="400"/>
        <v>-10.365612528865721</v>
      </c>
      <c r="BE427" s="44">
        <f t="shared" si="401"/>
        <v>117.78110162956271</v>
      </c>
      <c r="BF427" s="42" t="str">
        <f t="shared" si="402"/>
        <v>0.0610293345243208-0.0527821497705252i</v>
      </c>
      <c r="BG427" s="20">
        <f t="shared" si="403"/>
        <v>-21.863833215718135</v>
      </c>
      <c r="BH427" s="44">
        <f t="shared" si="404"/>
        <v>-40.855388404773024</v>
      </c>
      <c r="BI427" s="42" t="str">
        <f t="shared" si="357"/>
        <v>0.250142214748795+0.0930972483236018i</v>
      </c>
      <c r="BJ427" s="20">
        <f t="shared" si="405"/>
        <v>-11.47286908635599</v>
      </c>
      <c r="BK427" s="44">
        <f t="shared" si="358"/>
        <v>20.414123012808545</v>
      </c>
      <c r="BL427">
        <f t="shared" si="406"/>
        <v>-21.863833215718135</v>
      </c>
      <c r="BM427" s="44">
        <f t="shared" si="407"/>
        <v>-40.855388404773024</v>
      </c>
    </row>
    <row r="428" spans="14:65" x14ac:dyDescent="0.35">
      <c r="N428" s="9">
        <v>10</v>
      </c>
      <c r="O428" s="35">
        <f t="shared" si="408"/>
        <v>125892.54117941685</v>
      </c>
      <c r="P428" s="34" t="str">
        <f t="shared" si="360"/>
        <v>16.3709677419355</v>
      </c>
      <c r="Q428" s="4" t="str">
        <f t="shared" si="361"/>
        <v>1+116.354455241948i</v>
      </c>
      <c r="R428" s="4">
        <f t="shared" si="372"/>
        <v>116.35875237664969</v>
      </c>
      <c r="S428" s="4">
        <f t="shared" si="373"/>
        <v>1.5622021102897046</v>
      </c>
      <c r="T428" s="4" t="str">
        <f t="shared" si="362"/>
        <v>1+0.126560986403522i</v>
      </c>
      <c r="U428" s="4">
        <f t="shared" si="374"/>
        <v>1.0079770251743998</v>
      </c>
      <c r="V428" s="4">
        <f t="shared" si="375"/>
        <v>0.1258916693369414</v>
      </c>
      <c r="W428" t="str">
        <f t="shared" si="363"/>
        <v>1-1.65627005165834i</v>
      </c>
      <c r="X428" s="4">
        <f t="shared" si="376"/>
        <v>1.9347430020600462</v>
      </c>
      <c r="Y428" s="4">
        <f t="shared" si="377"/>
        <v>-1.0276121073335669</v>
      </c>
      <c r="Z428" t="str">
        <f t="shared" si="364"/>
        <v>0.986285402336734+0.326184268991374i</v>
      </c>
      <c r="AA428" s="4">
        <f t="shared" si="378"/>
        <v>1.0388238889243788</v>
      </c>
      <c r="AB428" s="4">
        <f t="shared" si="379"/>
        <v>0.31939667743906103</v>
      </c>
      <c r="AC428" s="48" t="str">
        <f t="shared" si="380"/>
        <v>-0.247352761475152-0.0926170213428791i</v>
      </c>
      <c r="AD428" s="20">
        <f t="shared" si="381"/>
        <v>-11.563854271407081</v>
      </c>
      <c r="AE428" s="44">
        <f t="shared" si="382"/>
        <v>-159.47244467168497</v>
      </c>
      <c r="AF428" t="str">
        <f t="shared" si="383"/>
        <v>45.9520231294187</v>
      </c>
      <c r="AG428" t="str">
        <f t="shared" si="365"/>
        <v>1+55.8357292956714i</v>
      </c>
      <c r="AH428">
        <f t="shared" si="384"/>
        <v>55.84468341730927</v>
      </c>
      <c r="AI428">
        <f t="shared" si="385"/>
        <v>1.5528885621016539</v>
      </c>
      <c r="AJ428" t="str">
        <f t="shared" si="366"/>
        <v>1+0.126560986403522i</v>
      </c>
      <c r="AK428">
        <f t="shared" si="386"/>
        <v>1.0079770251743998</v>
      </c>
      <c r="AL428">
        <f t="shared" si="387"/>
        <v>0.1258916693369414</v>
      </c>
      <c r="AM428" t="str">
        <f t="shared" si="367"/>
        <v>1-0.283158421497251i</v>
      </c>
      <c r="AN428">
        <f t="shared" si="388"/>
        <v>1.0393164540527657</v>
      </c>
      <c r="AO428">
        <f t="shared" si="389"/>
        <v>-0.2759350982093311</v>
      </c>
      <c r="AP428" s="42" t="str">
        <f t="shared" si="390"/>
        <v>-0.113573437482726-0.854513248970345i</v>
      </c>
      <c r="AQ428">
        <f t="shared" si="391"/>
        <v>-1.2895752036239156</v>
      </c>
      <c r="AR428" s="44">
        <f t="shared" si="392"/>
        <v>-97.570815880623101</v>
      </c>
      <c r="AS428" t="str">
        <f t="shared" si="368"/>
        <v>-0.000166666666666667</v>
      </c>
      <c r="AT428" t="str">
        <f t="shared" si="369"/>
        <v>0.0099824978025778i</v>
      </c>
      <c r="AU428">
        <f t="shared" si="393"/>
        <v>9.9824978025777993E-3</v>
      </c>
      <c r="AV428">
        <f t="shared" si="394"/>
        <v>1.5707963267948966</v>
      </c>
      <c r="AW428" t="str">
        <f t="shared" si="370"/>
        <v>1+1.8186873917812i</v>
      </c>
      <c r="AX428">
        <f t="shared" si="395"/>
        <v>2.0754815896615186</v>
      </c>
      <c r="AY428">
        <f t="shared" si="396"/>
        <v>1.0680705080899806</v>
      </c>
      <c r="AZ428" t="str">
        <f t="shared" si="371"/>
        <v>1+37.0190885230302i</v>
      </c>
      <c r="BA428">
        <f t="shared" si="397"/>
        <v>37.03259260537866</v>
      </c>
      <c r="BB428">
        <f t="shared" si="398"/>
        <v>1.5437898036568316</v>
      </c>
      <c r="BC428" s="42" t="str">
        <f t="shared" si="399"/>
        <v>-0.136432980939556+0.264824830397599i</v>
      </c>
      <c r="BD428">
        <f t="shared" si="400"/>
        <v>-10.51850482985143</v>
      </c>
      <c r="BE428" s="44">
        <f t="shared" si="401"/>
        <v>117.25670786891702</v>
      </c>
      <c r="BF428" s="42" t="str">
        <f t="shared" si="402"/>
        <v>0.0582743615607447-0.0528691367984834i</v>
      </c>
      <c r="BG428" s="20">
        <f t="shared" si="403"/>
        <v>-22.082359101258511</v>
      </c>
      <c r="BH428" s="44">
        <f t="shared" si="404"/>
        <v>-42.215736802767935</v>
      </c>
      <c r="BI428" s="42" t="str">
        <f t="shared" si="357"/>
        <v>0.241791488862394+0.0865067234903339i</v>
      </c>
      <c r="BJ428" s="20">
        <f t="shared" si="405"/>
        <v>-11.80808003347533</v>
      </c>
      <c r="BK428" s="44">
        <f t="shared" si="358"/>
        <v>19.685891988293889</v>
      </c>
      <c r="BL428">
        <f t="shared" si="406"/>
        <v>-22.082359101258511</v>
      </c>
      <c r="BM428" s="44">
        <f t="shared" si="407"/>
        <v>-42.215736802767935</v>
      </c>
    </row>
    <row r="429" spans="14:65" x14ac:dyDescent="0.35">
      <c r="N429" s="9">
        <v>11</v>
      </c>
      <c r="O429" s="35">
        <f t="shared" si="408"/>
        <v>128824.95516931375</v>
      </c>
      <c r="P429" s="34" t="str">
        <f t="shared" si="360"/>
        <v>16.3709677419355</v>
      </c>
      <c r="Q429" s="4" t="str">
        <f t="shared" si="361"/>
        <v>1+119.06469866973i</v>
      </c>
      <c r="R429" s="4">
        <f t="shared" si="372"/>
        <v>119.06889799319387</v>
      </c>
      <c r="S429" s="4">
        <f t="shared" si="373"/>
        <v>1.5623977292347899</v>
      </c>
      <c r="T429" s="4" t="str">
        <f t="shared" si="362"/>
        <v>1+0.129508970482864i</v>
      </c>
      <c r="U429" s="4">
        <f t="shared" si="374"/>
        <v>1.008351413662683</v>
      </c>
      <c r="V429" s="4">
        <f t="shared" si="375"/>
        <v>0.12879210474213096</v>
      </c>
      <c r="W429" t="str">
        <f t="shared" si="363"/>
        <v>1-1.69484953718646i</v>
      </c>
      <c r="X429" s="4">
        <f t="shared" si="376"/>
        <v>1.9678706648815003</v>
      </c>
      <c r="Y429" s="4">
        <f t="shared" si="377"/>
        <v>-1.0377452469835844</v>
      </c>
      <c r="Z429" t="str">
        <f t="shared" si="364"/>
        <v>0.985639053261762+0.333782076651094i</v>
      </c>
      <c r="AA429" s="4">
        <f t="shared" si="378"/>
        <v>1.0406223224629862</v>
      </c>
      <c r="AB429" s="4">
        <f t="shared" si="379"/>
        <v>0.32652372151906867</v>
      </c>
      <c r="AC429" s="48" t="str">
        <f t="shared" si="380"/>
        <v>-0.246839957683788-0.0883503664308884i</v>
      </c>
      <c r="AD429" s="20">
        <f t="shared" si="381"/>
        <v>-11.628173118597205</v>
      </c>
      <c r="AE429" s="44">
        <f t="shared" si="382"/>
        <v>-160.30640578551439</v>
      </c>
      <c r="AF429" t="str">
        <f t="shared" si="383"/>
        <v>45.9520231294187</v>
      </c>
      <c r="AG429" t="str">
        <f t="shared" si="365"/>
        <v>1+57.1363105071458i</v>
      </c>
      <c r="AH429">
        <f t="shared" si="384"/>
        <v>57.145060839664694</v>
      </c>
      <c r="AI429">
        <f t="shared" si="385"/>
        <v>1.5532961084020882</v>
      </c>
      <c r="AJ429" t="str">
        <f t="shared" si="366"/>
        <v>1+0.129508970482864i</v>
      </c>
      <c r="AK429">
        <f t="shared" si="386"/>
        <v>1.008351413662683</v>
      </c>
      <c r="AL429">
        <f t="shared" si="387"/>
        <v>0.12879210474213096</v>
      </c>
      <c r="AM429" t="str">
        <f t="shared" si="367"/>
        <v>1-0.289754028423417i</v>
      </c>
      <c r="AN429">
        <f t="shared" si="388"/>
        <v>1.0411327470537071</v>
      </c>
      <c r="AO429">
        <f t="shared" si="389"/>
        <v>-0.28203051693777087</v>
      </c>
      <c r="AP429" s="42" t="str">
        <f t="shared" si="390"/>
        <v>-0.114238256388308-0.836432120062009i</v>
      </c>
      <c r="AQ429">
        <f t="shared" si="391"/>
        <v>-1.4711208885054168</v>
      </c>
      <c r="AR429" s="44">
        <f t="shared" si="392"/>
        <v>-97.77722562363104</v>
      </c>
      <c r="AS429" t="str">
        <f t="shared" si="368"/>
        <v>-0.000166666666666667</v>
      </c>
      <c r="AT429" t="str">
        <f t="shared" si="369"/>
        <v>0.0102150200468359i</v>
      </c>
      <c r="AU429">
        <f t="shared" si="393"/>
        <v>1.02150200468359E-2</v>
      </c>
      <c r="AV429">
        <f t="shared" si="394"/>
        <v>1.5707963267948966</v>
      </c>
      <c r="AW429" t="str">
        <f t="shared" si="370"/>
        <v>1+1.86105006315907i</v>
      </c>
      <c r="AX429">
        <f t="shared" si="395"/>
        <v>2.1127014312449308</v>
      </c>
      <c r="AY429">
        <f t="shared" si="396"/>
        <v>1.077731752812261</v>
      </c>
      <c r="AZ429" t="str">
        <f t="shared" si="371"/>
        <v>1+37.8813738662377i</v>
      </c>
      <c r="BA429">
        <f t="shared" si="397"/>
        <v>37.894570666438185</v>
      </c>
      <c r="BB429">
        <f t="shared" si="398"/>
        <v>1.5444042584310662</v>
      </c>
      <c r="BC429" s="42" t="str">
        <f t="shared" si="399"/>
        <v>-0.131668196176431+0.261356948137219i</v>
      </c>
      <c r="BD429">
        <f t="shared" si="400"/>
        <v>-10.67303218329479</v>
      </c>
      <c r="BE429" s="44">
        <f t="shared" si="401"/>
        <v>116.7383649867528</v>
      </c>
      <c r="BF429" s="42" t="str">
        <f t="shared" si="402"/>
        <v>0.0555919541096729-0.0528804046390733i</v>
      </c>
      <c r="BG429" s="20">
        <f t="shared" si="403"/>
        <v>-22.301205301892001</v>
      </c>
      <c r="BH429" s="44">
        <f t="shared" si="404"/>
        <v>-43.568040798761558</v>
      </c>
      <c r="BI429" s="42" t="str">
        <f t="shared" si="357"/>
        <v>0.23364889137634+0.0802745464224273i</v>
      </c>
      <c r="BJ429" s="20">
        <f t="shared" si="405"/>
        <v>-12.144153071800199</v>
      </c>
      <c r="BK429" s="44">
        <f t="shared" si="358"/>
        <v>18.961139363121742</v>
      </c>
      <c r="BL429">
        <f t="shared" si="406"/>
        <v>-22.301205301892001</v>
      </c>
      <c r="BM429" s="44">
        <f t="shared" si="407"/>
        <v>-43.568040798761558</v>
      </c>
    </row>
    <row r="430" spans="14:65" x14ac:dyDescent="0.35">
      <c r="N430" s="9">
        <v>12</v>
      </c>
      <c r="O430" s="35">
        <f t="shared" si="408"/>
        <v>131825.67385564081</v>
      </c>
      <c r="P430" s="34" t="str">
        <f t="shared" si="360"/>
        <v>16.3709677419355</v>
      </c>
      <c r="Q430" s="4" t="str">
        <f t="shared" si="361"/>
        <v>1+121.838071776754i</v>
      </c>
      <c r="R430" s="4">
        <f t="shared" si="372"/>
        <v>121.84217551520271</v>
      </c>
      <c r="S430" s="4">
        <f t="shared" si="373"/>
        <v>1.5625888959701717</v>
      </c>
      <c r="T430" s="4" t="str">
        <f t="shared" si="362"/>
        <v>1+0.13252562193261i</v>
      </c>
      <c r="U430" s="4">
        <f t="shared" si="374"/>
        <v>1.0087432976077835</v>
      </c>
      <c r="V430" s="4">
        <f t="shared" si="375"/>
        <v>0.13175784557572862</v>
      </c>
      <c r="W430" t="str">
        <f t="shared" si="363"/>
        <v>1-1.73432765437318i</v>
      </c>
      <c r="X430" s="4">
        <f t="shared" si="376"/>
        <v>2.0019721308558664</v>
      </c>
      <c r="Y430" s="4">
        <f t="shared" si="377"/>
        <v>-1.0477662022012544</v>
      </c>
      <c r="Z430" t="str">
        <f t="shared" si="364"/>
        <v>0.984962242693353+0.341556859985981i</v>
      </c>
      <c r="AA430" s="4">
        <f t="shared" si="378"/>
        <v>1.0425026178072661</v>
      </c>
      <c r="AB430" s="4">
        <f t="shared" si="379"/>
        <v>0.33379578307728802</v>
      </c>
      <c r="AC430" s="48" t="str">
        <f t="shared" si="380"/>
        <v>-0.246301879192952-0.0841443146563779i</v>
      </c>
      <c r="AD430" s="20">
        <f t="shared" si="381"/>
        <v>-11.691235133112679</v>
      </c>
      <c r="AE430" s="44">
        <f t="shared" si="382"/>
        <v>-161.13825127604761</v>
      </c>
      <c r="AF430" t="str">
        <f t="shared" si="383"/>
        <v>45.9520231294187</v>
      </c>
      <c r="AG430" t="str">
        <f t="shared" si="365"/>
        <v>1+58.4671861467394i</v>
      </c>
      <c r="AH430">
        <f t="shared" si="384"/>
        <v>58.475737326839038</v>
      </c>
      <c r="AI430">
        <f t="shared" si="385"/>
        <v>1.5536943834341557</v>
      </c>
      <c r="AJ430" t="str">
        <f t="shared" si="366"/>
        <v>1+0.13252562193261i</v>
      </c>
      <c r="AK430">
        <f t="shared" si="386"/>
        <v>1.0087432976077835</v>
      </c>
      <c r="AL430">
        <f t="shared" si="387"/>
        <v>0.13175784557572862</v>
      </c>
      <c r="AM430" t="str">
        <f t="shared" si="367"/>
        <v>1-0.296503266770801i</v>
      </c>
      <c r="AN430">
        <f t="shared" si="388"/>
        <v>1.0430312493908112</v>
      </c>
      <c r="AO430">
        <f t="shared" si="389"/>
        <v>-0.2882457030009194</v>
      </c>
      <c r="AP430" s="42" t="str">
        <f t="shared" si="390"/>
        <v>-0.114873171427715-0.818793431181657i</v>
      </c>
      <c r="AQ430">
        <f t="shared" si="391"/>
        <v>-1.6518617488792042</v>
      </c>
      <c r="AR430" s="44">
        <f t="shared" si="392"/>
        <v>-97.986224599466183</v>
      </c>
      <c r="AS430" t="str">
        <f t="shared" si="368"/>
        <v>-0.000166666666666667</v>
      </c>
      <c r="AT430" t="str">
        <f t="shared" si="369"/>
        <v>0.0104529584299346i</v>
      </c>
      <c r="AU430">
        <f t="shared" si="393"/>
        <v>1.04529584299346E-2</v>
      </c>
      <c r="AV430">
        <f t="shared" si="394"/>
        <v>1.5707963267948966</v>
      </c>
      <c r="AW430" t="str">
        <f t="shared" si="370"/>
        <v>1+1.90439948791432i</v>
      </c>
      <c r="AX430">
        <f t="shared" si="395"/>
        <v>2.1509852183518894</v>
      </c>
      <c r="AY430">
        <f t="shared" si="396"/>
        <v>1.0872710059370501</v>
      </c>
      <c r="AZ430" t="str">
        <f t="shared" si="371"/>
        <v>1+38.7637444152883i</v>
      </c>
      <c r="BA430">
        <f t="shared" si="397"/>
        <v>38.776640920711472</v>
      </c>
      <c r="BB430">
        <f t="shared" si="398"/>
        <v>1.5450047457691354</v>
      </c>
      <c r="BC430" s="42" t="str">
        <f t="shared" si="399"/>
        <v>-0.127022977043089+0.257846941824671i</v>
      </c>
      <c r="BD430">
        <f t="shared" si="400"/>
        <v>-10.829154290772616</v>
      </c>
      <c r="BE430" s="44">
        <f t="shared" si="401"/>
        <v>116.22621143311771</v>
      </c>
      <c r="BF430" s="42" t="str">
        <f t="shared" si="402"/>
        <v>0.0529823521524759-0.0528199249666687i</v>
      </c>
      <c r="BG430" s="20">
        <f t="shared" si="403"/>
        <v>-22.520389423885291</v>
      </c>
      <c r="BH430" s="44">
        <f t="shared" si="404"/>
        <v>-44.91203984292995</v>
      </c>
      <c r="BI430" s="42" t="str">
        <f t="shared" si="357"/>
        <v>0.225714914433449+0.0743858832616822i</v>
      </c>
      <c r="BJ430" s="20">
        <f t="shared" si="405"/>
        <v>-12.481016039651818</v>
      </c>
      <c r="BK430" s="44">
        <f t="shared" si="358"/>
        <v>18.239986833651521</v>
      </c>
      <c r="BL430">
        <f t="shared" si="406"/>
        <v>-22.520389423885291</v>
      </c>
      <c r="BM430" s="44">
        <f t="shared" si="407"/>
        <v>-44.91203984292995</v>
      </c>
    </row>
    <row r="431" spans="14:65" x14ac:dyDescent="0.35">
      <c r="N431" s="9">
        <v>13</v>
      </c>
      <c r="O431" s="35">
        <f t="shared" si="408"/>
        <v>134896.28825916545</v>
      </c>
      <c r="P431" s="34" t="str">
        <f t="shared" si="360"/>
        <v>16.3709677419355</v>
      </c>
      <c r="Q431" s="4" t="str">
        <f t="shared" si="361"/>
        <v>1+124.676045042152i</v>
      </c>
      <c r="R431" s="4">
        <f t="shared" si="372"/>
        <v>124.68005537114874</v>
      </c>
      <c r="S431" s="4">
        <f t="shared" si="373"/>
        <v>1.5627757117990624</v>
      </c>
      <c r="T431" s="4" t="str">
        <f t="shared" si="362"/>
        <v>1+0.135612540221288i</v>
      </c>
      <c r="U431" s="4">
        <f t="shared" si="374"/>
        <v>1.0091534873671451</v>
      </c>
      <c r="V431" s="4">
        <f t="shared" si="375"/>
        <v>0.1347902555178718</v>
      </c>
      <c r="W431" t="str">
        <f t="shared" si="363"/>
        <v>1-1.77472533503879i</v>
      </c>
      <c r="X431" s="4">
        <f t="shared" si="376"/>
        <v>2.0370689764533121</v>
      </c>
      <c r="Y431" s="4">
        <f t="shared" si="377"/>
        <v>-1.0576722352502501</v>
      </c>
      <c r="Z431" t="str">
        <f t="shared" si="364"/>
        <v>0.984253535025549+0.349512741289073i</v>
      </c>
      <c r="AA431" s="4">
        <f t="shared" si="378"/>
        <v>1.0444683707674887</v>
      </c>
      <c r="AB431" s="4">
        <f t="shared" si="379"/>
        <v>0.34121489413614559</v>
      </c>
      <c r="AC431" s="48" t="str">
        <f t="shared" si="380"/>
        <v>-0.245737903128496-0.0799974721026104i</v>
      </c>
      <c r="AD431" s="20">
        <f t="shared" si="381"/>
        <v>-11.753099331619104</v>
      </c>
      <c r="AE431" s="44">
        <f t="shared" si="382"/>
        <v>-161.96786837998698</v>
      </c>
      <c r="AF431" t="str">
        <f t="shared" si="383"/>
        <v>45.9520231294187</v>
      </c>
      <c r="AG431" t="str">
        <f t="shared" si="365"/>
        <v>1+59.8290618623328i</v>
      </c>
      <c r="AH431">
        <f t="shared" si="384"/>
        <v>59.837418421309302</v>
      </c>
      <c r="AI431">
        <f t="shared" si="385"/>
        <v>1.554083597862856</v>
      </c>
      <c r="AJ431" t="str">
        <f t="shared" si="366"/>
        <v>1+0.135612540221288i</v>
      </c>
      <c r="AK431">
        <f t="shared" si="386"/>
        <v>1.0091534873671451</v>
      </c>
      <c r="AL431">
        <f t="shared" si="387"/>
        <v>0.1347902555178718</v>
      </c>
      <c r="AM431" t="str">
        <f t="shared" si="367"/>
        <v>1-0.303409715074911i</v>
      </c>
      <c r="AN431">
        <f t="shared" si="388"/>
        <v>1.0450155286893295</v>
      </c>
      <c r="AO431">
        <f t="shared" si="389"/>
        <v>-0.29458203037209896</v>
      </c>
      <c r="AP431" s="42" t="str">
        <f t="shared" si="390"/>
        <v>-0.115479526921109-0.801587899928862i</v>
      </c>
      <c r="AQ431">
        <f t="shared" si="391"/>
        <v>-1.8317648442752912</v>
      </c>
      <c r="AR431" s="44">
        <f t="shared" si="392"/>
        <v>-98.197825468099794</v>
      </c>
      <c r="AS431" t="str">
        <f t="shared" si="368"/>
        <v>-0.000166666666666667</v>
      </c>
      <c r="AT431" t="str">
        <f t="shared" si="369"/>
        <v>0.0106964391099541i</v>
      </c>
      <c r="AU431">
        <f t="shared" si="393"/>
        <v>1.06964391099541E-2</v>
      </c>
      <c r="AV431">
        <f t="shared" si="394"/>
        <v>1.5707963267948966</v>
      </c>
      <c r="AW431" t="str">
        <f t="shared" si="370"/>
        <v>1+1.94875865048578i</v>
      </c>
      <c r="AX431">
        <f t="shared" si="395"/>
        <v>2.1903561988505791</v>
      </c>
      <c r="AY431">
        <f t="shared" si="396"/>
        <v>1.0966863800999163</v>
      </c>
      <c r="AZ431" t="str">
        <f t="shared" si="371"/>
        <v>1+39.6666680147267i</v>
      </c>
      <c r="BA431">
        <f t="shared" si="397"/>
        <v>39.679271054173142</v>
      </c>
      <c r="BB431">
        <f t="shared" si="398"/>
        <v>1.5455915823241679</v>
      </c>
      <c r="BC431" s="42" t="str">
        <f t="shared" si="399"/>
        <v>-0.122497618781837+0.254299803677019i</v>
      </c>
      <c r="BD431">
        <f t="shared" si="400"/>
        <v>-10.986830693350601</v>
      </c>
      <c r="BE431" s="44">
        <f t="shared" si="401"/>
        <v>115.7203734889162</v>
      </c>
      <c r="BF431" s="42" t="str">
        <f t="shared" si="402"/>
        <v>0.0504456494280341-0.0526916006804426i</v>
      </c>
      <c r="BG431" s="20">
        <f t="shared" si="403"/>
        <v>-22.739930024969709</v>
      </c>
      <c r="BH431" s="44">
        <f t="shared" si="404"/>
        <v>-46.247494891070772</v>
      </c>
      <c r="BI431" s="42" t="str">
        <f t="shared" si="357"/>
        <v>0.217989612647672+0.068826187960866i</v>
      </c>
      <c r="BJ431" s="20">
        <f t="shared" si="405"/>
        <v>-12.81859553762591</v>
      </c>
      <c r="BK431" s="44">
        <f t="shared" si="358"/>
        <v>17.52254802081643</v>
      </c>
      <c r="BL431">
        <f t="shared" si="406"/>
        <v>-22.739930024969709</v>
      </c>
      <c r="BM431" s="44">
        <f t="shared" si="407"/>
        <v>-46.247494891070772</v>
      </c>
    </row>
    <row r="432" spans="14:65" x14ac:dyDescent="0.35">
      <c r="N432" s="9">
        <v>14</v>
      </c>
      <c r="O432" s="35">
        <f t="shared" si="408"/>
        <v>138038.42646028858</v>
      </c>
      <c r="P432" s="34" t="str">
        <f t="shared" si="360"/>
        <v>16.3709677419355</v>
      </c>
      <c r="Q432" s="4" t="str">
        <f t="shared" si="361"/>
        <v>1+127.580123196914i</v>
      </c>
      <c r="R432" s="4">
        <f t="shared" si="372"/>
        <v>127.58404224251463</v>
      </c>
      <c r="S432" s="4">
        <f t="shared" si="373"/>
        <v>1.5629582757214979</v>
      </c>
      <c r="T432" s="4" t="str">
        <f t="shared" si="362"/>
        <v>1+0.138771362073836i</v>
      </c>
      <c r="U432" s="4">
        <f t="shared" si="374"/>
        <v>1.0095828301490808</v>
      </c>
      <c r="V432" s="4">
        <f t="shared" si="375"/>
        <v>0.13789071919811038</v>
      </c>
      <c r="W432" t="str">
        <f t="shared" si="363"/>
        <v>1-1.81606399856831i</v>
      </c>
      <c r="X432" s="4">
        <f t="shared" si="376"/>
        <v>2.0731831677147872</v>
      </c>
      <c r="Y432" s="4">
        <f t="shared" si="377"/>
        <v>-1.0674608211978991</v>
      </c>
      <c r="Z432" t="str">
        <f t="shared" si="364"/>
        <v>0.983511426994369+0.357653938873945i</v>
      </c>
      <c r="AA432" s="4">
        <f t="shared" si="378"/>
        <v>1.0465233236868388</v>
      </c>
      <c r="AB432" s="4">
        <f t="shared" si="379"/>
        <v>0.34878305491267575</v>
      </c>
      <c r="AC432" s="48" t="str">
        <f t="shared" si="380"/>
        <v>-0.245147393660916-0.0759085193644493i</v>
      </c>
      <c r="AD432" s="20">
        <f t="shared" si="381"/>
        <v>-11.813825735244842</v>
      </c>
      <c r="AE432" s="44">
        <f t="shared" si="382"/>
        <v>-162.79515337219559</v>
      </c>
      <c r="AF432" t="str">
        <f t="shared" si="383"/>
        <v>45.9520231294187</v>
      </c>
      <c r="AG432" t="str">
        <f t="shared" si="365"/>
        <v>1+61.2226597384569i</v>
      </c>
      <c r="AH432">
        <f t="shared" si="384"/>
        <v>61.230826104592694</v>
      </c>
      <c r="AI432">
        <f t="shared" si="385"/>
        <v>1.5544639575828703</v>
      </c>
      <c r="AJ432" t="str">
        <f t="shared" si="366"/>
        <v>1+0.138771362073836i</v>
      </c>
      <c r="AK432">
        <f t="shared" si="386"/>
        <v>1.0095828301490808</v>
      </c>
      <c r="AL432">
        <f t="shared" si="387"/>
        <v>0.13789071919811038</v>
      </c>
      <c r="AM432" t="str">
        <f t="shared" si="367"/>
        <v>1-0.310477035226057i</v>
      </c>
      <c r="AN432">
        <f t="shared" si="388"/>
        <v>1.0470892939013188</v>
      </c>
      <c r="AO432">
        <f t="shared" si="389"/>
        <v>-0.30104082271566351</v>
      </c>
      <c r="AP432" s="42" t="str">
        <f t="shared" si="390"/>
        <v>-0.116058606822822-0.784806468910265i</v>
      </c>
      <c r="AQ432">
        <f t="shared" si="391"/>
        <v>-2.0107961382919339</v>
      </c>
      <c r="AR432" s="44">
        <f t="shared" si="392"/>
        <v>-98.412036533379734</v>
      </c>
      <c r="AS432" t="str">
        <f t="shared" si="368"/>
        <v>-0.000166666666666667</v>
      </c>
      <c r="AT432" t="str">
        <f t="shared" si="369"/>
        <v>0.0109455911835738i</v>
      </c>
      <c r="AU432">
        <f t="shared" si="393"/>
        <v>1.09455911835738E-2</v>
      </c>
      <c r="AV432">
        <f t="shared" si="394"/>
        <v>1.5707963267948966</v>
      </c>
      <c r="AW432" t="str">
        <f t="shared" si="370"/>
        <v>1+1.9941510706886i</v>
      </c>
      <c r="AX432">
        <f t="shared" si="395"/>
        <v>2.2308380695892049</v>
      </c>
      <c r="AY432">
        <f t="shared" si="396"/>
        <v>1.1059761892532731</v>
      </c>
      <c r="AZ432" t="str">
        <f t="shared" si="371"/>
        <v>1+40.590623406597i</v>
      </c>
      <c r="BA432">
        <f t="shared" si="397"/>
        <v>40.602939653874571</v>
      </c>
      <c r="BB432">
        <f t="shared" si="398"/>
        <v>1.5461650776270024</v>
      </c>
      <c r="BC432" s="42" t="str">
        <f t="shared" si="399"/>
        <v>-0.118092154095321+0.250720426485191i</v>
      </c>
      <c r="BD432">
        <f t="shared" si="400"/>
        <v>-11.146020863730868</v>
      </c>
      <c r="BE432" s="44">
        <f t="shared" si="401"/>
        <v>115.22096549236993</v>
      </c>
      <c r="BF432" s="42" t="str">
        <f t="shared" si="402"/>
        <v>0.0479818001371853-0.0524992585244637i</v>
      </c>
      <c r="BG432" s="20">
        <f t="shared" si="403"/>
        <v>-22.959846598975709</v>
      </c>
      <c r="BH432" s="44">
        <f t="shared" si="404"/>
        <v>-47.574187879825686</v>
      </c>
      <c r="BI432" s="42" t="str">
        <f t="shared" si="357"/>
        <v>0.210472623474527+0.0635812230616607i</v>
      </c>
      <c r="BJ432" s="20">
        <f t="shared" si="405"/>
        <v>-13.156817002022816</v>
      </c>
      <c r="BK432" s="44">
        <f t="shared" si="358"/>
        <v>16.808928958990215</v>
      </c>
      <c r="BL432">
        <f t="shared" si="406"/>
        <v>-22.959846598975709</v>
      </c>
      <c r="BM432" s="44">
        <f t="shared" si="407"/>
        <v>-47.574187879825686</v>
      </c>
    </row>
    <row r="433" spans="14:65" x14ac:dyDescent="0.35">
      <c r="N433" s="9">
        <v>15</v>
      </c>
      <c r="O433" s="35">
        <f t="shared" si="408"/>
        <v>141253.75446227577</v>
      </c>
      <c r="P433" s="34" t="str">
        <f t="shared" si="360"/>
        <v>16.3709677419355</v>
      </c>
      <c r="Q433" s="4" t="str">
        <f t="shared" si="361"/>
        <v>1+130.551846021717i</v>
      </c>
      <c r="R433" s="4">
        <f t="shared" si="372"/>
        <v>130.55567586159594</v>
      </c>
      <c r="S433" s="4">
        <f t="shared" si="373"/>
        <v>1.5631366844865804</v>
      </c>
      <c r="T433" s="4" t="str">
        <f t="shared" si="362"/>
        <v>1+0.142003762339412i</v>
      </c>
      <c r="U433" s="4">
        <f t="shared" si="374"/>
        <v>1.0100322116242373</v>
      </c>
      <c r="V433" s="4">
        <f t="shared" si="375"/>
        <v>0.14106064196285659</v>
      </c>
      <c r="W433" t="str">
        <f t="shared" si="363"/>
        <v>1-1.85836556326832i</v>
      </c>
      <c r="X433" s="4">
        <f t="shared" si="376"/>
        <v>2.1103370741996597</v>
      </c>
      <c r="Y433" s="4">
        <f t="shared" si="377"/>
        <v>-1.0771296461097604</v>
      </c>
      <c r="Z433" t="str">
        <f t="shared" si="364"/>
        <v>0.982734344489182+0.365984769311318i</v>
      </c>
      <c r="AA433" s="4">
        <f t="shared" si="378"/>
        <v>1.0486713704523649</v>
      </c>
      <c r="AB433" s="4">
        <f t="shared" si="379"/>
        <v>0.35650222921333774</v>
      </c>
      <c r="AC433" s="48" t="str">
        <f t="shared" si="380"/>
        <v>-0.244529703679874-0.0718762123446876i</v>
      </c>
      <c r="AD433" s="20">
        <f t="shared" si="381"/>
        <v>-11.873475263400739</v>
      </c>
      <c r="AE433" s="44">
        <f t="shared" si="382"/>
        <v>-163.62001121471494</v>
      </c>
      <c r="AF433" t="str">
        <f t="shared" si="383"/>
        <v>45.9520231294187</v>
      </c>
      <c r="AG433" t="str">
        <f t="shared" si="365"/>
        <v>1+62.6487186791521i</v>
      </c>
      <c r="AH433">
        <f t="shared" si="384"/>
        <v>62.656699180052094</v>
      </c>
      <c r="AI433">
        <f t="shared" si="385"/>
        <v>1.5548356638254801</v>
      </c>
      <c r="AJ433" t="str">
        <f t="shared" si="366"/>
        <v>1+0.142003762339412i</v>
      </c>
      <c r="AK433">
        <f t="shared" si="386"/>
        <v>1.0100322116242373</v>
      </c>
      <c r="AL433">
        <f t="shared" si="387"/>
        <v>0.14106064196285659</v>
      </c>
      <c r="AM433" t="str">
        <f t="shared" si="367"/>
        <v>1-0.31770897441093i</v>
      </c>
      <c r="AN433">
        <f t="shared" si="388"/>
        <v>1.0492563997523412</v>
      </c>
      <c r="AO433">
        <f t="shared" si="389"/>
        <v>-0.30762334830060856</v>
      </c>
      <c r="AP433" s="42" t="str">
        <f t="shared" si="390"/>
        <v>-0.116611637426086-0.768440301247688i</v>
      </c>
      <c r="AQ433">
        <f t="shared" si="391"/>
        <v>-2.1889204812660599</v>
      </c>
      <c r="AR433" s="44">
        <f t="shared" si="392"/>
        <v>-98.62886147105182</v>
      </c>
      <c r="AS433" t="str">
        <f t="shared" si="368"/>
        <v>-0.000166666666666667</v>
      </c>
      <c r="AT433" t="str">
        <f t="shared" si="369"/>
        <v>0.0112005467545211i</v>
      </c>
      <c r="AU433">
        <f t="shared" si="393"/>
        <v>1.1200546754521101E-2</v>
      </c>
      <c r="AV433">
        <f t="shared" si="394"/>
        <v>1.5707963267948966</v>
      </c>
      <c r="AW433" t="str">
        <f t="shared" si="370"/>
        <v>1+2.04060081618481i</v>
      </c>
      <c r="AX433">
        <f t="shared" si="395"/>
        <v>2.2724549920766557</v>
      </c>
      <c r="AY433">
        <f t="shared" si="396"/>
        <v>1.11513894433554</v>
      </c>
      <c r="AZ433" t="str">
        <f t="shared" si="371"/>
        <v>1+41.5361004842779i</v>
      </c>
      <c r="BA433">
        <f t="shared" si="397"/>
        <v>41.548136461699826</v>
      </c>
      <c r="BB433">
        <f t="shared" si="398"/>
        <v>1.5467255342426085</v>
      </c>
      <c r="BC433" s="42" t="str">
        <f t="shared" si="399"/>
        <v>-0.113806366575038+0.247113590487536i</v>
      </c>
      <c r="BD433">
        <f t="shared" si="400"/>
        <v>-11.306684293907276</v>
      </c>
      <c r="BE433" s="44">
        <f t="shared" si="401"/>
        <v>114.72809009611849</v>
      </c>
      <c r="BF433" s="42" t="str">
        <f t="shared" si="402"/>
        <v>0.0455906259986175-0.0522466424870621i</v>
      </c>
      <c r="BG433" s="20">
        <f t="shared" si="403"/>
        <v>-23.180159557308016</v>
      </c>
      <c r="BH433" s="44">
        <f t="shared" si="404"/>
        <v>-48.8919211185964</v>
      </c>
      <c r="BI433" s="42" t="str">
        <f t="shared" si="357"/>
        <v>0.203163188672469+0.0586370781978362i</v>
      </c>
      <c r="BJ433" s="20">
        <f t="shared" si="405"/>
        <v>-13.495604775173318</v>
      </c>
      <c r="BK433" s="44">
        <f t="shared" si="358"/>
        <v>16.099228625066647</v>
      </c>
      <c r="BL433">
        <f t="shared" si="406"/>
        <v>-23.180159557308016</v>
      </c>
      <c r="BM433" s="44">
        <f t="shared" si="407"/>
        <v>-48.8919211185964</v>
      </c>
    </row>
    <row r="434" spans="14:65" x14ac:dyDescent="0.35">
      <c r="N434" s="9">
        <v>16</v>
      </c>
      <c r="O434" s="35">
        <f t="shared" si="408"/>
        <v>144543.97707459307</v>
      </c>
      <c r="P434" s="34" t="str">
        <f t="shared" si="360"/>
        <v>16.3709677419355</v>
      </c>
      <c r="Q434" s="4" t="str">
        <f t="shared" si="361"/>
        <v>1+133.592789163339i</v>
      </c>
      <c r="R434" s="4">
        <f t="shared" si="372"/>
        <v>133.59653182788972</v>
      </c>
      <c r="S434" s="4">
        <f t="shared" si="373"/>
        <v>1.5633110326435427</v>
      </c>
      <c r="T434" s="4" t="str">
        <f t="shared" si="362"/>
        <v>1+0.145311454879422i</v>
      </c>
      <c r="U434" s="4">
        <f t="shared" si="374"/>
        <v>1.0105025576015008</v>
      </c>
      <c r="V434" s="4">
        <f t="shared" si="375"/>
        <v>0.14430144959205968</v>
      </c>
      <c r="W434" t="str">
        <f t="shared" si="363"/>
        <v>1-1.90165245798835i</v>
      </c>
      <c r="X434" s="4">
        <f t="shared" si="376"/>
        <v>2.1485534833867024</v>
      </c>
      <c r="Y434" s="4">
        <f t="shared" si="377"/>
        <v>-1.086676604540199</v>
      </c>
      <c r="Z434" t="str">
        <f t="shared" si="364"/>
        <v>0.98192063921381+0.37450964971776i</v>
      </c>
      <c r="AA434" s="4">
        <f t="shared" si="378"/>
        <v>1.0509165616002902</v>
      </c>
      <c r="AB434" s="4">
        <f t="shared" si="379"/>
        <v>0.36437433961953608</v>
      </c>
      <c r="AC434" s="48" t="str">
        <f t="shared" si="380"/>
        <v>-0.243884176613908-0.0678993830538012i</v>
      </c>
      <c r="AD434" s="20">
        <f t="shared" si="381"/>
        <v>-11.932109629163161</v>
      </c>
      <c r="AE434" s="44">
        <f t="shared" si="382"/>
        <v>-164.44235515629475</v>
      </c>
      <c r="AF434" t="str">
        <f t="shared" si="383"/>
        <v>45.9520231294187</v>
      </c>
      <c r="AG434" t="str">
        <f t="shared" si="365"/>
        <v>1+64.1079947997447i</v>
      </c>
      <c r="AH434">
        <f t="shared" si="384"/>
        <v>64.115793664619744</v>
      </c>
      <c r="AI434">
        <f t="shared" si="385"/>
        <v>1.5551989132631638</v>
      </c>
      <c r="AJ434" t="str">
        <f t="shared" si="366"/>
        <v>1+0.145311454879422i</v>
      </c>
      <c r="AK434">
        <f t="shared" si="386"/>
        <v>1.0105025576015008</v>
      </c>
      <c r="AL434">
        <f t="shared" si="387"/>
        <v>0.14430144959205968</v>
      </c>
      <c r="AM434" t="str">
        <f t="shared" si="367"/>
        <v>1-0.32510936709941i</v>
      </c>
      <c r="AN434">
        <f t="shared" si="388"/>
        <v>1.0515208512320517</v>
      </c>
      <c r="AO434">
        <f t="shared" si="389"/>
        <v>-0.31433081470506513</v>
      </c>
      <c r="AP434" s="42" t="str">
        <f t="shared" si="390"/>
        <v>-0.117139789947095-0.752480776182521i</v>
      </c>
      <c r="AQ434">
        <f t="shared" si="391"/>
        <v>-2.3661015945063375</v>
      </c>
      <c r="AR434" s="44">
        <f t="shared" si="392"/>
        <v>-98.848299047575594</v>
      </c>
      <c r="AS434" t="str">
        <f t="shared" si="368"/>
        <v>-0.000166666666666667</v>
      </c>
      <c r="AT434" t="str">
        <f t="shared" si="369"/>
        <v>0.0114614410036144i</v>
      </c>
      <c r="AU434">
        <f t="shared" si="393"/>
        <v>1.14614410036144E-2</v>
      </c>
      <c r="AV434">
        <f t="shared" si="394"/>
        <v>1.5707963267948966</v>
      </c>
      <c r="AW434" t="str">
        <f t="shared" si="370"/>
        <v>1+2.08813251524431i</v>
      </c>
      <c r="AX434">
        <f t="shared" si="395"/>
        <v>2.3152316085481659</v>
      </c>
      <c r="AY434">
        <f t="shared" si="396"/>
        <v>1.1241733484576979</v>
      </c>
      <c r="AZ434" t="str">
        <f t="shared" si="371"/>
        <v>1+42.5036005522308i</v>
      </c>
      <c r="BA434">
        <f t="shared" si="397"/>
        <v>42.515362634036109</v>
      </c>
      <c r="BB434">
        <f t="shared" si="398"/>
        <v>1.5472732479233278</v>
      </c>
      <c r="BC434" s="42" t="str">
        <f t="shared" si="399"/>
        <v>-0.109639804617217+0.243483951657905i</v>
      </c>
      <c r="BD434">
        <f t="shared" si="400"/>
        <v>-11.468780578136746</v>
      </c>
      <c r="BE434" s="44">
        <f t="shared" si="401"/>
        <v>114.24183855178998</v>
      </c>
      <c r="BF434" s="42" t="str">
        <f t="shared" si="402"/>
        <v>0.043271823574253-0.0519374079771404i</v>
      </c>
      <c r="BG434" s="20">
        <f t="shared" si="403"/>
        <v>-23.400890207299906</v>
      </c>
      <c r="BH434" s="44">
        <f t="shared" si="404"/>
        <v>-50.200516604504777</v>
      </c>
      <c r="BI434" s="42" t="str">
        <f t="shared" ref="BI434:BI497" si="409">IMPRODUCT(AP434,BC434)</f>
        <v>0.196060176614229+0.0539801863261678i</v>
      </c>
      <c r="BJ434" s="20">
        <f t="shared" si="405"/>
        <v>-13.834882172643086</v>
      </c>
      <c r="BK434" s="44">
        <f t="shared" ref="BK434:BK497" si="410">(180/PI())*IMARGUMENT(BI434)</f>
        <v>15.393539504214417</v>
      </c>
      <c r="BL434">
        <f t="shared" si="406"/>
        <v>-23.400890207299906</v>
      </c>
      <c r="BM434" s="44">
        <f t="shared" si="407"/>
        <v>-50.200516604504777</v>
      </c>
    </row>
    <row r="435" spans="14:65" x14ac:dyDescent="0.35">
      <c r="N435" s="9">
        <v>17</v>
      </c>
      <c r="O435" s="35">
        <f t="shared" si="408"/>
        <v>147910.83881682079</v>
      </c>
      <c r="P435" s="34" t="str">
        <f t="shared" si="360"/>
        <v>16.3709677419355</v>
      </c>
      <c r="Q435" s="4" t="str">
        <f t="shared" si="361"/>
        <v>1+136.704564970085i</v>
      </c>
      <c r="R435" s="4">
        <f t="shared" si="372"/>
        <v>136.70822244349529</v>
      </c>
      <c r="S435" s="4">
        <f t="shared" si="373"/>
        <v>1.5634814125916638</v>
      </c>
      <c r="T435" s="4" t="str">
        <f t="shared" si="362"/>
        <v>1+0.148696193476233i</v>
      </c>
      <c r="U435" s="4">
        <f t="shared" si="374"/>
        <v>1.0109948357703522</v>
      </c>
      <c r="V435" s="4">
        <f t="shared" si="375"/>
        <v>0.14761458796137741</v>
      </c>
      <c r="W435" t="str">
        <f t="shared" si="363"/>
        <v>1-1.94594763401295i</v>
      </c>
      <c r="X435" s="4">
        <f t="shared" si="376"/>
        <v>2.1878556155104474</v>
      </c>
      <c r="Y435" s="4">
        <f t="shared" si="377"/>
        <v>-1.0960997963718471</v>
      </c>
      <c r="Z435" t="str">
        <f t="shared" si="364"/>
        <v>0.981068585190269+0.383233100097703i</v>
      </c>
      <c r="AA435" s="4">
        <f t="shared" si="378"/>
        <v>1.0532631095114517</v>
      </c>
      <c r="AB435" s="4">
        <f t="shared" si="379"/>
        <v>0.3724012624664621</v>
      </c>
      <c r="AC435" s="48" t="str">
        <f t="shared" si="380"/>
        <v>-0.243210148402234-0.0639769404013083i</v>
      </c>
      <c r="AD435" s="20">
        <f t="shared" si="381"/>
        <v>-11.989791236394304</v>
      </c>
      <c r="AE435" s="44">
        <f t="shared" si="382"/>
        <v>-165.26210628583266</v>
      </c>
      <c r="AF435" t="str">
        <f t="shared" si="383"/>
        <v>45.9520231294187</v>
      </c>
      <c r="AG435" t="str">
        <f t="shared" si="365"/>
        <v>1+65.6012618277497i</v>
      </c>
      <c r="AH435">
        <f t="shared" si="384"/>
        <v>65.608883189648722</v>
      </c>
      <c r="AI435">
        <f t="shared" si="385"/>
        <v>1.555553898111915</v>
      </c>
      <c r="AJ435" t="str">
        <f t="shared" si="366"/>
        <v>1+0.148696193476233i</v>
      </c>
      <c r="AK435">
        <f t="shared" si="386"/>
        <v>1.0109948357703522</v>
      </c>
      <c r="AL435">
        <f t="shared" si="387"/>
        <v>0.14761458796137741</v>
      </c>
      <c r="AM435" t="str">
        <f t="shared" si="367"/>
        <v>1-0.332682137077656i</v>
      </c>
      <c r="AN435">
        <f t="shared" si="388"/>
        <v>1.0538868081205668</v>
      </c>
      <c r="AO435">
        <f t="shared" si="389"/>
        <v>-0.32116436331603077</v>
      </c>
      <c r="AP435" s="42" t="str">
        <f t="shared" si="390"/>
        <v>-0.117644182993757-0.73691948477539i</v>
      </c>
      <c r="AQ435">
        <f t="shared" si="391"/>
        <v>-2.5423020562729004</v>
      </c>
      <c r="AR435" s="44">
        <f t="shared" si="392"/>
        <v>-99.070342830201227</v>
      </c>
      <c r="AS435" t="str">
        <f t="shared" si="368"/>
        <v>-0.000166666666666667</v>
      </c>
      <c r="AT435" t="str">
        <f t="shared" si="369"/>
        <v>0.0117284122604379i</v>
      </c>
      <c r="AU435">
        <f t="shared" si="393"/>
        <v>1.1728412260437899E-2</v>
      </c>
      <c r="AV435">
        <f t="shared" si="394"/>
        <v>1.5707963267948966</v>
      </c>
      <c r="AW435" t="str">
        <f t="shared" si="370"/>
        <v>1+2.13677136980308i</v>
      </c>
      <c r="AX435">
        <f t="shared" si="395"/>
        <v>2.3591930584015657</v>
      </c>
      <c r="AY435">
        <f t="shared" si="396"/>
        <v>1.1330782916622992</v>
      </c>
      <c r="AZ435" t="str">
        <f t="shared" si="371"/>
        <v>1+43.4936365917981i</v>
      </c>
      <c r="BA435">
        <f t="shared" si="397"/>
        <v>43.505131007496104</v>
      </c>
      <c r="BB435">
        <f t="shared" si="398"/>
        <v>1.5478085077589805</v>
      </c>
      <c r="BC435" s="42" t="str">
        <f t="shared" si="399"/>
        <v>-0.105591795689081+0.239836031391796i</v>
      </c>
      <c r="BD435">
        <f t="shared" si="400"/>
        <v>-11.632269491087976</v>
      </c>
      <c r="BE435" s="44">
        <f t="shared" si="401"/>
        <v>113.76229101888858</v>
      </c>
      <c r="BF435" s="42" t="str">
        <f t="shared" si="402"/>
        <v>0.041024971786039-0.0515751167673341i</v>
      </c>
      <c r="BG435" s="20">
        <f t="shared" si="403"/>
        <v>-23.622060727482275</v>
      </c>
      <c r="BH435" s="44">
        <f t="shared" si="404"/>
        <v>-51.499815266944097</v>
      </c>
      <c r="BI435" s="42" t="str">
        <f t="shared" si="409"/>
        <v>0.189162105218502+0.0495973377101529i</v>
      </c>
      <c r="BJ435" s="20">
        <f t="shared" si="405"/>
        <v>-14.174571547360886</v>
      </c>
      <c r="BK435" s="44">
        <f t="shared" si="410"/>
        <v>14.691948188687348</v>
      </c>
      <c r="BL435">
        <f t="shared" si="406"/>
        <v>-23.622060727482275</v>
      </c>
      <c r="BM435" s="44">
        <f t="shared" si="407"/>
        <v>-51.499815266944097</v>
      </c>
    </row>
    <row r="436" spans="14:65" x14ac:dyDescent="0.35">
      <c r="N436" s="9">
        <v>18</v>
      </c>
      <c r="O436" s="35">
        <f t="shared" si="408"/>
        <v>151356.12484362084</v>
      </c>
      <c r="P436" s="34" t="str">
        <f t="shared" si="360"/>
        <v>16.3709677419355</v>
      </c>
      <c r="Q436" s="4" t="str">
        <f t="shared" si="361"/>
        <v>1+139.888823346677i</v>
      </c>
      <c r="R436" s="4">
        <f t="shared" si="372"/>
        <v>139.89239756798008</v>
      </c>
      <c r="S436" s="4">
        <f t="shared" si="373"/>
        <v>1.5636479146290563</v>
      </c>
      <c r="T436" s="4" t="str">
        <f t="shared" si="362"/>
        <v>1+0.152159772763052i</v>
      </c>
      <c r="U436" s="4">
        <f t="shared" si="374"/>
        <v>1.0115100575116907</v>
      </c>
      <c r="V436" s="4">
        <f t="shared" si="375"/>
        <v>0.15100152264592931</v>
      </c>
      <c r="W436" t="str">
        <f t="shared" si="363"/>
        <v>1-1.99127457723076i</v>
      </c>
      <c r="X436" s="4">
        <f t="shared" si="376"/>
        <v>2.2282671388156183</v>
      </c>
      <c r="Y436" s="4">
        <f t="shared" si="377"/>
        <v>-1.1053975230583484</v>
      </c>
      <c r="Z436" t="str">
        <f t="shared" si="364"/>
        <v>0.980176375097737+0.392159745740008i</v>
      </c>
      <c r="AA436" s="4">
        <f t="shared" si="378"/>
        <v>1.055715393692167</v>
      </c>
      <c r="AB436" s="4">
        <f t="shared" si="379"/>
        <v>0.38058482261936882</v>
      </c>
      <c r="AC436" s="48" t="str">
        <f t="shared" si="380"/>
        <v>-0.242506949625016-0.0601078709658097i</v>
      </c>
      <c r="AD436" s="20">
        <f t="shared" si="381"/>
        <v>-12.04658307871407</v>
      </c>
      <c r="AE436" s="44">
        <f t="shared" si="382"/>
        <v>-166.07919304329985</v>
      </c>
      <c r="AF436" t="str">
        <f t="shared" si="383"/>
        <v>45.9520231294187</v>
      </c>
      <c r="AG436" t="str">
        <f t="shared" si="365"/>
        <v>1+67.1293115131112i</v>
      </c>
      <c r="AH436">
        <f t="shared" si="384"/>
        <v>67.136759411102986</v>
      </c>
      <c r="AI436">
        <f t="shared" si="385"/>
        <v>1.5559008062313286</v>
      </c>
      <c r="AJ436" t="str">
        <f t="shared" si="366"/>
        <v>1+0.152159772763052i</v>
      </c>
      <c r="AK436">
        <f t="shared" si="386"/>
        <v>1.0115100575116907</v>
      </c>
      <c r="AL436">
        <f t="shared" si="387"/>
        <v>0.15100152264592931</v>
      </c>
      <c r="AM436" t="str">
        <f t="shared" si="367"/>
        <v>1-0.340431299528551i</v>
      </c>
      <c r="AN436">
        <f t="shared" si="388"/>
        <v>1.0563585895417795</v>
      </c>
      <c r="AO436">
        <f t="shared" si="389"/>
        <v>-0.32812506363037697</v>
      </c>
      <c r="AP436" s="42" t="str">
        <f t="shared" si="390"/>
        <v>-0.118125884924208-0.721748225700125i</v>
      </c>
      <c r="AQ436">
        <f t="shared" si="391"/>
        <v>-2.7174832896949979</v>
      </c>
      <c r="AR436" s="44">
        <f t="shared" si="392"/>
        <v>-99.294980888878584</v>
      </c>
      <c r="AS436" t="str">
        <f t="shared" si="368"/>
        <v>-0.000166666666666667</v>
      </c>
      <c r="AT436" t="str">
        <f t="shared" si="369"/>
        <v>0.0120016020766858i</v>
      </c>
      <c r="AU436">
        <f t="shared" si="393"/>
        <v>1.20016020766858E-2</v>
      </c>
      <c r="AV436">
        <f t="shared" si="394"/>
        <v>1.5707963267948966</v>
      </c>
      <c r="AW436" t="str">
        <f t="shared" si="370"/>
        <v>1+2.18654316882564i</v>
      </c>
      <c r="AX436">
        <f t="shared" si="395"/>
        <v>2.404364994991</v>
      </c>
      <c r="AY436">
        <f t="shared" si="396"/>
        <v>1.1418528453091181</v>
      </c>
      <c r="AZ436" t="str">
        <f t="shared" si="371"/>
        <v>1+44.5067335331928i</v>
      </c>
      <c r="BA436">
        <f t="shared" si="397"/>
        <v>44.517966370833122</v>
      </c>
      <c r="BB436">
        <f t="shared" si="398"/>
        <v>1.5483315963238846</v>
      </c>
      <c r="BC436" s="42" t="str">
        <f t="shared" si="399"/>
        <v>-0.101661460816492+0.236174207562124i</v>
      </c>
      <c r="BD436">
        <f t="shared" si="400"/>
        <v>-11.797111061070041</v>
      </c>
      <c r="BE436" s="44">
        <f t="shared" si="401"/>
        <v>113.2895168948951</v>
      </c>
      <c r="BF436" s="42" t="str">
        <f t="shared" si="402"/>
        <v>0.0388495395506271-0.0511632326870427i</v>
      </c>
      <c r="BG436" s="20">
        <f t="shared" si="403"/>
        <v>-23.843694139784102</v>
      </c>
      <c r="BH436" s="44">
        <f t="shared" si="404"/>
        <v>-52.789676148404759</v>
      </c>
      <c r="BI436" s="42" t="str">
        <f t="shared" si="409"/>
        <v>0.182467165285732+0.0454756917018364i</v>
      </c>
      <c r="BJ436" s="20">
        <f t="shared" si="405"/>
        <v>-14.51459435076503</v>
      </c>
      <c r="BK436" s="44">
        <f t="shared" si="410"/>
        <v>13.994536006016496</v>
      </c>
      <c r="BL436">
        <f t="shared" si="406"/>
        <v>-23.843694139784102</v>
      </c>
      <c r="BM436" s="44">
        <f t="shared" si="407"/>
        <v>-52.789676148404759</v>
      </c>
    </row>
    <row r="437" spans="14:65" x14ac:dyDescent="0.35">
      <c r="N437" s="9">
        <v>19</v>
      </c>
      <c r="O437" s="35">
        <f t="shared" si="408"/>
        <v>154881.66189124843</v>
      </c>
      <c r="P437" s="34" t="str">
        <f t="shared" si="360"/>
        <v>16.3709677419355</v>
      </c>
      <c r="Q437" s="4" t="str">
        <f t="shared" si="361"/>
        <v>1+143.147252629055i</v>
      </c>
      <c r="R437" s="4">
        <f t="shared" si="372"/>
        <v>143.15074549315659</v>
      </c>
      <c r="S437" s="4">
        <f t="shared" si="373"/>
        <v>1.5638106270003558</v>
      </c>
      <c r="T437" s="4" t="str">
        <f t="shared" si="362"/>
        <v>1+0.155704029175464i</v>
      </c>
      <c r="U437" s="4">
        <f t="shared" si="374"/>
        <v>1.0120492797791389</v>
      </c>
      <c r="V437" s="4">
        <f t="shared" si="375"/>
        <v>0.15446373846152317</v>
      </c>
      <c r="W437" t="str">
        <f t="shared" si="363"/>
        <v>1-2.03765732058706i</v>
      </c>
      <c r="X437" s="4">
        <f t="shared" si="376"/>
        <v>2.2698121852131368</v>
      </c>
      <c r="Y437" s="4">
        <f t="shared" si="377"/>
        <v>-1.1145682833256125</v>
      </c>
      <c r="Z437" t="str">
        <f t="shared" si="364"/>
        <v>0.979242116438988+0.401294319670354i</v>
      </c>
      <c r="AA437" s="4">
        <f t="shared" si="378"/>
        <v>1.0582779661353632</v>
      </c>
      <c r="AB437" s="4">
        <f t="shared" si="379"/>
        <v>0.38892678805307279</v>
      </c>
      <c r="AC437" s="48" t="str">
        <f t="shared" si="380"/>
        <v>-0.241773907797784-0.0562912397296031i</v>
      </c>
      <c r="AD437" s="20">
        <f t="shared" si="381"/>
        <v>-12.102548640381723</v>
      </c>
      <c r="AE437" s="44">
        <f t="shared" si="382"/>
        <v>-166.89355069188863</v>
      </c>
      <c r="AF437" t="str">
        <f t="shared" si="383"/>
        <v>45.9520231294187</v>
      </c>
      <c r="AG437" t="str">
        <f t="shared" si="365"/>
        <v>1+68.6929540479986i</v>
      </c>
      <c r="AH437">
        <f t="shared" si="384"/>
        <v>68.700232429304393</v>
      </c>
      <c r="AI437">
        <f t="shared" si="385"/>
        <v>1.5562398212224999</v>
      </c>
      <c r="AJ437" t="str">
        <f t="shared" si="366"/>
        <v>1+0.155704029175464i</v>
      </c>
      <c r="AK437">
        <f t="shared" si="386"/>
        <v>1.0120492797791389</v>
      </c>
      <c r="AL437">
        <f t="shared" si="387"/>
        <v>0.15446373846152317</v>
      </c>
      <c r="AM437" t="str">
        <f t="shared" si="367"/>
        <v>1-0.348360963160598i</v>
      </c>
      <c r="AN437">
        <f t="shared" si="388"/>
        <v>1.058940678534062</v>
      </c>
      <c r="AO437">
        <f t="shared" si="389"/>
        <v>-0.33521390736501311</v>
      </c>
      <c r="AP437" s="42" t="str">
        <f t="shared" si="390"/>
        <v>-0.118585916099995-0.70695900113099i</v>
      </c>
      <c r="AQ437">
        <f t="shared" si="391"/>
        <v>-2.8916055528247626</v>
      </c>
      <c r="AR437" s="44">
        <f t="shared" si="392"/>
        <v>-99.522195490689754</v>
      </c>
      <c r="AS437" t="str">
        <f t="shared" si="368"/>
        <v>-0.000166666666666667</v>
      </c>
      <c r="AT437" t="str">
        <f t="shared" si="369"/>
        <v>0.0122811553012147i</v>
      </c>
      <c r="AU437">
        <f t="shared" si="393"/>
        <v>1.2281155301214699E-2</v>
      </c>
      <c r="AV437">
        <f t="shared" si="394"/>
        <v>1.5707963267948966</v>
      </c>
      <c r="AW437" t="str">
        <f t="shared" si="370"/>
        <v>1+2.23747430197864i</v>
      </c>
      <c r="AX437">
        <f t="shared" si="395"/>
        <v>2.4507736027660334</v>
      </c>
      <c r="AY437">
        <f t="shared" si="396"/>
        <v>1.1504962561402434</v>
      </c>
      <c r="AZ437" t="str">
        <f t="shared" si="371"/>
        <v>1+45.5434285338231i</v>
      </c>
      <c r="BA437">
        <f t="shared" si="397"/>
        <v>45.554405743192973</v>
      </c>
      <c r="BB437">
        <f t="shared" si="398"/>
        <v>1.5488427898208379</v>
      </c>
      <c r="BC437" s="42" t="str">
        <f t="shared" si="399"/>
        <v>-0.0978477291727827+0.232502706905479i</v>
      </c>
      <c r="BD437">
        <f t="shared" si="400"/>
        <v>-11.963265638287339</v>
      </c>
      <c r="BE437" s="44">
        <f t="shared" si="401"/>
        <v>112.82357516356402</v>
      </c>
      <c r="BF437" s="42" t="str">
        <f t="shared" si="402"/>
        <v>0.0367448934634409-0.0507051180422381i</v>
      </c>
      <c r="BG437" s="20">
        <f t="shared" si="403"/>
        <v>-24.065814278669055</v>
      </c>
      <c r="BH437" s="44">
        <f t="shared" si="404"/>
        <v>-54.069975528324605</v>
      </c>
      <c r="BI437" s="42" t="str">
        <f t="shared" si="409"/>
        <v>0.175973244036407+0.0416027863848112i</v>
      </c>
      <c r="BJ437" s="20">
        <f t="shared" si="405"/>
        <v>-14.854871191112121</v>
      </c>
      <c r="BK437" s="44">
        <f t="shared" si="410"/>
        <v>13.301379672874278</v>
      </c>
      <c r="BL437">
        <f t="shared" si="406"/>
        <v>-24.065814278669055</v>
      </c>
      <c r="BM437" s="44">
        <f t="shared" si="407"/>
        <v>-54.069975528324605</v>
      </c>
    </row>
    <row r="438" spans="14:65" x14ac:dyDescent="0.35">
      <c r="N438" s="9">
        <v>20</v>
      </c>
      <c r="O438" s="35">
        <f t="shared" si="408"/>
        <v>158489.31924611164</v>
      </c>
      <c r="P438" s="34" t="str">
        <f t="shared" si="360"/>
        <v>16.3709677419355</v>
      </c>
      <c r="Q438" s="4" t="str">
        <f t="shared" si="361"/>
        <v>1+146.481580479555i</v>
      </c>
      <c r="R438" s="4">
        <f t="shared" si="372"/>
        <v>146.48499383823707</v>
      </c>
      <c r="S438" s="4">
        <f t="shared" si="373"/>
        <v>1.5639696359433326</v>
      </c>
      <c r="T438" s="4" t="str">
        <f t="shared" si="362"/>
        <v>1+0.15933084192513i</v>
      </c>
      <c r="U438" s="4">
        <f t="shared" si="374"/>
        <v>1.0126136070528438</v>
      </c>
      <c r="V438" s="4">
        <f t="shared" si="375"/>
        <v>0.1580027389390446</v>
      </c>
      <c r="W438" t="str">
        <f t="shared" si="363"/>
        <v>1-2.08512045682632i</v>
      </c>
      <c r="X438" s="4">
        <f t="shared" si="376"/>
        <v>2.312515366322049</v>
      </c>
      <c r="Y438" s="4">
        <f t="shared" si="377"/>
        <v>-1.123610768386996</v>
      </c>
      <c r="Z438" t="str">
        <f t="shared" si="364"/>
        <v>0.978263827526147+0.410641665160745i</v>
      </c>
      <c r="AA438" s="4">
        <f t="shared" si="378"/>
        <v>1.0609555567563123</v>
      </c>
      <c r="AB438" s="4">
        <f t="shared" si="379"/>
        <v>0.39742886424228713</v>
      </c>
      <c r="AC438" s="48" t="str">
        <f t="shared" si="380"/>
        <v>-0.241010349834793-0.0525261907626224i</v>
      </c>
      <c r="AD438" s="20">
        <f t="shared" si="381"/>
        <v>-12.157751799092884</v>
      </c>
      <c r="AE438" s="44">
        <f t="shared" si="382"/>
        <v>-167.70512075523726</v>
      </c>
      <c r="AF438" t="str">
        <f t="shared" si="383"/>
        <v>45.9520231294187</v>
      </c>
      <c r="AG438" t="str">
        <f t="shared" si="365"/>
        <v>1+70.2930184963808i</v>
      </c>
      <c r="AH438">
        <f t="shared" si="384"/>
        <v>70.300131218458858</v>
      </c>
      <c r="AI438">
        <f t="shared" si="385"/>
        <v>1.5565711225237784</v>
      </c>
      <c r="AJ438" t="str">
        <f t="shared" si="366"/>
        <v>1+0.15933084192513i</v>
      </c>
      <c r="AK438">
        <f t="shared" si="386"/>
        <v>1.0126136070528438</v>
      </c>
      <c r="AL438">
        <f t="shared" si="387"/>
        <v>0.1580027389390446</v>
      </c>
      <c r="AM438" t="str">
        <f t="shared" si="367"/>
        <v>1-0.356475332386413i</v>
      </c>
      <c r="AN438">
        <f t="shared" si="388"/>
        <v>1.0616377266280639</v>
      </c>
      <c r="AO438">
        <f t="shared" si="389"/>
        <v>-0.3424318023860996</v>
      </c>
      <c r="AP438" s="42" t="str">
        <f t="shared" si="390"/>
        <v>-0.119025251038594-0.692544012722116i</v>
      </c>
      <c r="AQ438">
        <f t="shared" si="391"/>
        <v>-3.0646279310314557</v>
      </c>
      <c r="AR438" s="44">
        <f t="shared" si="392"/>
        <v>-99.751962787620215</v>
      </c>
      <c r="AS438" t="str">
        <f t="shared" si="368"/>
        <v>-0.000166666666666667</v>
      </c>
      <c r="AT438" t="str">
        <f t="shared" si="369"/>
        <v>0.0125672201568446i</v>
      </c>
      <c r="AU438">
        <f t="shared" si="393"/>
        <v>1.25672201568446E-2</v>
      </c>
      <c r="AV438">
        <f t="shared" si="394"/>
        <v>1.5707963267948966</v>
      </c>
      <c r="AW438" t="str">
        <f t="shared" si="370"/>
        <v>1+2.28959177362301i</v>
      </c>
      <c r="AX438">
        <f t="shared" si="395"/>
        <v>2.4984456147457283</v>
      </c>
      <c r="AY438">
        <f t="shared" si="396"/>
        <v>1.1590079400757742</v>
      </c>
      <c r="AZ438" t="str">
        <f t="shared" si="371"/>
        <v>1+46.6042712631005i</v>
      </c>
      <c r="BA438">
        <f t="shared" si="397"/>
        <v>46.614998658850723</v>
      </c>
      <c r="BB438">
        <f t="shared" si="398"/>
        <v>1.5493423582221106</v>
      </c>
      <c r="BC438" s="42" t="str">
        <f t="shared" si="399"/>
        <v>-0.0941493526578924+0.228825598690607i</v>
      </c>
      <c r="BD438">
        <f t="shared" si="400"/>
        <v>-12.130693958107337</v>
      </c>
      <c r="BE438" s="44">
        <f t="shared" si="401"/>
        <v>112.3645147584797</v>
      </c>
      <c r="BF438" s="42" t="str">
        <f t="shared" si="402"/>
        <v>0.0347103054689921-0.0502040307336933i</v>
      </c>
      <c r="BG438" s="20">
        <f t="shared" si="403"/>
        <v>-24.288445757200215</v>
      </c>
      <c r="BH438" s="44">
        <f t="shared" si="404"/>
        <v>-55.340605996757525</v>
      </c>
      <c r="BI438" s="42" t="str">
        <f t="shared" si="409"/>
        <v>0.16967794866596+0.0379665461566803i</v>
      </c>
      <c r="BJ438" s="20">
        <f t="shared" si="405"/>
        <v>-15.195321889138809</v>
      </c>
      <c r="BK438" s="44">
        <f t="shared" si="410"/>
        <v>12.612551970859489</v>
      </c>
      <c r="BL438">
        <f t="shared" si="406"/>
        <v>-24.288445757200215</v>
      </c>
      <c r="BM438" s="44">
        <f t="shared" si="407"/>
        <v>-55.340605996757525</v>
      </c>
    </row>
    <row r="439" spans="14:65" x14ac:dyDescent="0.35">
      <c r="N439" s="9">
        <v>21</v>
      </c>
      <c r="O439" s="35">
        <f t="shared" si="408"/>
        <v>162181.00973589328</v>
      </c>
      <c r="P439" s="34" t="str">
        <f t="shared" si="360"/>
        <v>16.3709677419355</v>
      </c>
      <c r="Q439" s="4" t="str">
        <f t="shared" si="361"/>
        <v>1+149.893574802937i</v>
      </c>
      <c r="R439" s="4">
        <f t="shared" si="372"/>
        <v>149.89691046583869</v>
      </c>
      <c r="S439" s="4">
        <f t="shared" si="373"/>
        <v>1.5641250257344517</v>
      </c>
      <c r="T439" s="4" t="str">
        <f t="shared" si="362"/>
        <v>1+0.163042133996178i</v>
      </c>
      <c r="U439" s="4">
        <f t="shared" si="374"/>
        <v>1.0132041933677671</v>
      </c>
      <c r="V439" s="4">
        <f t="shared" si="375"/>
        <v>0.16162004572752003</v>
      </c>
      <c r="W439" t="str">
        <f t="shared" si="363"/>
        <v>1-2.13368915153161i</v>
      </c>
      <c r="X439" s="4">
        <f t="shared" si="376"/>
        <v>2.3564017898829737</v>
      </c>
      <c r="Y439" s="4">
        <f t="shared" si="377"/>
        <v>-1.1325238567275169</v>
      </c>
      <c r="Z439" t="str">
        <f t="shared" si="364"/>
        <v>0.977239433277271+0.420206738297489i</v>
      </c>
      <c r="AA439" s="4">
        <f t="shared" si="378"/>
        <v>1.0637530788969292</v>
      </c>
      <c r="AB439" s="4">
        <f t="shared" si="379"/>
        <v>0.40609268837236739</v>
      </c>
      <c r="AC439" s="48" t="str">
        <f t="shared" si="380"/>
        <v>-0.240215604685194-0.0488119478392717i</v>
      </c>
      <c r="AD439" s="20">
        <f t="shared" si="381"/>
        <v>-12.212256730644608</v>
      </c>
      <c r="AE439" s="44">
        <f t="shared" si="382"/>
        <v>-168.5138504237006</v>
      </c>
      <c r="AF439" t="str">
        <f t="shared" si="383"/>
        <v>45.9520231294187</v>
      </c>
      <c r="AG439" t="str">
        <f t="shared" si="365"/>
        <v>1+71.9303532336076i</v>
      </c>
      <c r="AH439">
        <f t="shared" si="384"/>
        <v>71.937304066190606</v>
      </c>
      <c r="AI439">
        <f t="shared" si="385"/>
        <v>1.556894885504422</v>
      </c>
      <c r="AJ439" t="str">
        <f t="shared" si="366"/>
        <v>1+0.163042133996178i</v>
      </c>
      <c r="AK439">
        <f t="shared" si="386"/>
        <v>1.0132041933677671</v>
      </c>
      <c r="AL439">
        <f t="shared" si="387"/>
        <v>0.16162004572752003</v>
      </c>
      <c r="AM439" t="str">
        <f t="shared" si="367"/>
        <v>1-0.364778709551968i</v>
      </c>
      <c r="AN439">
        <f t="shared" si="388"/>
        <v>1.0644545584206022</v>
      </c>
      <c r="AO439">
        <f t="shared" si="389"/>
        <v>-0.34977956646932729</v>
      </c>
      <c r="AP439" s="42" t="str">
        <f t="shared" si="390"/>
        <v>-0.119444820469714-0.678495657678037i</v>
      </c>
      <c r="AQ439">
        <f t="shared" si="391"/>
        <v>-3.2365083319457306</v>
      </c>
      <c r="AR439" s="44">
        <f t="shared" si="392"/>
        <v>-99.984252498616769</v>
      </c>
      <c r="AS439" t="str">
        <f t="shared" si="368"/>
        <v>-0.000166666666666667</v>
      </c>
      <c r="AT439" t="str">
        <f t="shared" si="369"/>
        <v>0.0128599483189486i</v>
      </c>
      <c r="AU439">
        <f t="shared" si="393"/>
        <v>1.28599483189486E-2</v>
      </c>
      <c r="AV439">
        <f t="shared" si="394"/>
        <v>1.5707963267948966</v>
      </c>
      <c r="AW439" t="str">
        <f t="shared" si="370"/>
        <v>1+2.34292321713208i</v>
      </c>
      <c r="AX439">
        <f t="shared" si="395"/>
        <v>2.5474083303185884</v>
      </c>
      <c r="AY439">
        <f t="shared" si="396"/>
        <v>1.1673874757891967</v>
      </c>
      <c r="AZ439" t="str">
        <f t="shared" si="371"/>
        <v>1+47.6898241938819i</v>
      </c>
      <c r="BA439">
        <f t="shared" si="397"/>
        <v>47.700307458583147</v>
      </c>
      <c r="BB439">
        <f t="shared" si="398"/>
        <v>1.5498305654074973</v>
      </c>
      <c r="BC439" s="42" t="str">
        <f t="shared" si="399"/>
        <v>-0.0905649203668297+0.225146789613162i</v>
      </c>
      <c r="BD439">
        <f t="shared" si="400"/>
        <v>-12.299357199362673</v>
      </c>
      <c r="BE439" s="44">
        <f t="shared" si="401"/>
        <v>111.91237493907219</v>
      </c>
      <c r="BF439" s="42" t="str">
        <f t="shared" si="402"/>
        <v>0.0327449604599616-0.0496631220408424i</v>
      </c>
      <c r="BG439" s="20">
        <f t="shared" si="403"/>
        <v>-24.511613930007279</v>
      </c>
      <c r="BH439" s="44">
        <f t="shared" si="404"/>
        <v>-56.601475484628402</v>
      </c>
      <c r="BI439" s="42" t="str">
        <f t="shared" si="409"/>
        <v>0.163578629746751+0.0345552873421746i</v>
      </c>
      <c r="BJ439" s="20">
        <f t="shared" si="405"/>
        <v>-15.535865531308399</v>
      </c>
      <c r="BK439" s="44">
        <f t="shared" si="410"/>
        <v>11.928122440455434</v>
      </c>
      <c r="BL439">
        <f t="shared" si="406"/>
        <v>-24.511613930007279</v>
      </c>
      <c r="BM439" s="44">
        <f t="shared" si="407"/>
        <v>-56.601475484628402</v>
      </c>
    </row>
    <row r="440" spans="14:65" x14ac:dyDescent="0.35">
      <c r="N440" s="9">
        <v>22</v>
      </c>
      <c r="O440" s="35">
        <f t="shared" si="408"/>
        <v>165958.69074375604</v>
      </c>
      <c r="P440" s="34" t="str">
        <f t="shared" si="360"/>
        <v>16.3709677419355</v>
      </c>
      <c r="Q440" s="4" t="str">
        <f t="shared" si="361"/>
        <v>1+153.385044683757i</v>
      </c>
      <c r="R440" s="4">
        <f t="shared" si="372"/>
        <v>153.38830441933354</v>
      </c>
      <c r="S440" s="4">
        <f t="shared" si="373"/>
        <v>1.5642768787334038</v>
      </c>
      <c r="T440" s="4" t="str">
        <f t="shared" si="362"/>
        <v>1+0.166839873164789i</v>
      </c>
      <c r="U440" s="4">
        <f t="shared" si="374"/>
        <v>1.0138222444184399</v>
      </c>
      <c r="V440" s="4">
        <f t="shared" si="375"/>
        <v>0.16531719792112132</v>
      </c>
      <c r="W440" t="str">
        <f t="shared" si="363"/>
        <v>1-2.18338915646777i</v>
      </c>
      <c r="X440" s="4">
        <f t="shared" si="376"/>
        <v>2.4014970765297714</v>
      </c>
      <c r="Y440" s="4">
        <f t="shared" si="377"/>
        <v>-1.1413066085113432</v>
      </c>
      <c r="Z440" t="str">
        <f t="shared" si="364"/>
        <v>0.976166760814813+0.429994610608975i</v>
      </c>
      <c r="AA440" s="4">
        <f t="shared" si="378"/>
        <v>1.0666756348920923</v>
      </c>
      <c r="AB440" s="4">
        <f t="shared" si="379"/>
        <v>0.41491982338212852</v>
      </c>
      <c r="AC440" s="48" t="str">
        <f t="shared" si="380"/>
        <v>-0.239389006144622-0.0451478149705903i</v>
      </c>
      <c r="AD440" s="20">
        <f t="shared" si="381"/>
        <v>-12.266127815377729</v>
      </c>
      <c r="AE440" s="44">
        <f t="shared" si="382"/>
        <v>-169.31969193371179</v>
      </c>
      <c r="AF440" t="str">
        <f t="shared" si="383"/>
        <v>45.9520231294187</v>
      </c>
      <c r="AG440" t="str">
        <f t="shared" si="365"/>
        <v>1+73.6058263962302i</v>
      </c>
      <c r="AH440">
        <f t="shared" si="384"/>
        <v>73.612619023316768</v>
      </c>
      <c r="AI440">
        <f t="shared" si="385"/>
        <v>1.5572112815561916</v>
      </c>
      <c r="AJ440" t="str">
        <f t="shared" si="366"/>
        <v>1+0.166839873164789i</v>
      </c>
      <c r="AK440">
        <f t="shared" si="386"/>
        <v>1.0138222444184399</v>
      </c>
      <c r="AL440">
        <f t="shared" si="387"/>
        <v>0.16531719792112132</v>
      </c>
      <c r="AM440" t="str">
        <f t="shared" si="367"/>
        <v>1-0.373275497217746i</v>
      </c>
      <c r="AN440">
        <f t="shared" si="388"/>
        <v>1.0673961761329087</v>
      </c>
      <c r="AO440">
        <f t="shared" si="389"/>
        <v>-0.35725792090554842</v>
      </c>
      <c r="AP440" s="42" t="str">
        <f t="shared" si="390"/>
        <v>-0.119845513299678-0.664806524914239i</v>
      </c>
      <c r="AQ440">
        <f t="shared" si="391"/>
        <v>-3.4072034831668812</v>
      </c>
      <c r="AR440" s="44">
        <f t="shared" si="392"/>
        <v>-100.21902758702522</v>
      </c>
      <c r="AS440" t="str">
        <f t="shared" si="368"/>
        <v>-0.000166666666666667</v>
      </c>
      <c r="AT440" t="str">
        <f t="shared" si="369"/>
        <v>0.0131594949958727i</v>
      </c>
      <c r="AU440">
        <f t="shared" si="393"/>
        <v>1.3159494995872699E-2</v>
      </c>
      <c r="AV440">
        <f t="shared" si="394"/>
        <v>1.5707963267948966</v>
      </c>
      <c r="AW440" t="str">
        <f t="shared" si="370"/>
        <v>1+2.39749690954314i</v>
      </c>
      <c r="AX440">
        <f t="shared" si="395"/>
        <v>2.5976896333605577</v>
      </c>
      <c r="AY440">
        <f t="shared" si="396"/>
        <v>1.1756345981091858</v>
      </c>
      <c r="AZ440" t="str">
        <f t="shared" si="371"/>
        <v>1+48.8006629007007i</v>
      </c>
      <c r="BA440">
        <f t="shared" si="397"/>
        <v>48.810907587831494</v>
      </c>
      <c r="BB440">
        <f t="shared" si="398"/>
        <v>1.5503076692994775</v>
      </c>
      <c r="BC440" s="42" t="str">
        <f t="shared" si="399"/>
        <v>-0.0870928728564622+0.221470019854575i</v>
      </c>
      <c r="BD440">
        <f t="shared" si="400"/>
        <v>-12.469217037740641</v>
      </c>
      <c r="BE440" s="44">
        <f t="shared" si="401"/>
        <v>111.46718567640842</v>
      </c>
      <c r="BF440" s="42" t="str">
        <f t="shared" si="402"/>
        <v>0.0308479637533157-0.0490854350348357i</v>
      </c>
      <c r="BG440" s="20">
        <f t="shared" si="403"/>
        <v>-24.735344853118377</v>
      </c>
      <c r="BH440" s="44">
        <f t="shared" si="404"/>
        <v>-57.852506257303375</v>
      </c>
      <c r="BI440" s="42" t="str">
        <f t="shared" si="409"/>
        <v>0.157672404324434+0.0313577219385409i</v>
      </c>
      <c r="BJ440" s="20">
        <f t="shared" si="405"/>
        <v>-15.876420520907516</v>
      </c>
      <c r="BK440" s="44">
        <f t="shared" si="410"/>
        <v>11.248158089383201</v>
      </c>
      <c r="BL440">
        <f t="shared" si="406"/>
        <v>-24.735344853118377</v>
      </c>
      <c r="BM440" s="44">
        <f t="shared" si="407"/>
        <v>-57.852506257303375</v>
      </c>
    </row>
    <row r="441" spans="14:65" x14ac:dyDescent="0.35">
      <c r="N441" s="9">
        <v>23</v>
      </c>
      <c r="O441" s="35">
        <f t="shared" si="408"/>
        <v>169824.36524617471</v>
      </c>
      <c r="P441" s="34" t="str">
        <f t="shared" si="360"/>
        <v>16.3709677419355</v>
      </c>
      <c r="Q441" s="4" t="str">
        <f t="shared" si="361"/>
        <v>1+156.957841345559i</v>
      </c>
      <c r="R441" s="4">
        <f t="shared" si="372"/>
        <v>156.9610268820183</v>
      </c>
      <c r="S441" s="4">
        <f t="shared" si="373"/>
        <v>1.5644252754266295</v>
      </c>
      <c r="T441" s="4" t="str">
        <f t="shared" si="362"/>
        <v>1+0.170726073042538i</v>
      </c>
      <c r="U441" s="4">
        <f t="shared" si="374"/>
        <v>1.0144690197421142</v>
      </c>
      <c r="V441" s="4">
        <f t="shared" si="375"/>
        <v>0.16909575130522311</v>
      </c>
      <c r="W441" t="str">
        <f t="shared" si="363"/>
        <v>1-2.23424682323525i</v>
      </c>
      <c r="X441" s="4">
        <f t="shared" si="376"/>
        <v>2.4478273769072865</v>
      </c>
      <c r="Y441" s="4">
        <f t="shared" si="377"/>
        <v>-1.149958259665453</v>
      </c>
      <c r="Z441" t="str">
        <f t="shared" si="364"/>
        <v>0.975043534856666+0.440010471754654i</v>
      </c>
      <c r="AA441" s="4">
        <f t="shared" si="378"/>
        <v>1.0697285216911512</v>
      </c>
      <c r="AB441" s="4">
        <f t="shared" si="379"/>
        <v>0.423911751852664</v>
      </c>
      <c r="AC441" s="48" t="str">
        <f t="shared" si="380"/>
        <v>-0.238529895843547-0.0415331768330965i</v>
      </c>
      <c r="AD441" s="20">
        <f t="shared" si="381"/>
        <v>-12.319429546260618</v>
      </c>
      <c r="AE441" s="44">
        <f t="shared" si="382"/>
        <v>-170.12260192434857</v>
      </c>
      <c r="AF441" t="str">
        <f t="shared" si="383"/>
        <v>45.9520231294187</v>
      </c>
      <c r="AG441" t="str">
        <f t="shared" si="365"/>
        <v>1+75.3203263422958i</v>
      </c>
      <c r="AH441">
        <f t="shared" si="384"/>
        <v>75.326964364096995</v>
      </c>
      <c r="AI441">
        <f t="shared" si="385"/>
        <v>1.5575204781829302</v>
      </c>
      <c r="AJ441" t="str">
        <f t="shared" si="366"/>
        <v>1+0.170726073042538i</v>
      </c>
      <c r="AK441">
        <f t="shared" si="386"/>
        <v>1.0144690197421142</v>
      </c>
      <c r="AL441">
        <f t="shared" si="387"/>
        <v>0.16909575130522311</v>
      </c>
      <c r="AM441" t="str">
        <f t="shared" si="367"/>
        <v>1-0.381970200493033i</v>
      </c>
      <c r="AN441">
        <f t="shared" si="388"/>
        <v>1.0704677641408396</v>
      </c>
      <c r="AO441">
        <f t="shared" si="389"/>
        <v>-0.36486748396850216</v>
      </c>
      <c r="AP441" s="42" t="str">
        <f t="shared" si="390"/>
        <v>-0.120228178487953-0.651469391306606i</v>
      </c>
      <c r="AQ441">
        <f t="shared" si="391"/>
        <v>-3.5766689329488259</v>
      </c>
      <c r="AR441" s="44">
        <f t="shared" si="392"/>
        <v>-100.45624393464904</v>
      </c>
      <c r="AS441" t="str">
        <f t="shared" si="368"/>
        <v>-0.000166666666666667</v>
      </c>
      <c r="AT441" t="str">
        <f t="shared" si="369"/>
        <v>0.0134660190112302i</v>
      </c>
      <c r="AU441">
        <f t="shared" si="393"/>
        <v>1.34660190112302E-2</v>
      </c>
      <c r="AV441">
        <f t="shared" si="394"/>
        <v>1.5707963267948966</v>
      </c>
      <c r="AW441" t="str">
        <f t="shared" si="370"/>
        <v>1+2.45334178655026i</v>
      </c>
      <c r="AX441">
        <f t="shared" si="395"/>
        <v>2.6493180106649374</v>
      </c>
      <c r="AY441">
        <f t="shared" si="396"/>
        <v>1.1837491912920715</v>
      </c>
      <c r="AZ441" t="str">
        <f t="shared" si="371"/>
        <v>1+49.9373763649422i</v>
      </c>
      <c r="BA441">
        <f t="shared" si="397"/>
        <v>49.947387901810117</v>
      </c>
      <c r="BB441">
        <f t="shared" si="398"/>
        <v>1.5507739219955332</v>
      </c>
      <c r="BC441" s="42" t="str">
        <f t="shared" si="399"/>
        <v>-0.083731516129729+0.217798860237847i</v>
      </c>
      <c r="BD441">
        <f t="shared" si="400"/>
        <v>-12.640235694346435</v>
      </c>
      <c r="BE441" s="44">
        <f t="shared" si="401"/>
        <v>111.02896804623398</v>
      </c>
      <c r="BF441" s="42" t="str">
        <f t="shared" si="402"/>
        <v>0.0290183483975519-0.0484739035814576i</v>
      </c>
      <c r="BG441" s="20">
        <f t="shared" si="403"/>
        <v>-24.959665240607055</v>
      </c>
      <c r="BH441" s="44">
        <f t="shared" si="404"/>
        <v>-59.093633878114602</v>
      </c>
      <c r="BI441" s="42" t="str">
        <f t="shared" si="409"/>
        <v>0.151956178572735+0.0283629596030652i</v>
      </c>
      <c r="BJ441" s="20">
        <f t="shared" si="405"/>
        <v>-16.216904627295246</v>
      </c>
      <c r="BK441" s="44">
        <f t="shared" si="410"/>
        <v>10.572724111584932</v>
      </c>
      <c r="BL441">
        <f t="shared" si="406"/>
        <v>-24.959665240607055</v>
      </c>
      <c r="BM441" s="44">
        <f t="shared" si="407"/>
        <v>-59.093633878114602</v>
      </c>
    </row>
    <row r="442" spans="14:65" x14ac:dyDescent="0.35">
      <c r="N442" s="9">
        <v>24</v>
      </c>
      <c r="O442" s="35">
        <f t="shared" si="408"/>
        <v>173780.0828749378</v>
      </c>
      <c r="P442" s="34" t="str">
        <f t="shared" si="360"/>
        <v>16.3709677419355</v>
      </c>
      <c r="Q442" s="4" t="str">
        <f t="shared" si="361"/>
        <v>1+160.613859132425i</v>
      </c>
      <c r="R442" s="4">
        <f t="shared" si="372"/>
        <v>160.61697215864351</v>
      </c>
      <c r="S442" s="4">
        <f t="shared" si="373"/>
        <v>1.5645702944698616</v>
      </c>
      <c r="T442" s="4" t="str">
        <f t="shared" si="362"/>
        <v>1+0.174702794144042i</v>
      </c>
      <c r="U442" s="4">
        <f t="shared" si="374"/>
        <v>1.0151458349822136</v>
      </c>
      <c r="V442" s="4">
        <f t="shared" si="375"/>
        <v>0.17295727751640594</v>
      </c>
      <c r="W442" t="str">
        <f t="shared" si="363"/>
        <v>1-2.28628911724218i</v>
      </c>
      <c r="X442" s="4">
        <f t="shared" si="376"/>
        <v>2.4954193891248071</v>
      </c>
      <c r="Y442" s="4">
        <f t="shared" si="377"/>
        <v>-1.1584782156907723</v>
      </c>
      <c r="Z442" t="str">
        <f t="shared" si="364"/>
        <v>0.973867372889977+0.450259632276688i</v>
      </c>
      <c r="AA442" s="4">
        <f t="shared" si="378"/>
        <v>1.0729172365273865</v>
      </c>
      <c r="AB442" s="4">
        <f t="shared" si="379"/>
        <v>0.43306986975853701</v>
      </c>
      <c r="AC442" s="48" t="str">
        <f t="shared" si="380"/>
        <v>-0.237637626412136-0.0379674990745928i</v>
      </c>
      <c r="AD442" s="20">
        <f t="shared" si="381"/>
        <v>-12.372226438443638</v>
      </c>
      <c r="AE442" s="44">
        <f t="shared" si="382"/>
        <v>-170.92254077527247</v>
      </c>
      <c r="AF442" t="str">
        <f t="shared" si="383"/>
        <v>45.9520231294187</v>
      </c>
      <c r="AG442" t="str">
        <f t="shared" si="365"/>
        <v>1+77.0747621223711i</v>
      </c>
      <c r="AH442">
        <f t="shared" si="384"/>
        <v>77.081249057212943</v>
      </c>
      <c r="AI442">
        <f t="shared" si="385"/>
        <v>1.557822639088166</v>
      </c>
      <c r="AJ442" t="str">
        <f t="shared" si="366"/>
        <v>1+0.174702794144042i</v>
      </c>
      <c r="AK442">
        <f t="shared" si="386"/>
        <v>1.0151458349822136</v>
      </c>
      <c r="AL442">
        <f t="shared" si="387"/>
        <v>0.17295727751640594</v>
      </c>
      <c r="AM442" t="str">
        <f t="shared" si="367"/>
        <v>1-0.390867429424597i</v>
      </c>
      <c r="AN442">
        <f t="shared" si="388"/>
        <v>1.0736746934639898</v>
      </c>
      <c r="AO442">
        <f t="shared" si="389"/>
        <v>-0.37260876426392509</v>
      </c>
      <c r="AP442" s="42" t="str">
        <f t="shared" si="390"/>
        <v>-0.120593626839726-0.638477218028551i</v>
      </c>
      <c r="AQ442">
        <f t="shared" si="391"/>
        <v>-3.7448590540823949</v>
      </c>
      <c r="AR442" s="44">
        <f t="shared" si="392"/>
        <v>-100.6958500138285</v>
      </c>
      <c r="AS442" t="str">
        <f t="shared" si="368"/>
        <v>-0.000166666666666667</v>
      </c>
      <c r="AT442" t="str">
        <f t="shared" si="369"/>
        <v>0.0137796828881113i</v>
      </c>
      <c r="AU442">
        <f t="shared" si="393"/>
        <v>1.3779682888111299E-2</v>
      </c>
      <c r="AV442">
        <f t="shared" si="394"/>
        <v>1.5707963267948966</v>
      </c>
      <c r="AW442" t="str">
        <f t="shared" si="370"/>
        <v>1+2.51048745784643i</v>
      </c>
      <c r="AX442">
        <f t="shared" si="395"/>
        <v>2.7023225706795686</v>
      </c>
      <c r="AY442">
        <f t="shared" si="396"/>
        <v>1.1917312822065118</v>
      </c>
      <c r="AZ442" t="str">
        <f t="shared" si="371"/>
        <v>1+51.1005672871321i</v>
      </c>
      <c r="BA442">
        <f t="shared" si="397"/>
        <v>51.110350977729702</v>
      </c>
      <c r="BB442">
        <f t="shared" si="398"/>
        <v>1.5512295698976759</v>
      </c>
      <c r="BC442" s="42" t="str">
        <f t="shared" si="399"/>
        <v>-0.080479035266386+0.214136710409632i</v>
      </c>
      <c r="BD442">
        <f t="shared" si="400"/>
        <v>-12.812375979545758</v>
      </c>
      <c r="BE442" s="44">
        <f t="shared" si="401"/>
        <v>110.59773462688362</v>
      </c>
      <c r="BF442" s="42" t="str">
        <f t="shared" si="402"/>
        <v>0.0272550822709566-0.0478313518924473i</v>
      </c>
      <c r="BG442" s="20">
        <f t="shared" si="403"/>
        <v>-25.184602417989392</v>
      </c>
      <c r="BH442" s="44">
        <f t="shared" si="404"/>
        <v>-60.324806148388866</v>
      </c>
      <c r="BI442" s="42" t="str">
        <f t="shared" si="409"/>
        <v>0.146426669887463+0.0255605079986781i</v>
      </c>
      <c r="BJ442" s="20">
        <f t="shared" si="405"/>
        <v>-16.55723503362815</v>
      </c>
      <c r="BK442" s="44">
        <f t="shared" si="410"/>
        <v>9.9018846130551079</v>
      </c>
      <c r="BL442">
        <f t="shared" si="406"/>
        <v>-25.184602417989392</v>
      </c>
      <c r="BM442" s="44">
        <f t="shared" si="407"/>
        <v>-60.324806148388866</v>
      </c>
    </row>
    <row r="443" spans="14:65" x14ac:dyDescent="0.35">
      <c r="N443" s="9">
        <v>25</v>
      </c>
      <c r="O443" s="35">
        <f t="shared" si="408"/>
        <v>177827.94100389251</v>
      </c>
      <c r="P443" s="34" t="str">
        <f t="shared" si="360"/>
        <v>16.3709677419355</v>
      </c>
      <c r="Q443" s="4" t="str">
        <f t="shared" si="361"/>
        <v>1+164.35503651338i</v>
      </c>
      <c r="R443" s="4">
        <f t="shared" si="372"/>
        <v>164.35807867979742</v>
      </c>
      <c r="S443" s="4">
        <f t="shared" si="373"/>
        <v>1.5647120127297036</v>
      </c>
      <c r="T443" s="4" t="str">
        <f t="shared" si="362"/>
        <v>1+0.178772144979466i</v>
      </c>
      <c r="U443" s="4">
        <f t="shared" si="374"/>
        <v>1.0158540642339131</v>
      </c>
      <c r="V443" s="4">
        <f t="shared" si="375"/>
        <v>0.17690336311108878</v>
      </c>
      <c r="W443" t="str">
        <f t="shared" si="363"/>
        <v>1-2.33954363200168i</v>
      </c>
      <c r="X443" s="4">
        <f t="shared" si="376"/>
        <v>2.5443003765356815</v>
      </c>
      <c r="Y443" s="4">
        <f t="shared" si="377"/>
        <v>-1.1668660452499384</v>
      </c>
      <c r="Z443" t="str">
        <f t="shared" si="364"/>
        <v>0.972635780117526+0.460747526415645i</v>
      </c>
      <c r="AA443" s="4">
        <f t="shared" si="378"/>
        <v>1.0762474826279333</v>
      </c>
      <c r="AB443" s="4">
        <f t="shared" si="379"/>
        <v>0.4423954801001006</v>
      </c>
      <c r="AC443" s="48" t="str">
        <f t="shared" si="380"/>
        <v>-0.236711564819679-0.0344503284763109i</v>
      </c>
      <c r="AD443" s="20">
        <f t="shared" si="381"/>
        <v>-12.424582940080509</v>
      </c>
      <c r="AE443" s="44">
        <f t="shared" si="382"/>
        <v>-171.71947193023914</v>
      </c>
      <c r="AF443" t="str">
        <f t="shared" si="383"/>
        <v>45.9520231294187</v>
      </c>
      <c r="AG443" t="str">
        <f t="shared" si="365"/>
        <v>1+78.8700639615288i</v>
      </c>
      <c r="AH443">
        <f t="shared" si="384"/>
        <v>78.876403247711821</v>
      </c>
      <c r="AI443">
        <f t="shared" si="385"/>
        <v>1.558117924260783</v>
      </c>
      <c r="AJ443" t="str">
        <f t="shared" si="366"/>
        <v>1+0.178772144979466i</v>
      </c>
      <c r="AK443">
        <f t="shared" si="386"/>
        <v>1.0158540642339131</v>
      </c>
      <c r="AL443">
        <f t="shared" si="387"/>
        <v>0.17690336311108878</v>
      </c>
      <c r="AM443" t="str">
        <f t="shared" si="367"/>
        <v>1-0.399971901440983i</v>
      </c>
      <c r="AN443">
        <f t="shared" si="388"/>
        <v>1.0770225262000397</v>
      </c>
      <c r="AO443">
        <f t="shared" si="389"/>
        <v>-0.38048215398196356</v>
      </c>
      <c r="AP443" s="42" t="str">
        <f t="shared" si="390"/>
        <v>-0.120942632718282-0.625823146974811i</v>
      </c>
      <c r="AQ443">
        <f t="shared" si="391"/>
        <v>-3.9117270511881728</v>
      </c>
      <c r="AR443" s="44">
        <f t="shared" si="392"/>
        <v>-100.93778655910484</v>
      </c>
      <c r="AS443" t="str">
        <f t="shared" si="368"/>
        <v>-0.000166666666666667</v>
      </c>
      <c r="AT443" t="str">
        <f t="shared" si="369"/>
        <v>0.0141006529352553i</v>
      </c>
      <c r="AU443">
        <f t="shared" si="393"/>
        <v>1.41006529352553E-2</v>
      </c>
      <c r="AV443">
        <f t="shared" si="394"/>
        <v>1.5707963267948966</v>
      </c>
      <c r="AW443" t="str">
        <f t="shared" si="370"/>
        <v>1+2.56896422282299i</v>
      </c>
      <c r="AX443">
        <f t="shared" si="395"/>
        <v>2.7567330625478652</v>
      </c>
      <c r="AY443">
        <f t="shared" si="396"/>
        <v>1.1995810334690524</v>
      </c>
      <c r="AZ443" t="str">
        <f t="shared" si="371"/>
        <v>1+52.2908524064936i</v>
      </c>
      <c r="BA443">
        <f t="shared" si="397"/>
        <v>52.300413434290334</v>
      </c>
      <c r="BB443">
        <f t="shared" si="398"/>
        <v>1.5516748538392253</v>
      </c>
      <c r="BC443" s="42" t="str">
        <f t="shared" si="399"/>
        <v>-0.077333507639104+0.210486797975317i</v>
      </c>
      <c r="BD443">
        <f t="shared" si="400"/>
        <v>-12.985601332222284</v>
      </c>
      <c r="BE443" s="44">
        <f t="shared" si="401"/>
        <v>110.17348989984833</v>
      </c>
      <c r="BF443" s="42" t="str">
        <f t="shared" si="402"/>
        <v>0.0255570749364235-0.0471604945822285i</v>
      </c>
      <c r="BG443" s="20">
        <f t="shared" si="403"/>
        <v>-25.410184272302789</v>
      </c>
      <c r="BH443" s="44">
        <f t="shared" si="404"/>
        <v>-61.545982030390789</v>
      </c>
      <c r="BI443" s="42" t="str">
        <f t="shared" si="409"/>
        <v>0.141080428316777+0.0229402716177287i</v>
      </c>
      <c r="BJ443" s="20">
        <f t="shared" si="405"/>
        <v>-16.897328383410443</v>
      </c>
      <c r="BK443" s="44">
        <f t="shared" si="410"/>
        <v>9.235703340743509</v>
      </c>
      <c r="BL443">
        <f t="shared" si="406"/>
        <v>-25.410184272302789</v>
      </c>
      <c r="BM443" s="44">
        <f t="shared" si="407"/>
        <v>-61.545982030390789</v>
      </c>
    </row>
    <row r="444" spans="14:65" x14ac:dyDescent="0.35">
      <c r="N444" s="9">
        <v>26</v>
      </c>
      <c r="O444" s="35">
        <f t="shared" si="408"/>
        <v>181970.08586099857</v>
      </c>
      <c r="P444" s="34" t="str">
        <f t="shared" si="360"/>
        <v>16.3709677419355</v>
      </c>
      <c r="Q444" s="4" t="str">
        <f t="shared" si="361"/>
        <v>1+168.183357110188i</v>
      </c>
      <c r="R444" s="4">
        <f t="shared" si="372"/>
        <v>168.18633002968173</v>
      </c>
      <c r="S444" s="4">
        <f t="shared" si="373"/>
        <v>1.5648505053242694</v>
      </c>
      <c r="T444" s="4" t="str">
        <f t="shared" si="362"/>
        <v>1+0.182936283172485i</v>
      </c>
      <c r="U444" s="4">
        <f t="shared" si="374"/>
        <v>1.0165951424736219</v>
      </c>
      <c r="V444" s="4">
        <f t="shared" si="375"/>
        <v>0.18093560853731544</v>
      </c>
      <c r="W444" t="str">
        <f t="shared" si="363"/>
        <v>1-2.39403860376236i</v>
      </c>
      <c r="X444" s="4">
        <f t="shared" si="376"/>
        <v>2.5944981858356413</v>
      </c>
      <c r="Y444" s="4">
        <f t="shared" si="377"/>
        <v>-1.1751214735786701</v>
      </c>
      <c r="Z444" t="str">
        <f t="shared" si="364"/>
        <v>0.97134614416592+0.471479714991818i</v>
      </c>
      <c r="AA444" s="4">
        <f t="shared" si="378"/>
        <v>1.0797251749564638</v>
      </c>
      <c r="AB444" s="4">
        <f t="shared" si="379"/>
        <v>0.45188978643850231</v>
      </c>
      <c r="AC444" s="48" t="str">
        <f t="shared" si="380"/>
        <v>-0.235751095884762-0.0309812929498876i</v>
      </c>
      <c r="AD444" s="20">
        <f t="shared" si="381"/>
        <v>-12.47656334418528</v>
      </c>
      <c r="AE444" s="44">
        <f t="shared" si="382"/>
        <v>-172.51336121042161</v>
      </c>
      <c r="AF444" t="str">
        <f t="shared" si="383"/>
        <v>45.9520231294187</v>
      </c>
      <c r="AG444" t="str">
        <f t="shared" si="365"/>
        <v>1+80.7071837525666i</v>
      </c>
      <c r="AH444">
        <f t="shared" si="384"/>
        <v>80.713378750183367</v>
      </c>
      <c r="AI444">
        <f t="shared" si="385"/>
        <v>1.5584064900587946</v>
      </c>
      <c r="AJ444" t="str">
        <f t="shared" si="366"/>
        <v>1+0.182936283172485i</v>
      </c>
      <c r="AK444">
        <f t="shared" si="386"/>
        <v>1.0165951424736219</v>
      </c>
      <c r="AL444">
        <f t="shared" si="387"/>
        <v>0.18093560853731544</v>
      </c>
      <c r="AM444" t="str">
        <f t="shared" si="367"/>
        <v>1-0.409288443853764i</v>
      </c>
      <c r="AN444">
        <f t="shared" si="388"/>
        <v>1.0805170198901246</v>
      </c>
      <c r="AO444">
        <f t="shared" si="389"/>
        <v>-0.38848792207764482</v>
      </c>
      <c r="AP444" s="42" t="str">
        <f t="shared" si="390"/>
        <v>-0.121275935680733-0.613500497270628i</v>
      </c>
      <c r="AQ444">
        <f t="shared" si="391"/>
        <v>-4.0772249716345073</v>
      </c>
      <c r="AR444" s="44">
        <f t="shared" si="392"/>
        <v>-101.18198624020199</v>
      </c>
      <c r="AS444" t="str">
        <f t="shared" si="368"/>
        <v>-0.000166666666666667</v>
      </c>
      <c r="AT444" t="str">
        <f t="shared" si="369"/>
        <v>0.0144290993352298i</v>
      </c>
      <c r="AU444">
        <f t="shared" si="393"/>
        <v>1.44290993352298E-2</v>
      </c>
      <c r="AV444">
        <f t="shared" si="394"/>
        <v>1.5707963267948966</v>
      </c>
      <c r="AW444" t="str">
        <f t="shared" si="370"/>
        <v>1+2.62880308663472i</v>
      </c>
      <c r="AX444">
        <f t="shared" si="395"/>
        <v>2.8125798954519015</v>
      </c>
      <c r="AY444">
        <f t="shared" si="396"/>
        <v>1.2072987365663892</v>
      </c>
      <c r="AZ444" t="str">
        <f t="shared" si="371"/>
        <v>1+53.5088628279517i</v>
      </c>
      <c r="BA444">
        <f t="shared" si="397"/>
        <v>53.518206258623344</v>
      </c>
      <c r="BB444">
        <f t="shared" si="398"/>
        <v>1.5521100092088966</v>
      </c>
      <c r="BC444" s="42" t="str">
        <f t="shared" si="399"/>
        <v>-0.0742929156632168+0.206852178512602i</v>
      </c>
      <c r="BD444">
        <f t="shared" si="400"/>
        <v>-13.159875854598123</v>
      </c>
      <c r="BE444" s="44">
        <f t="shared" si="401"/>
        <v>109.75623065095041</v>
      </c>
      <c r="BF444" s="42" t="str">
        <f t="shared" si="402"/>
        <v>0.0239231842238989-0.0464639371862329i</v>
      </c>
      <c r="BG444" s="20">
        <f t="shared" si="403"/>
        <v>-25.636439198783414</v>
      </c>
      <c r="BH444" s="44">
        <f t="shared" si="404"/>
        <v>-62.757130559471236</v>
      </c>
      <c r="BI444" s="42" t="str">
        <f t="shared" si="409"/>
        <v>0.1359138572405+0.0204925492063545i</v>
      </c>
      <c r="BJ444" s="20">
        <f t="shared" si="405"/>
        <v>-17.237100826232659</v>
      </c>
      <c r="BK444" s="44">
        <f t="shared" si="410"/>
        <v>8.5742444107484186</v>
      </c>
      <c r="BL444">
        <f t="shared" si="406"/>
        <v>-25.636439198783414</v>
      </c>
      <c r="BM444" s="44">
        <f t="shared" si="407"/>
        <v>-62.757130559471236</v>
      </c>
    </row>
    <row r="445" spans="14:65" x14ac:dyDescent="0.35">
      <c r="N445" s="9">
        <v>27</v>
      </c>
      <c r="O445" s="35">
        <f t="shared" si="408"/>
        <v>186208.71366628664</v>
      </c>
      <c r="P445" s="34" t="str">
        <f t="shared" si="360"/>
        <v>16.3709677419355</v>
      </c>
      <c r="Q445" s="4" t="str">
        <f t="shared" si="361"/>
        <v>1+172.100850749106i</v>
      </c>
      <c r="R445" s="4">
        <f t="shared" si="372"/>
        <v>172.10375599784587</v>
      </c>
      <c r="S445" s="4">
        <f t="shared" si="373"/>
        <v>1.5649858456629033</v>
      </c>
      <c r="T445" s="4" t="str">
        <f t="shared" si="362"/>
        <v>1+0.187197416604291i</v>
      </c>
      <c r="U445" s="4">
        <f t="shared" si="374"/>
        <v>1.0173705680740526</v>
      </c>
      <c r="V445" s="4">
        <f t="shared" si="375"/>
        <v>0.18505562700401523</v>
      </c>
      <c r="W445" t="str">
        <f t="shared" si="363"/>
        <v>1-2.44980292647963i</v>
      </c>
      <c r="X445" s="4">
        <f t="shared" si="376"/>
        <v>2.6460412654734164</v>
      </c>
      <c r="Y445" s="4">
        <f t="shared" si="377"/>
        <v>-1.1832443757651079</v>
      </c>
      <c r="Z445" t="str">
        <f t="shared" si="364"/>
        <v>0.9699957295444+0.482461888353654i</v>
      </c>
      <c r="AA445" s="4">
        <f t="shared" si="378"/>
        <v>1.0833564459807983</v>
      </c>
      <c r="AB445" s="4">
        <f t="shared" si="379"/>
        <v>0.46155388635752748</v>
      </c>
      <c r="AC445" s="48" t="str">
        <f t="shared" si="380"/>
        <v>-0.234755625950174-0.0275601013469987i</v>
      </c>
      <c r="AD445" s="20">
        <f t="shared" si="381"/>
        <v>-12.528231701276285</v>
      </c>
      <c r="AE445" s="44">
        <f t="shared" si="382"/>
        <v>-173.30417612179858</v>
      </c>
      <c r="AF445" t="str">
        <f t="shared" si="383"/>
        <v>45.9520231294187</v>
      </c>
      <c r="AG445" t="str">
        <f t="shared" si="365"/>
        <v>1+82.5870955607165i</v>
      </c>
      <c r="AH445">
        <f t="shared" si="384"/>
        <v>82.593149553427978</v>
      </c>
      <c r="AI445">
        <f t="shared" si="385"/>
        <v>1.5586884892912649</v>
      </c>
      <c r="AJ445" t="str">
        <f t="shared" si="366"/>
        <v>1+0.187197416604291i</v>
      </c>
      <c r="AK445">
        <f t="shared" si="386"/>
        <v>1.0173705680740526</v>
      </c>
      <c r="AL445">
        <f t="shared" si="387"/>
        <v>0.18505562700401523</v>
      </c>
      <c r="AM445" t="str">
        <f t="shared" si="367"/>
        <v>1-0.418821996417051i</v>
      </c>
      <c r="AN445">
        <f t="shared" si="388"/>
        <v>1.0841641318005149</v>
      </c>
      <c r="AO445">
        <f t="shared" si="389"/>
        <v>-0.39662620740695159</v>
      </c>
      <c r="AP445" s="42" t="str">
        <f t="shared" si="390"/>
        <v>-0.121594242040511-0.601502761865199i</v>
      </c>
      <c r="AQ445">
        <f t="shared" si="391"/>
        <v>-4.2413037202882737</v>
      </c>
      <c r="AR445" s="44">
        <f t="shared" si="392"/>
        <v>-101.42837333823311</v>
      </c>
      <c r="AS445" t="str">
        <f t="shared" si="368"/>
        <v>-0.000166666666666667</v>
      </c>
      <c r="AT445" t="str">
        <f t="shared" si="369"/>
        <v>0.0147651962346635i</v>
      </c>
      <c r="AU445">
        <f t="shared" si="393"/>
        <v>1.47651962346635E-2</v>
      </c>
      <c r="AV445">
        <f t="shared" si="394"/>
        <v>1.5707963267948966</v>
      </c>
      <c r="AW445" t="str">
        <f t="shared" si="370"/>
        <v>1+2.69003577663932i</v>
      </c>
      <c r="AX445">
        <f t="shared" si="395"/>
        <v>2.8698941582573227</v>
      </c>
      <c r="AY445">
        <f t="shared" si="396"/>
        <v>1.2148848049972405</v>
      </c>
      <c r="AZ445" t="str">
        <f t="shared" si="371"/>
        <v>1+54.7552443567551i</v>
      </c>
      <c r="BA445">
        <f t="shared" si="397"/>
        <v>54.764375140851925</v>
      </c>
      <c r="BB445">
        <f t="shared" si="398"/>
        <v>1.5525352660722405</v>
      </c>
      <c r="BC445" s="42" t="str">
        <f t="shared" si="399"/>
        <v>-0.0713551590373551+0.203235736388575i</v>
      </c>
      <c r="BD445">
        <f t="shared" si="400"/>
        <v>-13.335164342785701</v>
      </c>
      <c r="BE445" s="44">
        <f t="shared" si="401"/>
        <v>109.34594637024385</v>
      </c>
      <c r="BF445" s="42" t="str">
        <f t="shared" si="402"/>
        <v>0.0223522225167896-0.0457441770966438i</v>
      </c>
      <c r="BG445" s="20">
        <f t="shared" si="403"/>
        <v>-25.863396044061979</v>
      </c>
      <c r="BH445" s="44">
        <f t="shared" si="404"/>
        <v>-63.958229751554711</v>
      </c>
      <c r="BI445" s="42" t="str">
        <f t="shared" si="409"/>
        <v>0.130923233226263+0.0182080299125857i</v>
      </c>
      <c r="BJ445" s="20">
        <f t="shared" si="405"/>
        <v>-17.576468063073957</v>
      </c>
      <c r="BK445" s="44">
        <f t="shared" si="410"/>
        <v>7.9175730320106954</v>
      </c>
      <c r="BL445">
        <f t="shared" si="406"/>
        <v>-25.863396044061979</v>
      </c>
      <c r="BM445" s="44">
        <f t="shared" si="407"/>
        <v>-63.958229751554711</v>
      </c>
    </row>
    <row r="446" spans="14:65" x14ac:dyDescent="0.35">
      <c r="N446" s="9">
        <v>28</v>
      </c>
      <c r="O446" s="35">
        <f t="shared" si="408"/>
        <v>190546.07179632492</v>
      </c>
      <c r="P446" s="34" t="str">
        <f t="shared" si="360"/>
        <v>16.3709677419355</v>
      </c>
      <c r="Q446" s="4" t="str">
        <f t="shared" si="361"/>
        <v>1+176.109594537118i</v>
      </c>
      <c r="R446" s="4">
        <f t="shared" si="372"/>
        <v>176.11243365540122</v>
      </c>
      <c r="S446" s="4">
        <f t="shared" si="373"/>
        <v>1.5651181054850005</v>
      </c>
      <c r="T446" s="4" t="str">
        <f t="shared" si="362"/>
        <v>1+0.191557804584234i</v>
      </c>
      <c r="U446" s="4">
        <f t="shared" si="374"/>
        <v>1.0181819054064609</v>
      </c>
      <c r="V446" s="4">
        <f t="shared" si="375"/>
        <v>0.18926504324186894</v>
      </c>
      <c r="W446" t="str">
        <f t="shared" si="363"/>
        <v>1-2.5068661671355i</v>
      </c>
      <c r="X446" s="4">
        <f t="shared" si="376"/>
        <v>2.6989586843685904</v>
      </c>
      <c r="Y446" s="4">
        <f t="shared" si="377"/>
        <v>-1.1912347699387951</v>
      </c>
      <c r="Z446" t="str">
        <f t="shared" si="364"/>
        <v>0.9685816718425+0.493699869394838i</v>
      </c>
      <c r="AA446" s="4">
        <f t="shared" si="378"/>
        <v>1.0871476514575618</v>
      </c>
      <c r="AB446" s="4">
        <f t="shared" si="379"/>
        <v>0.47138876487927484</v>
      </c>
      <c r="AC446" s="48" t="str">
        <f t="shared" si="380"/>
        <v>-0.23372458671433-0.024186543058961i</v>
      </c>
      <c r="AD446" s="20">
        <f t="shared" si="381"/>
        <v>-12.579651732540903</v>
      </c>
      <c r="AE446" s="44">
        <f t="shared" si="382"/>
        <v>-174.09188516087937</v>
      </c>
      <c r="AF446" t="str">
        <f t="shared" si="383"/>
        <v>45.9520231294187</v>
      </c>
      <c r="AG446" t="str">
        <f t="shared" si="365"/>
        <v>1+84.5107961401029i</v>
      </c>
      <c r="AH446">
        <f t="shared" si="384"/>
        <v>84.516712336874733</v>
      </c>
      <c r="AI446">
        <f t="shared" si="385"/>
        <v>1.5589640712984116</v>
      </c>
      <c r="AJ446" t="str">
        <f t="shared" si="366"/>
        <v>1+0.191557804584234i</v>
      </c>
      <c r="AK446">
        <f t="shared" si="386"/>
        <v>1.0181819054064609</v>
      </c>
      <c r="AL446">
        <f t="shared" si="387"/>
        <v>0.18926504324186894</v>
      </c>
      <c r="AM446" t="str">
        <f t="shared" si="367"/>
        <v>1-0.428577613946607i</v>
      </c>
      <c r="AN446">
        <f t="shared" si="388"/>
        <v>1.087970023105493</v>
      </c>
      <c r="AO446">
        <f t="shared" si="389"/>
        <v>-0.40489701184896232</v>
      </c>
      <c r="AP446" s="42" t="str">
        <f t="shared" si="390"/>
        <v>-0.121898226359903-0.589823604208293i</v>
      </c>
      <c r="AQ446">
        <f t="shared" si="391"/>
        <v>-4.4039130782982392</v>
      </c>
      <c r="AR446" s="44">
        <f t="shared" si="392"/>
        <v>-101.67686342721487</v>
      </c>
      <c r="AS446" t="str">
        <f t="shared" si="368"/>
        <v>-0.000166666666666667</v>
      </c>
      <c r="AT446" t="str">
        <f t="shared" si="369"/>
        <v>0.0151091218365814i</v>
      </c>
      <c r="AU446">
        <f t="shared" si="393"/>
        <v>1.5109121836581399E-2</v>
      </c>
      <c r="AV446">
        <f t="shared" si="394"/>
        <v>1.5707963267948966</v>
      </c>
      <c r="AW446" t="str">
        <f t="shared" si="370"/>
        <v>1+2.75269475921956i</v>
      </c>
      <c r="AX446">
        <f t="shared" si="395"/>
        <v>2.9287076394605918</v>
      </c>
      <c r="AY446">
        <f t="shared" si="396"/>
        <v>1.2223397674637178</v>
      </c>
      <c r="AZ446" t="str">
        <f t="shared" si="371"/>
        <v>1+56.0306578408882i</v>
      </c>
      <c r="BA446">
        <f t="shared" si="397"/>
        <v>56.039580816443355</v>
      </c>
      <c r="BB446">
        <f t="shared" si="398"/>
        <v>1.5529508492904827</v>
      </c>
      <c r="BC446" s="42" t="str">
        <f t="shared" si="399"/>
        <v>-0.0685180664407155+0.199640186305784i</v>
      </c>
      <c r="BD446">
        <f t="shared" si="400"/>
        <v>-13.511432313250529</v>
      </c>
      <c r="BE446" s="44">
        <f t="shared" si="401"/>
        <v>108.94261964892796</v>
      </c>
      <c r="BF446" s="42" t="str">
        <f t="shared" si="402"/>
        <v>0.0208429627237051-0.0450036048716061i</v>
      </c>
      <c r="BG446" s="20">
        <f t="shared" si="403"/>
        <v>-26.09108404579143</v>
      </c>
      <c r="BH446" s="44">
        <f t="shared" si="404"/>
        <v>-65.149265511951384</v>
      </c>
      <c r="BI446" s="42" t="str">
        <f t="shared" si="409"/>
        <v>0.126104725004426+0.0160777882806104i</v>
      </c>
      <c r="BJ446" s="20">
        <f t="shared" si="405"/>
        <v>-17.915345391548762</v>
      </c>
      <c r="BK446" s="44">
        <f t="shared" si="410"/>
        <v>7.2657562217130822</v>
      </c>
      <c r="BL446">
        <f t="shared" si="406"/>
        <v>-26.09108404579143</v>
      </c>
      <c r="BM446" s="44">
        <f t="shared" si="407"/>
        <v>-65.149265511951384</v>
      </c>
    </row>
    <row r="447" spans="14:65" x14ac:dyDescent="0.35">
      <c r="N447" s="9">
        <v>29</v>
      </c>
      <c r="O447" s="35">
        <f t="shared" si="408"/>
        <v>194984.45997580473</v>
      </c>
      <c r="P447" s="34" t="str">
        <f t="shared" si="360"/>
        <v>16.3709677419355</v>
      </c>
      <c r="Q447" s="4" t="str">
        <f t="shared" si="361"/>
        <v>1+180.211713963237i</v>
      </c>
      <c r="R447" s="4">
        <f t="shared" si="372"/>
        <v>180.21448845630459</v>
      </c>
      <c r="S447" s="4">
        <f t="shared" si="373"/>
        <v>1.5652473548979502</v>
      </c>
      <c r="T447" s="4" t="str">
        <f t="shared" si="362"/>
        <v>1+0.196019759047731i</v>
      </c>
      <c r="U447" s="4">
        <f t="shared" si="374"/>
        <v>1.0190307875315301</v>
      </c>
      <c r="V447" s="4">
        <f t="shared" si="375"/>
        <v>0.19356549214977972</v>
      </c>
      <c r="W447" t="str">
        <f t="shared" si="363"/>
        <v>1-2.56525858141546i</v>
      </c>
      <c r="X447" s="4">
        <f t="shared" si="376"/>
        <v>2.7532801509337288</v>
      </c>
      <c r="Y447" s="4">
        <f t="shared" si="377"/>
        <v>-1.1990928104082468</v>
      </c>
      <c r="Z447" t="str">
        <f t="shared" si="364"/>
        <v>0.967100971654251+0.505199616641658i</v>
      </c>
      <c r="AA447" s="4">
        <f t="shared" si="378"/>
        <v>1.0911053762260887</v>
      </c>
      <c r="AB447" s="4">
        <f t="shared" si="379"/>
        <v>0.48139528786354918</v>
      </c>
      <c r="AC447" s="48" t="str">
        <f t="shared" si="380"/>
        <v>-0.232657439208494-0.020860487383264i</v>
      </c>
      <c r="AD447" s="20">
        <f t="shared" si="381"/>
        <v>-12.630886743248253</v>
      </c>
      <c r="AE447" s="44">
        <f t="shared" si="382"/>
        <v>-174.876457123053</v>
      </c>
      <c r="AF447" t="str">
        <f t="shared" si="383"/>
        <v>45.9520231294187</v>
      </c>
      <c r="AG447" t="str">
        <f t="shared" si="365"/>
        <v>1+86.4793054622342i</v>
      </c>
      <c r="AH447">
        <f t="shared" si="384"/>
        <v>86.485086999033584</v>
      </c>
      <c r="AI447">
        <f t="shared" si="385"/>
        <v>1.5592333820299333</v>
      </c>
      <c r="AJ447" t="str">
        <f t="shared" si="366"/>
        <v>1+0.196019759047731i</v>
      </c>
      <c r="AK447">
        <f t="shared" si="386"/>
        <v>1.0190307875315301</v>
      </c>
      <c r="AL447">
        <f t="shared" si="387"/>
        <v>0.19356549214977972</v>
      </c>
      <c r="AM447" t="str">
        <f t="shared" si="367"/>
        <v>1-0.438560468999966i</v>
      </c>
      <c r="AN447">
        <f t="shared" si="388"/>
        <v>1.0919410629559958</v>
      </c>
      <c r="AO447">
        <f t="shared" si="389"/>
        <v>-0.4133001934474691</v>
      </c>
      <c r="AP447" s="42" t="str">
        <f t="shared" si="390"/>
        <v>-0.122188532875723-0.578456855008792i</v>
      </c>
      <c r="AQ447">
        <f t="shared" si="391"/>
        <v>-4.5650017261030786</v>
      </c>
      <c r="AR447" s="44">
        <f t="shared" si="392"/>
        <v>-101.92736306315005</v>
      </c>
      <c r="AS447" t="str">
        <f t="shared" si="368"/>
        <v>-0.000166666666666667</v>
      </c>
      <c r="AT447" t="str">
        <f t="shared" si="369"/>
        <v>0.0154610584948898i</v>
      </c>
      <c r="AU447">
        <f t="shared" si="393"/>
        <v>1.5461058494889801E-2</v>
      </c>
      <c r="AV447">
        <f t="shared" si="394"/>
        <v>1.5707963267948966</v>
      </c>
      <c r="AW447" t="str">
        <f t="shared" si="370"/>
        <v>1+2.81681325699731i</v>
      </c>
      <c r="AX447">
        <f t="shared" si="395"/>
        <v>2.9890528474411076</v>
      </c>
      <c r="AY447">
        <f t="shared" si="396"/>
        <v>1.2296642611392898</v>
      </c>
      <c r="AZ447" t="str">
        <f t="shared" si="371"/>
        <v>1+57.3357795214613i</v>
      </c>
      <c r="BA447">
        <f t="shared" si="397"/>
        <v>57.344499416540565</v>
      </c>
      <c r="BB447">
        <f t="shared" si="398"/>
        <v>1.5533569786368153</v>
      </c>
      <c r="BC447" s="42" t="str">
        <f t="shared" si="399"/>
        <v>-0.0657794066606418+0.196068075504002i</v>
      </c>
      <c r="BD447">
        <f t="shared" si="400"/>
        <v>-13.688646025375279</v>
      </c>
      <c r="BE447" s="44">
        <f t="shared" si="401"/>
        <v>108.54622657172862</v>
      </c>
      <c r="BF447" s="42" t="str">
        <f t="shared" si="402"/>
        <v>0.0193941439216312-0.0442445058745758i</v>
      </c>
      <c r="BG447" s="20">
        <f t="shared" si="403"/>
        <v>-26.319532768623539</v>
      </c>
      <c r="BH447" s="44">
        <f t="shared" si="404"/>
        <v>-66.330230551324306</v>
      </c>
      <c r="BI447" s="42" t="str">
        <f t="shared" si="409"/>
        <v>0.121454411516971+0.0140932782116588i</v>
      </c>
      <c r="BJ447" s="20">
        <f t="shared" si="405"/>
        <v>-18.253647751478336</v>
      </c>
      <c r="BK447" s="44">
        <f t="shared" si="410"/>
        <v>6.6188635085785705</v>
      </c>
      <c r="BL447">
        <f t="shared" si="406"/>
        <v>-26.319532768623539</v>
      </c>
      <c r="BM447" s="44">
        <f t="shared" si="407"/>
        <v>-66.330230551324306</v>
      </c>
    </row>
    <row r="448" spans="14:65" x14ac:dyDescent="0.35">
      <c r="N448" s="9">
        <v>30</v>
      </c>
      <c r="O448" s="35">
        <f t="shared" si="408"/>
        <v>199526.23149688813</v>
      </c>
      <c r="P448" s="34" t="str">
        <f t="shared" si="360"/>
        <v>16.3709677419355</v>
      </c>
      <c r="Q448" s="4" t="str">
        <f t="shared" si="361"/>
        <v>1+184.409384025484i</v>
      </c>
      <c r="R448" s="4">
        <f t="shared" si="372"/>
        <v>184.4120953643183</v>
      </c>
      <c r="S448" s="4">
        <f t="shared" si="373"/>
        <v>1.5653736624142185</v>
      </c>
      <c r="T448" s="4" t="str">
        <f t="shared" si="362"/>
        <v>1+0.200585645782106i</v>
      </c>
      <c r="U448" s="4">
        <f t="shared" si="374"/>
        <v>1.0199189189802416</v>
      </c>
      <c r="V448" s="4">
        <f t="shared" si="375"/>
        <v>0.19795861732081305</v>
      </c>
      <c r="W448" t="str">
        <f t="shared" si="363"/>
        <v>1-2.62501112975051i</v>
      </c>
      <c r="X448" s="4">
        <f t="shared" si="376"/>
        <v>2.8090360323986676</v>
      </c>
      <c r="Y448" s="4">
        <f t="shared" si="377"/>
        <v>-1.206818780783065</v>
      </c>
      <c r="Z448" t="str">
        <f t="shared" si="364"/>
        <v>0.965550488216031+0.516967227412333i</v>
      </c>
      <c r="AA448" s="4">
        <f t="shared" si="378"/>
        <v>1.0952364400039887</v>
      </c>
      <c r="AB448" s="4">
        <f t="shared" si="379"/>
        <v>0.49157419542376396</v>
      </c>
      <c r="AC448" s="48" t="str">
        <f t="shared" si="380"/>
        <v>-0.231553677906416-0.0175818826339089i</v>
      </c>
      <c r="AD448" s="20">
        <f t="shared" si="381"/>
        <v>-12.681999536136219</v>
      </c>
      <c r="AE448" s="44">
        <f t="shared" si="382"/>
        <v>-175.65786041785745</v>
      </c>
      <c r="AF448" t="str">
        <f t="shared" si="383"/>
        <v>45.9520231294187</v>
      </c>
      <c r="AG448" t="str">
        <f t="shared" si="365"/>
        <v>1+88.4936672568111i</v>
      </c>
      <c r="AH448">
        <f t="shared" si="384"/>
        <v>88.49931719826543</v>
      </c>
      <c r="AI448">
        <f t="shared" si="385"/>
        <v>1.5594965641215937</v>
      </c>
      <c r="AJ448" t="str">
        <f t="shared" si="366"/>
        <v>1+0.200585645782106i</v>
      </c>
      <c r="AK448">
        <f t="shared" si="386"/>
        <v>1.0199189189802416</v>
      </c>
      <c r="AL448">
        <f t="shared" si="387"/>
        <v>0.19795861732081305</v>
      </c>
      <c r="AM448" t="str">
        <f t="shared" si="367"/>
        <v>1-0.448775854619027i</v>
      </c>
      <c r="AN448">
        <f t="shared" si="388"/>
        <v>1.0960838324184141</v>
      </c>
      <c r="AO448">
        <f t="shared" si="389"/>
        <v>-0.42183545960844498</v>
      </c>
      <c r="AP448" s="42" t="str">
        <f t="shared" si="390"/>
        <v>-0.122465776861128-0.567396509073996i</v>
      </c>
      <c r="AQ448">
        <f t="shared" si="391"/>
        <v>-4.7245172708422842</v>
      </c>
      <c r="AR448" s="44">
        <f t="shared" si="392"/>
        <v>-102.17976948311762</v>
      </c>
      <c r="AS448" t="str">
        <f t="shared" si="368"/>
        <v>-0.000166666666666667</v>
      </c>
      <c r="AT448" t="str">
        <f t="shared" si="369"/>
        <v>0.0158211928110636i</v>
      </c>
      <c r="AU448">
        <f t="shared" si="393"/>
        <v>1.58211928110636E-2</v>
      </c>
      <c r="AV448">
        <f t="shared" si="394"/>
        <v>1.5707963267948966</v>
      </c>
      <c r="AW448" t="str">
        <f t="shared" si="370"/>
        <v>1+2.88242526644888i</v>
      </c>
      <c r="AX448">
        <f t="shared" si="395"/>
        <v>3.0509630310219911</v>
      </c>
      <c r="AY448">
        <f t="shared" si="396"/>
        <v>1.2368590250375868</v>
      </c>
      <c r="AZ448" t="str">
        <f t="shared" si="371"/>
        <v>1+58.6713013912658i</v>
      </c>
      <c r="BA448">
        <f t="shared" si="397"/>
        <v>58.679822826460097</v>
      </c>
      <c r="BB448">
        <f t="shared" si="398"/>
        <v>1.5537538689101873</v>
      </c>
      <c r="BC448" s="42" t="str">
        <f t="shared" si="399"/>
        <v>-0.0631368991315018+0.19252178654624i</v>
      </c>
      <c r="BD448">
        <f t="shared" si="400"/>
        <v>-13.866772500323549</v>
      </c>
      <c r="BE448" s="44">
        <f t="shared" si="401"/>
        <v>108.15673710335719</v>
      </c>
      <c r="BF448" s="42" t="str">
        <f t="shared" si="402"/>
        <v>0.0180044766610321-0.0434690622014968i</v>
      </c>
      <c r="BG448" s="20">
        <f t="shared" si="403"/>
        <v>-26.548772036459773</v>
      </c>
      <c r="BH448" s="44">
        <f t="shared" si="404"/>
        <v>-67.501123314500262</v>
      </c>
      <c r="BI448" s="42" t="str">
        <f t="shared" si="409"/>
        <v>0.116968299007768+0.0122463260088936i</v>
      </c>
      <c r="BJ448" s="20">
        <f t="shared" si="405"/>
        <v>-18.591289771165808</v>
      </c>
      <c r="BK448" s="44">
        <f t="shared" si="410"/>
        <v>5.9769676202395399</v>
      </c>
      <c r="BL448">
        <f t="shared" si="406"/>
        <v>-26.548772036459773</v>
      </c>
      <c r="BM448" s="44">
        <f t="shared" si="407"/>
        <v>-67.501123314500262</v>
      </c>
    </row>
    <row r="449" spans="14:65" x14ac:dyDescent="0.35">
      <c r="N449" s="9">
        <v>31</v>
      </c>
      <c r="O449" s="35">
        <f t="shared" si="408"/>
        <v>204173.79446695308</v>
      </c>
      <c r="P449" s="34" t="str">
        <f t="shared" si="360"/>
        <v>16.3709677419355</v>
      </c>
      <c r="Q449" s="4" t="str">
        <f t="shared" si="361"/>
        <v>1+188.704830384088i</v>
      </c>
      <c r="R449" s="4">
        <f t="shared" si="372"/>
        <v>188.70748000619218</v>
      </c>
      <c r="S449" s="4">
        <f t="shared" si="373"/>
        <v>1.5654970949875928</v>
      </c>
      <c r="T449" s="4" t="str">
        <f t="shared" si="362"/>
        <v>1+0.205257885680938i</v>
      </c>
      <c r="U449" s="4">
        <f t="shared" si="374"/>
        <v>1.0208480786259084</v>
      </c>
      <c r="V449" s="4">
        <f t="shared" si="375"/>
        <v>0.20244606944124494</v>
      </c>
      <c r="W449" t="str">
        <f t="shared" si="363"/>
        <v>1-2.68615549373268i</v>
      </c>
      <c r="X449" s="4">
        <f t="shared" si="376"/>
        <v>2.8662573744362625</v>
      </c>
      <c r="Y449" s="4">
        <f t="shared" si="377"/>
        <v>-1.2144130871136394</v>
      </c>
      <c r="Z449" t="str">
        <f t="shared" si="364"/>
        <v>0.96392693274459+0.52900894104985i</v>
      </c>
      <c r="AA449" s="4">
        <f t="shared" si="378"/>
        <v>1.0995479031770634</v>
      </c>
      <c r="AB449" s="4">
        <f t="shared" si="379"/>
        <v>0.50192609539486255</v>
      </c>
      <c r="AC449" s="48" t="str">
        <f t="shared" si="380"/>
        <v>-0.230412834950257-0.0143507549726801i</v>
      </c>
      <c r="AD449" s="20">
        <f t="shared" si="381"/>
        <v>-12.733052324502104</v>
      </c>
      <c r="AE449" s="44">
        <f t="shared" si="382"/>
        <v>-176.43606239545537</v>
      </c>
      <c r="AF449" t="str">
        <f t="shared" si="383"/>
        <v>45.9520231294187</v>
      </c>
      <c r="AG449" t="str">
        <f t="shared" si="365"/>
        <v>1+90.5549495651193i</v>
      </c>
      <c r="AH449">
        <f t="shared" si="384"/>
        <v>90.560470906137084</v>
      </c>
      <c r="AI449">
        <f t="shared" si="385"/>
        <v>1.5597537569701034</v>
      </c>
      <c r="AJ449" t="str">
        <f t="shared" si="366"/>
        <v>1+0.205257885680938i</v>
      </c>
      <c r="AK449">
        <f t="shared" si="386"/>
        <v>1.0208480786259084</v>
      </c>
      <c r="AL449">
        <f t="shared" si="387"/>
        <v>0.20244606944124494</v>
      </c>
      <c r="AM449" t="str">
        <f t="shared" si="367"/>
        <v>1-0.459229187136456i</v>
      </c>
      <c r="AN449">
        <f t="shared" si="388"/>
        <v>1.1004051282677711</v>
      </c>
      <c r="AO449">
        <f t="shared" si="389"/>
        <v>-0.43050236039247436</v>
      </c>
      <c r="AP449" s="42" t="str">
        <f t="shared" si="390"/>
        <v>-0.12273054592639-0.556636722228661i</v>
      </c>
      <c r="AQ449">
        <f t="shared" si="391"/>
        <v>-4.8824062783312119</v>
      </c>
      <c r="AR449" s="44">
        <f t="shared" si="392"/>
        <v>-102.43397031697374</v>
      </c>
      <c r="AS449" t="str">
        <f t="shared" si="368"/>
        <v>-0.000166666666666667</v>
      </c>
      <c r="AT449" t="str">
        <f t="shared" si="369"/>
        <v>0.016189715733084i</v>
      </c>
      <c r="AU449">
        <f t="shared" si="393"/>
        <v>1.6189715733084E-2</v>
      </c>
      <c r="AV449">
        <f t="shared" si="394"/>
        <v>1.5707963267948966</v>
      </c>
      <c r="AW449" t="str">
        <f t="shared" si="370"/>
        <v>1+2.94956557593012i</v>
      </c>
      <c r="AX449">
        <f t="shared" si="395"/>
        <v>3.1144722003434193</v>
      </c>
      <c r="AY449">
        <f t="shared" si="396"/>
        <v>1.2439248935034093</v>
      </c>
      <c r="AZ449" t="str">
        <f t="shared" si="371"/>
        <v>1+60.0379315616742i</v>
      </c>
      <c r="BA449">
        <f t="shared" si="397"/>
        <v>60.046259052536115</v>
      </c>
      <c r="BB449">
        <f t="shared" si="398"/>
        <v>1.5541417300466371</v>
      </c>
      <c r="BC449" s="42" t="str">
        <f t="shared" si="399"/>
        <v>-0.060588223872616+0.189003540619995i</v>
      </c>
      <c r="BD449">
        <f t="shared" si="400"/>
        <v>-14.045779536405004</v>
      </c>
      <c r="BE449" s="44">
        <f t="shared" si="401"/>
        <v>107.77411546782666</v>
      </c>
      <c r="BF449" s="42" t="str">
        <f t="shared" si="402"/>
        <v>0.0166726479274968-0.0426793548548633i</v>
      </c>
      <c r="BG449" s="20">
        <f t="shared" si="403"/>
        <v>-26.778831860907108</v>
      </c>
      <c r="BH449" s="44">
        <f t="shared" si="404"/>
        <v>-68.661946927628748</v>
      </c>
      <c r="BI449" s="42" t="str">
        <f t="shared" si="409"/>
        <v>0.112642337132922+0.0105291226197967i</v>
      </c>
      <c r="BJ449" s="20">
        <f t="shared" si="405"/>
        <v>-18.928185814736224</v>
      </c>
      <c r="BK449" s="44">
        <f t="shared" si="410"/>
        <v>5.3401451508529378</v>
      </c>
      <c r="BL449">
        <f t="shared" si="406"/>
        <v>-26.778831860907108</v>
      </c>
      <c r="BM449" s="44">
        <f t="shared" si="407"/>
        <v>-68.661946927628748</v>
      </c>
    </row>
    <row r="450" spans="14:65" x14ac:dyDescent="0.35">
      <c r="N450" s="9">
        <v>32</v>
      </c>
      <c r="O450" s="35">
        <f t="shared" si="408"/>
        <v>208929.61308540447</v>
      </c>
      <c r="P450" s="34" t="str">
        <f t="shared" si="360"/>
        <v>16.3709677419355</v>
      </c>
      <c r="Q450" s="4" t="str">
        <f t="shared" si="361"/>
        <v>1+193.100330541566i</v>
      </c>
      <c r="R450" s="4">
        <f t="shared" si="372"/>
        <v>193.10291985172583</v>
      </c>
      <c r="S450" s="4">
        <f t="shared" si="373"/>
        <v>1.5656177180486042</v>
      </c>
      <c r="T450" s="4" t="str">
        <f t="shared" si="362"/>
        <v>1+0.210038956027669i</v>
      </c>
      <c r="U450" s="4">
        <f t="shared" si="374"/>
        <v>1.0218201226484009</v>
      </c>
      <c r="V450" s="4">
        <f t="shared" si="375"/>
        <v>0.20702950455640162</v>
      </c>
      <c r="W450" t="str">
        <f t="shared" si="363"/>
        <v>1-2.74872409291311i</v>
      </c>
      <c r="X450" s="4">
        <f t="shared" si="376"/>
        <v>2.9249759210908044</v>
      </c>
      <c r="Y450" s="4">
        <f t="shared" si="377"/>
        <v>-1.2218762510786145</v>
      </c>
      <c r="Z450" t="str">
        <f t="shared" si="364"/>
        <v>0.9622268614611+0.541331142230177i</v>
      </c>
      <c r="AA450" s="4">
        <f t="shared" si="378"/>
        <v>1.1040470725768476</v>
      </c>
      <c r="AB450" s="4">
        <f t="shared" si="379"/>
        <v>0.51245145689185345</v>
      </c>
      <c r="AC450" s="48" t="str">
        <f t="shared" si="380"/>
        <v>-0.229234484473739-0.0111672069388655i</v>
      </c>
      <c r="AD450" s="20">
        <f t="shared" si="381"/>
        <v>-12.784106644738706</v>
      </c>
      <c r="AE450" s="44">
        <f t="shared" si="382"/>
        <v>-177.21102868862715</v>
      </c>
      <c r="AF450" t="str">
        <f t="shared" si="383"/>
        <v>45.9520231294187</v>
      </c>
      <c r="AG450" t="str">
        <f t="shared" si="365"/>
        <v>1+92.6642453063242i</v>
      </c>
      <c r="AH450">
        <f t="shared" si="384"/>
        <v>92.669640973679321</v>
      </c>
      <c r="AI450">
        <f t="shared" si="385"/>
        <v>1.5600050968063344</v>
      </c>
      <c r="AJ450" t="str">
        <f t="shared" si="366"/>
        <v>1+0.210038956027669i</v>
      </c>
      <c r="AK450">
        <f t="shared" si="386"/>
        <v>1.0218201226484009</v>
      </c>
      <c r="AL450">
        <f t="shared" si="387"/>
        <v>0.20702950455640162</v>
      </c>
      <c r="AM450" t="str">
        <f t="shared" si="367"/>
        <v>1-0.469926009047525i</v>
      </c>
      <c r="AN450">
        <f t="shared" si="388"/>
        <v>1.1049119666196645</v>
      </c>
      <c r="AO450">
        <f t="shared" si="389"/>
        <v>-0.43930028194428478</v>
      </c>
      <c r="AP450" s="42" t="str">
        <f t="shared" si="390"/>
        <v>-0.1229834012614-0.546171808312456i</v>
      </c>
      <c r="AQ450">
        <f t="shared" si="391"/>
        <v>-5.0386143097468921</v>
      </c>
      <c r="AR450" s="44">
        <f t="shared" si="392"/>
        <v>-102.68984331444879</v>
      </c>
      <c r="AS450" t="str">
        <f t="shared" si="368"/>
        <v>-0.000166666666666667</v>
      </c>
      <c r="AT450" t="str">
        <f t="shared" si="369"/>
        <v>0.0165668226566824i</v>
      </c>
      <c r="AU450">
        <f t="shared" si="393"/>
        <v>1.6566822656682401E-2</v>
      </c>
      <c r="AV450">
        <f t="shared" si="394"/>
        <v>1.5707963267948966</v>
      </c>
      <c r="AW450" t="str">
        <f t="shared" si="370"/>
        <v>1+3.01826978412185i</v>
      </c>
      <c r="AX450">
        <f t="shared" si="395"/>
        <v>3.1796151480553361</v>
      </c>
      <c r="AY450">
        <f t="shared" si="396"/>
        <v>1.2508627898448688</v>
      </c>
      <c r="AZ450" t="str">
        <f t="shared" si="371"/>
        <v>1+61.436394638093i</v>
      </c>
      <c r="BA450">
        <f t="shared" si="397"/>
        <v>61.444532597518418</v>
      </c>
      <c r="BB450">
        <f t="shared" si="398"/>
        <v>1.5545207672282182</v>
      </c>
      <c r="BC450" s="42" t="str">
        <f t="shared" si="399"/>
        <v>-0.0581310308190119+0.185515401287484i</v>
      </c>
      <c r="BD450">
        <f t="shared" si="400"/>
        <v>-14.225635721150651</v>
      </c>
      <c r="BE450" s="44">
        <f t="shared" si="401"/>
        <v>107.3983205195448</v>
      </c>
      <c r="BF450" s="42" t="str">
        <f t="shared" si="402"/>
        <v>0.0153973257582472-0.0418773661253497i</v>
      </c>
      <c r="BG450" s="20">
        <f t="shared" si="403"/>
        <v>-27.009742365889366</v>
      </c>
      <c r="BH450" s="44">
        <f t="shared" si="404"/>
        <v>-69.81270816908237</v>
      </c>
      <c r="BI450" s="42" t="str">
        <f t="shared" si="409"/>
        <v>0.108472434079949+0.00893421518477855i</v>
      </c>
      <c r="BJ450" s="20">
        <f t="shared" si="405"/>
        <v>-19.264250030897575</v>
      </c>
      <c r="BK450" s="44">
        <f t="shared" si="410"/>
        <v>4.7084772050960151</v>
      </c>
      <c r="BL450">
        <f t="shared" si="406"/>
        <v>-27.009742365889366</v>
      </c>
      <c r="BM450" s="44">
        <f t="shared" si="407"/>
        <v>-69.81270816908237</v>
      </c>
    </row>
    <row r="451" spans="14:65" x14ac:dyDescent="0.35">
      <c r="N451" s="9">
        <v>33</v>
      </c>
      <c r="O451" s="35">
        <f t="shared" si="408"/>
        <v>213796.20895022334</v>
      </c>
      <c r="P451" s="34" t="str">
        <f t="shared" si="360"/>
        <v>16.3709677419355</v>
      </c>
      <c r="Q451" s="4" t="str">
        <f t="shared" si="361"/>
        <v>1+197.598215050282i</v>
      </c>
      <c r="R451" s="4">
        <f t="shared" si="372"/>
        <v>197.60074542131034</v>
      </c>
      <c r="S451" s="4">
        <f t="shared" si="373"/>
        <v>1.5657355955391479</v>
      </c>
      <c r="T451" s="4" t="str">
        <f t="shared" si="362"/>
        <v>1+0.214931391809078i</v>
      </c>
      <c r="U451" s="4">
        <f t="shared" si="374"/>
        <v>1.0228369875913694</v>
      </c>
      <c r="V451" s="4">
        <f t="shared" si="375"/>
        <v>0.21171058219673733</v>
      </c>
      <c r="W451" t="str">
        <f t="shared" si="363"/>
        <v>1-2.81275010199125i</v>
      </c>
      <c r="X451" s="4">
        <f t="shared" si="376"/>
        <v>2.985224135010935</v>
      </c>
      <c r="Y451" s="4">
        <f t="shared" si="377"/>
        <v>-1.2292089032473104</v>
      </c>
      <c r="Z451" t="str">
        <f t="shared" si="364"/>
        <v>0.960446668286436+0.553940364347475i</v>
      </c>
      <c r="AA451" s="4">
        <f t="shared" si="378"/>
        <v>1.108741507239595</v>
      </c>
      <c r="AB451" s="4">
        <f t="shared" si="379"/>
        <v>0.52315060400006164</v>
      </c>
      <c r="AC451" s="48" t="str">
        <f t="shared" si="380"/>
        <v>-0.22801824700043-0.0080314156558661i</v>
      </c>
      <c r="AD451" s="20">
        <f t="shared" si="381"/>
        <v>-12.835223268075373</v>
      </c>
      <c r="AE451" s="44">
        <f t="shared" si="382"/>
        <v>-177.98272257456395</v>
      </c>
      <c r="AF451" t="str">
        <f t="shared" si="383"/>
        <v>45.9520231294187</v>
      </c>
      <c r="AG451" t="str">
        <f t="shared" si="365"/>
        <v>1+94.8226728569461i</v>
      </c>
      <c r="AH451">
        <f t="shared" si="384"/>
        <v>94.827945710826313</v>
      </c>
      <c r="AI451">
        <f t="shared" si="385"/>
        <v>1.5602507167669013</v>
      </c>
      <c r="AJ451" t="str">
        <f t="shared" si="366"/>
        <v>1+0.214931391809078i</v>
      </c>
      <c r="AK451">
        <f t="shared" si="386"/>
        <v>1.0228369875913694</v>
      </c>
      <c r="AL451">
        <f t="shared" si="387"/>
        <v>0.21171058219673733</v>
      </c>
      <c r="AM451" t="str">
        <f t="shared" si="367"/>
        <v>1-0.480871991948793i</v>
      </c>
      <c r="AN451">
        <f t="shared" si="388"/>
        <v>1.1096115863854343</v>
      </c>
      <c r="AO451">
        <f t="shared" si="389"/>
        <v>-0.44822844010397739</v>
      </c>
      <c r="AP451" s="42" t="str">
        <f t="shared" si="390"/>
        <v>-0.123224878822438-0.535996236254865i</v>
      </c>
      <c r="AQ451">
        <f t="shared" si="391"/>
        <v>-5.1930859631454602</v>
      </c>
      <c r="AR451" s="44">
        <f t="shared" si="392"/>
        <v>-102.94725609056484</v>
      </c>
      <c r="AS451" t="str">
        <f t="shared" si="368"/>
        <v>-0.000166666666666667</v>
      </c>
      <c r="AT451" t="str">
        <f t="shared" si="369"/>
        <v>0.0169527135289411i</v>
      </c>
      <c r="AU451">
        <f t="shared" si="393"/>
        <v>1.69527135289411E-2</v>
      </c>
      <c r="AV451">
        <f t="shared" si="394"/>
        <v>1.5707963267948966</v>
      </c>
      <c r="AW451" t="str">
        <f t="shared" si="370"/>
        <v>1+3.08857431890463i</v>
      </c>
      <c r="AX451">
        <f t="shared" si="395"/>
        <v>3.2464274708357799</v>
      </c>
      <c r="AY451">
        <f t="shared" si="396"/>
        <v>1.2576737201228656</v>
      </c>
      <c r="AZ451" t="str">
        <f t="shared" si="371"/>
        <v>1+62.8674321041553i</v>
      </c>
      <c r="BA451">
        <f t="shared" si="397"/>
        <v>62.875384844711498</v>
      </c>
      <c r="BB451">
        <f t="shared" si="398"/>
        <v>1.5548911809895634</v>
      </c>
      <c r="BC451" s="42" t="str">
        <f t="shared" si="399"/>
        <v>-0.0557629485443008+0.182059278621919i</v>
      </c>
      <c r="BD451">
        <f t="shared" si="400"/>
        <v>-14.40631044030323</v>
      </c>
      <c r="BE451" s="44">
        <f t="shared" si="401"/>
        <v>107.02930610525642</v>
      </c>
      <c r="BF451" s="42" t="str">
        <f t="shared" si="402"/>
        <v>0.0141771635152664-0.0410649821435769i</v>
      </c>
      <c r="BG451" s="20">
        <f t="shared" si="403"/>
        <v>-27.241533708378604</v>
      </c>
      <c r="BH451" s="44">
        <f t="shared" si="404"/>
        <v>-70.953416469307555</v>
      </c>
      <c r="BI451" s="42" t="str">
        <f t="shared" si="409"/>
        <v>0.104454470693778+0.00745449799553248i</v>
      </c>
      <c r="BJ451" s="20">
        <f t="shared" si="405"/>
        <v>-19.599396403448665</v>
      </c>
      <c r="BK451" s="44">
        <f t="shared" si="410"/>
        <v>4.0820500146915712</v>
      </c>
      <c r="BL451">
        <f t="shared" si="406"/>
        <v>-27.241533708378604</v>
      </c>
      <c r="BM451" s="44">
        <f t="shared" si="407"/>
        <v>-70.953416469307555</v>
      </c>
    </row>
    <row r="452" spans="14:65" x14ac:dyDescent="0.35">
      <c r="N452" s="9">
        <v>34</v>
      </c>
      <c r="O452" s="35">
        <f t="shared" si="408"/>
        <v>218776.16239495538</v>
      </c>
      <c r="P452" s="34" t="str">
        <f t="shared" si="360"/>
        <v>16.3709677419355</v>
      </c>
      <c r="Q452" s="4" t="str">
        <f t="shared" si="361"/>
        <v>1+202.200868748139i</v>
      </c>
      <c r="R452" s="4">
        <f t="shared" si="372"/>
        <v>202.20334152160325</v>
      </c>
      <c r="S452" s="4">
        <f t="shared" si="373"/>
        <v>1.5658507899463183</v>
      </c>
      <c r="T452" s="4" t="str">
        <f t="shared" si="362"/>
        <v>1+0.219937787059379i</v>
      </c>
      <c r="U452" s="4">
        <f t="shared" si="374"/>
        <v>1.0239006935130852</v>
      </c>
      <c r="V452" s="4">
        <f t="shared" si="375"/>
        <v>0.21649096335767301</v>
      </c>
      <c r="W452" t="str">
        <f t="shared" si="363"/>
        <v>1-2.87826746840463i</v>
      </c>
      <c r="X452" s="4">
        <f t="shared" si="376"/>
        <v>3.0470352179908256</v>
      </c>
      <c r="Y452" s="4">
        <f t="shared" si="377"/>
        <v>-1.236411776441531</v>
      </c>
      <c r="Z452" t="str">
        <f t="shared" si="364"/>
        <v>0.9585825771922+0.566843292978219i</v>
      </c>
      <c r="AA452" s="4">
        <f t="shared" si="378"/>
        <v>1.1136390241414995</v>
      </c>
      <c r="AB452" s="4">
        <f t="shared" si="379"/>
        <v>0.5340237096410112</v>
      </c>
      <c r="AC452" s="48" t="str">
        <f t="shared" si="380"/>
        <v>-0.226763793892045-0.00494363069424221i</v>
      </c>
      <c r="AD452" s="20">
        <f t="shared" si="381"/>
        <v>-12.886462111306113</v>
      </c>
      <c r="AE452" s="44">
        <f t="shared" si="382"/>
        <v>-178.75110436075622</v>
      </c>
      <c r="AF452" t="str">
        <f t="shared" si="383"/>
        <v>45.9520231294187</v>
      </c>
      <c r="AG452" t="str">
        <f t="shared" si="365"/>
        <v>1+97.0313766438435i</v>
      </c>
      <c r="AH452">
        <f t="shared" si="384"/>
        <v>97.036529479363693</v>
      </c>
      <c r="AI452">
        <f t="shared" si="385"/>
        <v>1.5604907469641456</v>
      </c>
      <c r="AJ452" t="str">
        <f t="shared" si="366"/>
        <v>1+0.219937787059379i</v>
      </c>
      <c r="AK452">
        <f t="shared" si="386"/>
        <v>1.0239006935130852</v>
      </c>
      <c r="AL452">
        <f t="shared" si="387"/>
        <v>0.21649096335767301</v>
      </c>
      <c r="AM452" t="str">
        <f t="shared" si="367"/>
        <v>1-0.492072939545288i</v>
      </c>
      <c r="AN452">
        <f t="shared" si="388"/>
        <v>1.1145114525354778</v>
      </c>
      <c r="AO452">
        <f t="shared" si="389"/>
        <v>-0.45728587424723666</v>
      </c>
      <c r="AP452" s="42" t="str">
        <f t="shared" si="390"/>
        <v>-0.123455490465766-0.526104627226269i</v>
      </c>
      <c r="AQ452">
        <f t="shared" si="391"/>
        <v>-5.3457649199114377</v>
      </c>
      <c r="AR452" s="44">
        <f t="shared" si="392"/>
        <v>-103.20606589246364</v>
      </c>
      <c r="AS452" t="str">
        <f t="shared" si="368"/>
        <v>-0.000166666666666667</v>
      </c>
      <c r="AT452" t="str">
        <f t="shared" si="369"/>
        <v>0.0173475929543085i</v>
      </c>
      <c r="AU452">
        <f t="shared" si="393"/>
        <v>1.7347592954308499E-2</v>
      </c>
      <c r="AV452">
        <f t="shared" si="394"/>
        <v>1.5707963267948966</v>
      </c>
      <c r="AW452" t="str">
        <f t="shared" si="370"/>
        <v>1+3.16051645667341i</v>
      </c>
      <c r="AX452">
        <f t="shared" si="395"/>
        <v>3.3149455912433083</v>
      </c>
      <c r="AY452">
        <f t="shared" si="396"/>
        <v>1.2643587671118393</v>
      </c>
      <c r="AZ452" t="str">
        <f t="shared" si="371"/>
        <v>1+64.3318027148683i</v>
      </c>
      <c r="BA452">
        <f t="shared" si="397"/>
        <v>64.339574451069666</v>
      </c>
      <c r="BB452">
        <f t="shared" si="398"/>
        <v>1.5552531673221341</v>
      </c>
      <c r="BC452" s="42" t="str">
        <f t="shared" si="399"/>
        <v>-0.0534815923797663+0.178636933670249i</v>
      </c>
      <c r="BD452">
        <f t="shared" si="400"/>
        <v>-14.587773883931195</v>
      </c>
      <c r="BE452" s="44">
        <f t="shared" si="401"/>
        <v>106.66702141603942</v>
      </c>
      <c r="BF452" s="42" t="str">
        <f t="shared" si="402"/>
        <v>0.0130108038198412-0.0402439955666417i</v>
      </c>
      <c r="BG452" s="20">
        <f t="shared" si="403"/>
        <v>-27.474235995237308</v>
      </c>
      <c r="BH452" s="44">
        <f t="shared" si="404"/>
        <v>-72.084082944716869</v>
      </c>
      <c r="BI452" s="42" t="str">
        <f t="shared" si="409"/>
        <v>0.100584313615564+0.00608320296086312i</v>
      </c>
      <c r="BJ452" s="20">
        <f t="shared" si="405"/>
        <v>-19.933538803842659</v>
      </c>
      <c r="BK452" s="44">
        <f t="shared" si="410"/>
        <v>3.4609555235757941</v>
      </c>
      <c r="BL452">
        <f t="shared" si="406"/>
        <v>-27.474235995237308</v>
      </c>
      <c r="BM452" s="44">
        <f t="shared" si="407"/>
        <v>-72.084082944716869</v>
      </c>
    </row>
    <row r="453" spans="14:65" x14ac:dyDescent="0.35">
      <c r="N453" s="9">
        <v>35</v>
      </c>
      <c r="O453" s="35">
        <f t="shared" si="408"/>
        <v>223872.11385683404</v>
      </c>
      <c r="P453" s="34" t="str">
        <f t="shared" si="360"/>
        <v>16.3709677419355</v>
      </c>
      <c r="Q453" s="4" t="str">
        <f t="shared" si="361"/>
        <v>1+206.910732023052i</v>
      </c>
      <c r="R453" s="4">
        <f t="shared" si="372"/>
        <v>206.91314850998529</v>
      </c>
      <c r="S453" s="4">
        <f t="shared" si="373"/>
        <v>1.5659633623354796</v>
      </c>
      <c r="T453" s="4" t="str">
        <f t="shared" si="362"/>
        <v>1+0.2250607962356i</v>
      </c>
      <c r="U453" s="4">
        <f t="shared" si="374"/>
        <v>1.0250133472312457</v>
      </c>
      <c r="V453" s="4">
        <f t="shared" si="375"/>
        <v>0.22137230832658922</v>
      </c>
      <c r="W453" t="str">
        <f t="shared" si="363"/>
        <v>1-2.94531093032813i</v>
      </c>
      <c r="X453" s="4">
        <f t="shared" si="376"/>
        <v>3.1104431318238812</v>
      </c>
      <c r="Y453" s="4">
        <f t="shared" si="377"/>
        <v>-1.2434856992183463</v>
      </c>
      <c r="Z453" t="str">
        <f t="shared" si="364"/>
        <v>0.956630634191258+0.58004676942596i</v>
      </c>
      <c r="AA453" s="4">
        <f t="shared" si="378"/>
        <v>1.1187477039058724</v>
      </c>
      <c r="AB453" s="4">
        <f t="shared" si="379"/>
        <v>0.5450707896601289</v>
      </c>
      <c r="AC453" s="48" t="str">
        <f t="shared" si="380"/>
        <v>-0.225470851818459-0.00190417157243155i</v>
      </c>
      <c r="AD453" s="20">
        <f t="shared" si="381"/>
        <v>-12.937882146320046</v>
      </c>
      <c r="AE453" s="44">
        <f t="shared" si="382"/>
        <v>-179.51613079923013</v>
      </c>
      <c r="AF453" t="str">
        <f t="shared" si="383"/>
        <v>45.9520231294187</v>
      </c>
      <c r="AG453" t="str">
        <f t="shared" si="365"/>
        <v>1+99.2915277509998i</v>
      </c>
      <c r="AH453">
        <f t="shared" si="384"/>
        <v>99.29656329968104</v>
      </c>
      <c r="AI453">
        <f t="shared" si="385"/>
        <v>1.5607253145545583</v>
      </c>
      <c r="AJ453" t="str">
        <f t="shared" si="366"/>
        <v>1+0.2250607962356i</v>
      </c>
      <c r="AK453">
        <f t="shared" si="386"/>
        <v>1.0250133472312457</v>
      </c>
      <c r="AL453">
        <f t="shared" si="387"/>
        <v>0.22137230832658922</v>
      </c>
      <c r="AM453" t="str">
        <f t="shared" si="367"/>
        <v>1-0.503534790727685i</v>
      </c>
      <c r="AN453">
        <f t="shared" si="388"/>
        <v>1.1196192591560639</v>
      </c>
      <c r="AO453">
        <f t="shared" si="389"/>
        <v>-0.4664714414039054</v>
      </c>
      <c r="AP453" s="42" t="str">
        <f t="shared" si="390"/>
        <v>-0.123675725030367-0.516491751864217i</v>
      </c>
      <c r="AQ453">
        <f t="shared" si="391"/>
        <v>-5.4965939962079871</v>
      </c>
      <c r="AR453" s="44">
        <f t="shared" si="392"/>
        <v>-103.46611939084954</v>
      </c>
      <c r="AS453" t="str">
        <f t="shared" si="368"/>
        <v>-0.000166666666666667</v>
      </c>
      <c r="AT453" t="str">
        <f t="shared" si="369"/>
        <v>0.0177516703030829i</v>
      </c>
      <c r="AU453">
        <f t="shared" si="393"/>
        <v>1.77516703030829E-2</v>
      </c>
      <c r="AV453">
        <f t="shared" si="394"/>
        <v>1.5707963267948966</v>
      </c>
      <c r="AW453" t="str">
        <f t="shared" si="370"/>
        <v>1+3.23413434210191i</v>
      </c>
      <c r="AX453">
        <f t="shared" si="395"/>
        <v>3.3852067799121155</v>
      </c>
      <c r="AY453">
        <f t="shared" si="396"/>
        <v>1.2709190844433793</v>
      </c>
      <c r="AZ453" t="str">
        <f t="shared" si="371"/>
        <v>1+65.8302828989129i</v>
      </c>
      <c r="BA453">
        <f t="shared" si="397"/>
        <v>65.837877749445298</v>
      </c>
      <c r="BB453">
        <f t="shared" si="398"/>
        <v>1.5556069177761971</v>
      </c>
      <c r="BC453" s="42" t="str">
        <f t="shared" si="399"/>
        <v>-0.0512845719380326+0.175249983186497i</v>
      </c>
      <c r="BD453">
        <f t="shared" si="400"/>
        <v>-14.769997049870495</v>
      </c>
      <c r="BE453" s="44">
        <f t="shared" si="401"/>
        <v>106.31141132869429</v>
      </c>
      <c r="BF453" s="42" t="str">
        <f t="shared" si="402"/>
        <v>0.0118968821560661-0.0394161083662414i</v>
      </c>
      <c r="BG453" s="20">
        <f t="shared" si="403"/>
        <v>-27.707879196190536</v>
      </c>
      <c r="BH453" s="44">
        <f t="shared" si="404"/>
        <v>-73.204719470535821</v>
      </c>
      <c r="BI453" s="42" t="str">
        <f t="shared" si="409"/>
        <v>0.0968578274474766+0.00481388967173128i</v>
      </c>
      <c r="BJ453" s="20">
        <f t="shared" si="405"/>
        <v>-20.266591046078485</v>
      </c>
      <c r="BK453" s="44">
        <f t="shared" si="410"/>
        <v>2.8452919378447428</v>
      </c>
      <c r="BL453">
        <f t="shared" si="406"/>
        <v>-27.707879196190536</v>
      </c>
      <c r="BM453" s="44">
        <f t="shared" si="407"/>
        <v>-73.204719470535821</v>
      </c>
    </row>
    <row r="454" spans="14:65" x14ac:dyDescent="0.35">
      <c r="N454" s="9">
        <v>36</v>
      </c>
      <c r="O454" s="35">
        <f t="shared" si="408"/>
        <v>229086.76527677779</v>
      </c>
      <c r="P454" s="34" t="str">
        <f t="shared" si="360"/>
        <v>16.3709677419355</v>
      </c>
      <c r="Q454" s="4" t="str">
        <f t="shared" si="361"/>
        <v>1+211.730302106869i</v>
      </c>
      <c r="R454" s="4">
        <f t="shared" si="372"/>
        <v>211.73266358846482</v>
      </c>
      <c r="S454" s="4">
        <f t="shared" si="373"/>
        <v>1.5660733723825828</v>
      </c>
      <c r="T454" s="4" t="str">
        <f t="shared" si="362"/>
        <v>1+0.230303135625016i</v>
      </c>
      <c r="U454" s="4">
        <f t="shared" si="374"/>
        <v>1.0261771456618562</v>
      </c>
      <c r="V454" s="4">
        <f t="shared" si="375"/>
        <v>0.226356274350481</v>
      </c>
      <c r="W454" t="str">
        <f t="shared" si="363"/>
        <v>1-3.01391603509268i</v>
      </c>
      <c r="X454" s="4">
        <f t="shared" si="376"/>
        <v>3.1754826194751531</v>
      </c>
      <c r="Y454" s="4">
        <f t="shared" si="377"/>
        <v>-1.250431589492873</v>
      </c>
      <c r="Z454" t="str">
        <f t="shared" si="364"/>
        <v>0.954586698950804+0.593557794348674i</v>
      </c>
      <c r="AA454" s="4">
        <f t="shared" si="378"/>
        <v>1.1240758964793505</v>
      </c>
      <c r="AB454" s="4">
        <f t="shared" si="379"/>
        <v>0.55629169718479576</v>
      </c>
      <c r="AC454" s="48" t="str">
        <f t="shared" si="380"/>
        <v>-0.224139207218188+0.00108657512173764i</v>
      </c>
      <c r="AD454" s="20">
        <f t="shared" si="381"/>
        <v>-12.989541308280721</v>
      </c>
      <c r="AE454" s="44">
        <f t="shared" si="382"/>
        <v>179.72224546661096</v>
      </c>
      <c r="AF454" t="str">
        <f t="shared" si="383"/>
        <v>45.9520231294187</v>
      </c>
      <c r="AG454" t="str">
        <f t="shared" si="365"/>
        <v>1+101.604324540448i</v>
      </c>
      <c r="AH454">
        <f t="shared" si="384"/>
        <v>101.60924547166307</v>
      </c>
      <c r="AI454">
        <f t="shared" si="385"/>
        <v>1.56095454380567</v>
      </c>
      <c r="AJ454" t="str">
        <f t="shared" si="366"/>
        <v>1+0.230303135625016i</v>
      </c>
      <c r="AK454">
        <f t="shared" si="386"/>
        <v>1.0261771456618562</v>
      </c>
      <c r="AL454">
        <f t="shared" si="387"/>
        <v>0.226356274350481</v>
      </c>
      <c r="AM454" t="str">
        <f t="shared" si="367"/>
        <v>1-0.515263622721196i</v>
      </c>
      <c r="AN454">
        <f t="shared" si="388"/>
        <v>1.1249429322857987</v>
      </c>
      <c r="AO454">
        <f t="shared" si="389"/>
        <v>-0.47578381070645337</v>
      </c>
      <c r="AP454" s="42" t="str">
        <f t="shared" si="390"/>
        <v>-0.123886049372135-0.507152527573706i</v>
      </c>
      <c r="AQ454">
        <f t="shared" si="391"/>
        <v>-5.6455151994693429</v>
      </c>
      <c r="AR454" s="44">
        <f t="shared" si="392"/>
        <v>-103.72725249937676</v>
      </c>
      <c r="AS454" t="str">
        <f t="shared" si="368"/>
        <v>-0.000166666666666667</v>
      </c>
      <c r="AT454" t="str">
        <f t="shared" si="369"/>
        <v>0.0181651598224231i</v>
      </c>
      <c r="AU454">
        <f t="shared" si="393"/>
        <v>1.8165159822423099E-2</v>
      </c>
      <c r="AV454">
        <f t="shared" si="394"/>
        <v>1.5707963267948966</v>
      </c>
      <c r="AW454" t="str">
        <f t="shared" si="370"/>
        <v>1+3.30946700836741i</v>
      </c>
      <c r="AX454">
        <f t="shared" si="395"/>
        <v>3.4572491780998855</v>
      </c>
      <c r="AY454">
        <f t="shared" si="396"/>
        <v>1.2773558909422293</v>
      </c>
      <c r="AZ454" t="str">
        <f t="shared" si="371"/>
        <v>1+67.3636671703171i</v>
      </c>
      <c r="BA454">
        <f t="shared" si="397"/>
        <v>67.371089160212165</v>
      </c>
      <c r="BB454">
        <f t="shared" si="398"/>
        <v>1.5559526195605773</v>
      </c>
      <c r="BC454" s="42" t="str">
        <f t="shared" si="399"/>
        <v>-0.0491694980533298+0.171899904583602i</v>
      </c>
      <c r="BD454">
        <f t="shared" si="400"/>
        <v>-14.952951744694706</v>
      </c>
      <c r="BE454" s="44">
        <f t="shared" si="401"/>
        <v>105.96241673598288</v>
      </c>
      <c r="BF454" s="42" t="str">
        <f t="shared" si="402"/>
        <v>0.01083403015324-0.0385829346875838i</v>
      </c>
      <c r="BG454" s="20">
        <f t="shared" si="403"/>
        <v>-27.942493052975422</v>
      </c>
      <c r="BH454" s="44">
        <f t="shared" si="404"/>
        <v>-74.31533779740613</v>
      </c>
      <c r="BI454" s="42" t="str">
        <f t="shared" si="409"/>
        <v>0.0932708859626906+0.00364043515096721i</v>
      </c>
      <c r="BJ454" s="20">
        <f t="shared" si="405"/>
        <v>-20.598466944164045</v>
      </c>
      <c r="BK454" s="44">
        <f t="shared" si="410"/>
        <v>2.2351642366061197</v>
      </c>
      <c r="BL454">
        <f t="shared" si="406"/>
        <v>-27.942493052975422</v>
      </c>
      <c r="BM454" s="44">
        <f t="shared" si="407"/>
        <v>-74.31533779740613</v>
      </c>
    </row>
    <row r="455" spans="14:65" x14ac:dyDescent="0.35">
      <c r="N455" s="9">
        <v>37</v>
      </c>
      <c r="O455" s="35">
        <f t="shared" si="408"/>
        <v>234422.88153199267</v>
      </c>
      <c r="P455" s="34" t="str">
        <f t="shared" si="360"/>
        <v>16.3709677419355</v>
      </c>
      <c r="Q455" s="4" t="str">
        <f t="shared" si="361"/>
        <v>1+216.662134399447i</v>
      </c>
      <c r="R455" s="4">
        <f t="shared" si="372"/>
        <v>216.66444212773828</v>
      </c>
      <c r="S455" s="4">
        <f t="shared" si="373"/>
        <v>1.5661808784057547</v>
      </c>
      <c r="T455" s="4" t="str">
        <f t="shared" si="362"/>
        <v>1+0.235667584785363i</v>
      </c>
      <c r="U455" s="4">
        <f t="shared" si="374"/>
        <v>1.0273943792519824</v>
      </c>
      <c r="V455" s="4">
        <f t="shared" si="375"/>
        <v>0.23144451313778813</v>
      </c>
      <c r="W455" t="str">
        <f t="shared" si="363"/>
        <v>1-3.08411915803294i</v>
      </c>
      <c r="X455" s="4">
        <f t="shared" si="376"/>
        <v>3.2421892265791348</v>
      </c>
      <c r="Y455" s="4">
        <f t="shared" si="377"/>
        <v>-1.2572504483174671</v>
      </c>
      <c r="Z455" t="str">
        <f t="shared" si="364"/>
        <v>0.952446436010157+0.60738353147062i</v>
      </c>
      <c r="AA455" s="4">
        <f t="shared" si="378"/>
        <v>1.1296322267756758</v>
      </c>
      <c r="AB455" s="4">
        <f t="shared" si="379"/>
        <v>0.56768611730314433</v>
      </c>
      <c r="AC455" s="48" t="str">
        <f t="shared" si="380"/>
        <v>-0.222768710714938+0.00402815900304666i</v>
      </c>
      <c r="AD455" s="20">
        <f t="shared" si="381"/>
        <v>-13.041496402348615</v>
      </c>
      <c r="AE455" s="44">
        <f t="shared" si="382"/>
        <v>178.9640764183535</v>
      </c>
      <c r="AF455" t="str">
        <f t="shared" si="383"/>
        <v>45.9520231294187</v>
      </c>
      <c r="AG455" t="str">
        <f t="shared" si="365"/>
        <v>1+103.97099328766i</v>
      </c>
      <c r="AH455">
        <f t="shared" si="384"/>
        <v>103.97580221004615</v>
      </c>
      <c r="AI455">
        <f t="shared" si="385"/>
        <v>1.561178556161448</v>
      </c>
      <c r="AJ455" t="str">
        <f t="shared" si="366"/>
        <v>1+0.235667584785363i</v>
      </c>
      <c r="AK455">
        <f t="shared" si="386"/>
        <v>1.0273943792519824</v>
      </c>
      <c r="AL455">
        <f t="shared" si="387"/>
        <v>0.23144451313778813</v>
      </c>
      <c r="AM455" t="str">
        <f t="shared" si="367"/>
        <v>1-0.527265654307795i</v>
      </c>
      <c r="AN455">
        <f t="shared" si="388"/>
        <v>1.1304906325187427</v>
      </c>
      <c r="AO455">
        <f t="shared" si="389"/>
        <v>-0.485221458221409</v>
      </c>
      <c r="AP455" s="42" t="str">
        <f t="shared" si="390"/>
        <v>-0.124086909351663-0.498082015900416i</v>
      </c>
      <c r="AQ455">
        <f t="shared" si="391"/>
        <v>-5.7924697899415598</v>
      </c>
      <c r="AR455" s="44">
        <f t="shared" si="392"/>
        <v>-103.98929022539326</v>
      </c>
      <c r="AS455" t="str">
        <f t="shared" si="368"/>
        <v>-0.000166666666666667</v>
      </c>
      <c r="AT455" t="str">
        <f t="shared" si="369"/>
        <v>0.0185882807499455i</v>
      </c>
      <c r="AU455">
        <f t="shared" si="393"/>
        <v>1.85882807499455E-2</v>
      </c>
      <c r="AV455">
        <f t="shared" si="394"/>
        <v>1.5707963267948966</v>
      </c>
      <c r="AW455" t="str">
        <f t="shared" si="370"/>
        <v>1+3.38655439784672i</v>
      </c>
      <c r="AX455">
        <f t="shared" si="395"/>
        <v>3.5311118205991381</v>
      </c>
      <c r="AY455">
        <f t="shared" si="396"/>
        <v>1.2836704651622295</v>
      </c>
      <c r="AZ455" t="str">
        <f t="shared" si="371"/>
        <v>1+68.9327685497186i</v>
      </c>
      <c r="BA455">
        <f t="shared" si="397"/>
        <v>68.940021612479029</v>
      </c>
      <c r="BB455">
        <f t="shared" si="398"/>
        <v>1.5562904556402291</v>
      </c>
      <c r="BC455" s="42" t="str">
        <f t="shared" si="399"/>
        <v>-0.0471339891534899+0.168588041055472i</v>
      </c>
      <c r="BD455">
        <f t="shared" si="400"/>
        <v>-15.136610582411301</v>
      </c>
      <c r="BE455" s="44">
        <f t="shared" si="401"/>
        <v>105.61997486528608</v>
      </c>
      <c r="BF455" s="42" t="str">
        <f t="shared" si="402"/>
        <v>0.00982087855919122-0.0377460037506427i</v>
      </c>
      <c r="BG455" s="20">
        <f t="shared" si="403"/>
        <v>-28.178106984759911</v>
      </c>
      <c r="BH455" s="44">
        <f t="shared" si="404"/>
        <v>-75.415948716360433</v>
      </c>
      <c r="BI455" s="42" t="str">
        <f t="shared" si="409"/>
        <v>0.089819382385083+0.0025570233667738i</v>
      </c>
      <c r="BJ455" s="20">
        <f t="shared" si="405"/>
        <v>-20.92908037235286</v>
      </c>
      <c r="BK455" s="44">
        <f t="shared" si="410"/>
        <v>1.6306846398928141</v>
      </c>
      <c r="BL455">
        <f t="shared" si="406"/>
        <v>-28.178106984759911</v>
      </c>
      <c r="BM455" s="44">
        <f t="shared" si="407"/>
        <v>-75.415948716360433</v>
      </c>
    </row>
    <row r="456" spans="14:65" x14ac:dyDescent="0.35">
      <c r="N456" s="9">
        <v>38</v>
      </c>
      <c r="O456" s="35">
        <f t="shared" si="408"/>
        <v>239883.29190194907</v>
      </c>
      <c r="P456" s="34" t="str">
        <f t="shared" si="360"/>
        <v>16.3709677419355</v>
      </c>
      <c r="Q456" s="4" t="str">
        <f t="shared" si="361"/>
        <v>1+221.708843823544i</v>
      </c>
      <c r="R456" s="4">
        <f t="shared" si="372"/>
        <v>221.71109902206663</v>
      </c>
      <c r="S456" s="4">
        <f t="shared" si="373"/>
        <v>1.5662859373961655</v>
      </c>
      <c r="T456" s="4" t="str">
        <f t="shared" si="362"/>
        <v>1+0.241156988018592i</v>
      </c>
      <c r="U456" s="4">
        <f t="shared" si="374"/>
        <v>1.0286674355058585</v>
      </c>
      <c r="V456" s="4">
        <f t="shared" si="375"/>
        <v>0.23663866818804349</v>
      </c>
      <c r="W456" t="str">
        <f t="shared" si="363"/>
        <v>1-3.15595752177392i</v>
      </c>
      <c r="X456" s="4">
        <f t="shared" si="376"/>
        <v>3.3105993232708459</v>
      </c>
      <c r="Y456" s="4">
        <f t="shared" si="377"/>
        <v>-1.2639433538313574</v>
      </c>
      <c r="Z456" t="str">
        <f t="shared" si="364"/>
        <v>0.95020530558467+0.621531311380621i</v>
      </c>
      <c r="AA456" s="4">
        <f t="shared" si="378"/>
        <v>1.1354256002872978</v>
      </c>
      <c r="AB456" s="4">
        <f t="shared" si="379"/>
        <v>0.57925356211553736</v>
      </c>
      <c r="AC456" s="48" t="str">
        <f t="shared" si="380"/>
        <v>-0.221359281453136+0.00692006956590587i</v>
      </c>
      <c r="AD456" s="20">
        <f t="shared" si="381"/>
        <v>-13.093803008881739</v>
      </c>
      <c r="AE456" s="44">
        <f t="shared" si="382"/>
        <v>178.2094191379928</v>
      </c>
      <c r="AF456" t="str">
        <f t="shared" si="383"/>
        <v>45.9520231294187</v>
      </c>
      <c r="AG456" t="str">
        <f t="shared" si="365"/>
        <v>1+106.392788831732i</v>
      </c>
      <c r="AH456">
        <f t="shared" si="384"/>
        <v>106.39748829457169</v>
      </c>
      <c r="AI456">
        <f t="shared" si="385"/>
        <v>1.5613974703062266</v>
      </c>
      <c r="AJ456" t="str">
        <f t="shared" si="366"/>
        <v>1+0.241156988018592i</v>
      </c>
      <c r="AK456">
        <f t="shared" si="386"/>
        <v>1.0286674355058585</v>
      </c>
      <c r="AL456">
        <f t="shared" si="387"/>
        <v>0.23663866818804349</v>
      </c>
      <c r="AM456" t="str">
        <f t="shared" si="367"/>
        <v>1-0.539547249123492i</v>
      </c>
      <c r="AN456">
        <f t="shared" si="388"/>
        <v>1.1362707573623143</v>
      </c>
      <c r="AO456">
        <f t="shared" si="389"/>
        <v>-0.49478266221811784</v>
      </c>
      <c r="AP456" s="42" t="str">
        <f t="shared" si="390"/>
        <v>-0.124278730777721-0.489275419975838i</v>
      </c>
      <c r="AQ456">
        <f t="shared" si="391"/>
        <v>-5.9373983472416283</v>
      </c>
      <c r="AR456" s="44">
        <f t="shared" si="392"/>
        <v>-104.25204655552356</v>
      </c>
      <c r="AS456" t="str">
        <f t="shared" si="368"/>
        <v>-0.000166666666666667</v>
      </c>
      <c r="AT456" t="str">
        <f t="shared" si="369"/>
        <v>0.0190212574299664i</v>
      </c>
      <c r="AU456">
        <f t="shared" si="393"/>
        <v>1.9021257429966399E-2</v>
      </c>
      <c r="AV456">
        <f t="shared" si="394"/>
        <v>1.5707963267948966</v>
      </c>
      <c r="AW456" t="str">
        <f t="shared" si="370"/>
        <v>1+3.46543738329411i</v>
      </c>
      <c r="AX456">
        <f t="shared" si="395"/>
        <v>3.6068346590233831</v>
      </c>
      <c r="AY456">
        <f t="shared" si="396"/>
        <v>1.2898641401279143</v>
      </c>
      <c r="AZ456" t="str">
        <f t="shared" si="371"/>
        <v>1+70.5384189954381i</v>
      </c>
      <c r="BA456">
        <f t="shared" si="397"/>
        <v>70.545506975114876</v>
      </c>
      <c r="BB456">
        <f t="shared" si="398"/>
        <v>1.5566206048316702</v>
      </c>
      <c r="BC456" s="42" t="str">
        <f t="shared" si="399"/>
        <v>-0.0451756770814413+0.165315606824861i</v>
      </c>
      <c r="BD456">
        <f t="shared" si="400"/>
        <v>-15.320946981073265</v>
      </c>
      <c r="BE456" s="44">
        <f t="shared" si="401"/>
        <v>105.28401958535575</v>
      </c>
      <c r="BF456" s="42" t="str">
        <f t="shared" si="402"/>
        <v>0.00885605991834877-0.0369067627678308i</v>
      </c>
      <c r="BG456" s="20">
        <f t="shared" si="403"/>
        <v>-28.414749989955013</v>
      </c>
      <c r="BH456" s="44">
        <f t="shared" si="404"/>
        <v>-76.506561276651425</v>
      </c>
      <c r="BI456" s="42" t="str">
        <f t="shared" si="409"/>
        <v>0.0864992387675001+0.00155813458277256i</v>
      </c>
      <c r="BJ456" s="20">
        <f t="shared" si="405"/>
        <v>-21.258345328314888</v>
      </c>
      <c r="BK456" s="44">
        <f t="shared" si="410"/>
        <v>1.0319730298321961</v>
      </c>
      <c r="BL456">
        <f t="shared" si="406"/>
        <v>-28.414749989955013</v>
      </c>
      <c r="BM456" s="44">
        <f t="shared" si="407"/>
        <v>-76.506561276651425</v>
      </c>
    </row>
    <row r="457" spans="14:65" x14ac:dyDescent="0.35">
      <c r="N457" s="9">
        <v>39</v>
      </c>
      <c r="O457" s="35">
        <f t="shared" si="408"/>
        <v>245470.89156850305</v>
      </c>
      <c r="P457" s="34" t="str">
        <f t="shared" si="360"/>
        <v>16.3709677419355</v>
      </c>
      <c r="Q457" s="4" t="str">
        <f t="shared" si="361"/>
        <v>1+226.8731062113i</v>
      </c>
      <c r="R457" s="4">
        <f t="shared" si="372"/>
        <v>226.87531007574142</v>
      </c>
      <c r="S457" s="4">
        <f t="shared" si="373"/>
        <v>1.566388605048201</v>
      </c>
      <c r="T457" s="4" t="str">
        <f t="shared" si="362"/>
        <v>1+0.246774255878958i</v>
      </c>
      <c r="U457" s="4">
        <f t="shared" si="374"/>
        <v>1.0299988026034852</v>
      </c>
      <c r="V457" s="4">
        <f t="shared" si="375"/>
        <v>0.24194037194317208</v>
      </c>
      <c r="W457" t="str">
        <f t="shared" si="363"/>
        <v>1-3.22946921596698i</v>
      </c>
      <c r="X457" s="4">
        <f t="shared" si="376"/>
        <v>3.3807501263592936</v>
      </c>
      <c r="Y457" s="4">
        <f t="shared" si="377"/>
        <v>-1.2705114553925039</v>
      </c>
      <c r="Z457" t="str">
        <f t="shared" si="364"/>
        <v>0.947858553936238+0.636008635418855i</v>
      </c>
      <c r="AA457" s="4">
        <f t="shared" si="378"/>
        <v>1.1414652086671107</v>
      </c>
      <c r="AB457" s="4">
        <f t="shared" si="379"/>
        <v>0.59099336621194209</v>
      </c>
      <c r="AC457" s="48" t="str">
        <f t="shared" si="380"/>
        <v>-0.219910911312529+0.00976174027448339i</v>
      </c>
      <c r="AD457" s="20">
        <f t="shared" si="381"/>
        <v>-13.146515387108051</v>
      </c>
      <c r="AE457" s="44">
        <f t="shared" si="382"/>
        <v>177.45833623833474</v>
      </c>
      <c r="AF457" t="str">
        <f t="shared" si="383"/>
        <v>45.9520231294187</v>
      </c>
      <c r="AG457" t="str">
        <f t="shared" si="365"/>
        <v>1+108.870995240717i</v>
      </c>
      <c r="AH457">
        <f t="shared" si="384"/>
        <v>108.87558773528721</v>
      </c>
      <c r="AI457">
        <f t="shared" si="385"/>
        <v>1.5616114022272058</v>
      </c>
      <c r="AJ457" t="str">
        <f t="shared" si="366"/>
        <v>1+0.246774255878958i</v>
      </c>
      <c r="AK457">
        <f t="shared" si="386"/>
        <v>1.0299988026034852</v>
      </c>
      <c r="AL457">
        <f t="shared" si="387"/>
        <v>0.24194037194317208</v>
      </c>
      <c r="AM457" t="str">
        <f t="shared" si="367"/>
        <v>1-0.552114919032426i</v>
      </c>
      <c r="AN457">
        <f t="shared" si="388"/>
        <v>1.1422919433394347</v>
      </c>
      <c r="AO457">
        <f t="shared" si="389"/>
        <v>-0.50446549893000314</v>
      </c>
      <c r="AP457" s="42" t="str">
        <f t="shared" si="390"/>
        <v>-0.124461920308406-0.480728082033232i</v>
      </c>
      <c r="AQ457">
        <f t="shared" si="391"/>
        <v>-6.0802408418665745</v>
      </c>
      <c r="AR457" s="44">
        <f t="shared" si="392"/>
        <v>-104.51532437960671</v>
      </c>
      <c r="AS457" t="str">
        <f t="shared" si="368"/>
        <v>-0.000166666666666667</v>
      </c>
      <c r="AT457" t="str">
        <f t="shared" si="369"/>
        <v>0.0194643194324529i</v>
      </c>
      <c r="AU457">
        <f t="shared" si="393"/>
        <v>1.9464319432452901E-2</v>
      </c>
      <c r="AV457">
        <f t="shared" si="394"/>
        <v>1.5707963267948966</v>
      </c>
      <c r="AW457" t="str">
        <f t="shared" si="370"/>
        <v>1+3.54615778951261i</v>
      </c>
      <c r="AX457">
        <f t="shared" si="395"/>
        <v>3.6844585854804985</v>
      </c>
      <c r="AY457">
        <f t="shared" si="396"/>
        <v>1.2959382982858478</v>
      </c>
      <c r="AZ457" t="str">
        <f t="shared" si="371"/>
        <v>1+72.1814698445952i</v>
      </c>
      <c r="BA457">
        <f t="shared" si="397"/>
        <v>72.188396497818161</v>
      </c>
      <c r="BB457">
        <f t="shared" si="398"/>
        <v>1.5569432418963207</v>
      </c>
      <c r="BC457" s="42" t="str">
        <f t="shared" si="399"/>
        <v>-0.0432922123860758+0.162083692476409i</v>
      </c>
      <c r="BD457">
        <f t="shared" si="400"/>
        <v>-15.50593515749271</v>
      </c>
      <c r="BE457" s="44">
        <f t="shared" si="401"/>
        <v>104.95448170093023</v>
      </c>
      <c r="BF457" s="42" t="str">
        <f t="shared" si="402"/>
        <v>0.00793821096987354-0.0360665798546074i</v>
      </c>
      <c r="BG457" s="20">
        <f t="shared" si="403"/>
        <v>-28.652450544600772</v>
      </c>
      <c r="BH457" s="44">
        <f t="shared" si="404"/>
        <v>-77.587182060735017</v>
      </c>
      <c r="BI457" s="42" t="str">
        <f t="shared" si="409"/>
        <v>0.0833064145010187+0.000638534611042546i</v>
      </c>
      <c r="BJ457" s="20">
        <f t="shared" si="405"/>
        <v>-21.586175999359277</v>
      </c>
      <c r="BK457" s="44">
        <f t="shared" si="410"/>
        <v>0.43915732132352175</v>
      </c>
      <c r="BL457">
        <f t="shared" si="406"/>
        <v>-28.652450544600772</v>
      </c>
      <c r="BM457" s="44">
        <f t="shared" si="407"/>
        <v>-77.587182060735017</v>
      </c>
    </row>
    <row r="458" spans="14:65" x14ac:dyDescent="0.35">
      <c r="N458" s="9">
        <v>40</v>
      </c>
      <c r="O458" s="35">
        <f t="shared" si="408"/>
        <v>251188.64315095844</v>
      </c>
      <c r="P458" s="34" t="str">
        <f t="shared" si="360"/>
        <v>16.3709677419355</v>
      </c>
      <c r="Q458" s="4" t="str">
        <f t="shared" si="361"/>
        <v>1+232.157659722992i</v>
      </c>
      <c r="R458" s="4">
        <f t="shared" si="372"/>
        <v>232.15981342182485</v>
      </c>
      <c r="S458" s="4">
        <f t="shared" si="373"/>
        <v>1.5664889357889464</v>
      </c>
      <c r="T458" s="4" t="str">
        <f t="shared" si="362"/>
        <v>1+0.252522366716237i</v>
      </c>
      <c r="U458" s="4">
        <f t="shared" si="374"/>
        <v>1.0313910731104714</v>
      </c>
      <c r="V458" s="4">
        <f t="shared" si="375"/>
        <v>0.2473512427544883</v>
      </c>
      <c r="W458" t="str">
        <f t="shared" si="363"/>
        <v>1-3.30469321748544i</v>
      </c>
      <c r="X458" s="4">
        <f t="shared" si="376"/>
        <v>3.4526797218529075</v>
      </c>
      <c r="Y458" s="4">
        <f t="shared" si="377"/>
        <v>-1.2769559679012985</v>
      </c>
      <c r="Z458" t="str">
        <f t="shared" si="364"/>
        <v>0.945401203289978+0.650823179654162i</v>
      </c>
      <c r="AA458" s="4">
        <f t="shared" si="378"/>
        <v>1.1477605352848179</v>
      </c>
      <c r="AB458" s="4">
        <f t="shared" si="379"/>
        <v>0.60290468262903507</v>
      </c>
      <c r="AC458" s="48" t="str">
        <f t="shared" si="380"/>
        <v>-0.218423668959724+0.0125525530702685i</v>
      </c>
      <c r="AD458" s="20">
        <f t="shared" si="381"/>
        <v>-13.199686377313158</v>
      </c>
      <c r="AE458" s="44">
        <f t="shared" si="382"/>
        <v>176.71089624439603</v>
      </c>
      <c r="AF458" t="str">
        <f t="shared" si="383"/>
        <v>45.9520231294187</v>
      </c>
      <c r="AG458" t="str">
        <f t="shared" si="365"/>
        <v>1+111.406926492457i</v>
      </c>
      <c r="AH458">
        <f t="shared" si="384"/>
        <v>111.41141445334817</v>
      </c>
      <c r="AI458">
        <f t="shared" si="385"/>
        <v>1.5618204652755492</v>
      </c>
      <c r="AJ458" t="str">
        <f t="shared" si="366"/>
        <v>1+0.252522366716237i</v>
      </c>
      <c r="AK458">
        <f t="shared" si="386"/>
        <v>1.0313910731104714</v>
      </c>
      <c r="AL458">
        <f t="shared" si="387"/>
        <v>0.2473512427544883</v>
      </c>
      <c r="AM458" t="str">
        <f t="shared" si="367"/>
        <v>1-0.564975327579539i</v>
      </c>
      <c r="AN458">
        <f t="shared" si="388"/>
        <v>1.1485630678258845</v>
      </c>
      <c r="AO458">
        <f t="shared" si="389"/>
        <v>-0.51426783886374317</v>
      </c>
      <c r="AP458" s="42" t="str">
        <f t="shared" si="390"/>
        <v>-0.124636866311832-0.47243548099337i</v>
      </c>
      <c r="AQ458">
        <f t="shared" si="391"/>
        <v>-6.2209367115432981</v>
      </c>
      <c r="AR458" s="44">
        <f t="shared" si="392"/>
        <v>-104.77891545650583</v>
      </c>
      <c r="AS458" t="str">
        <f t="shared" si="368"/>
        <v>-0.000166666666666667</v>
      </c>
      <c r="AT458" t="str">
        <f t="shared" si="369"/>
        <v>0.0199177016747432i</v>
      </c>
      <c r="AU458">
        <f t="shared" si="393"/>
        <v>1.9917701674743198E-2</v>
      </c>
      <c r="AV458">
        <f t="shared" si="394"/>
        <v>1.5707963267948966</v>
      </c>
      <c r="AW458" t="str">
        <f t="shared" si="370"/>
        <v>1+3.62875841553008i</v>
      </c>
      <c r="AX458">
        <f t="shared" si="395"/>
        <v>3.7640254566461659</v>
      </c>
      <c r="AY458">
        <f t="shared" si="396"/>
        <v>1.3018943666682368</v>
      </c>
      <c r="AZ458" t="str">
        <f t="shared" si="371"/>
        <v>1+73.8627922644991i</v>
      </c>
      <c r="BA458">
        <f t="shared" si="397"/>
        <v>73.869561262461474</v>
      </c>
      <c r="BB458">
        <f t="shared" si="398"/>
        <v>1.5572585376317905</v>
      </c>
      <c r="BC458" s="42" t="str">
        <f t="shared" si="399"/>
        <v>-0.0414812691040884+0.158893270338017i</v>
      </c>
      <c r="BD458">
        <f t="shared" si="400"/>
        <v>-15.691550120230865</v>
      </c>
      <c r="BE458" s="44">
        <f t="shared" si="401"/>
        <v>104.63128923506879</v>
      </c>
      <c r="BF458" s="42" t="str">
        <f t="shared" si="402"/>
        <v>0.00706597478239415-0.0352267469120901i</v>
      </c>
      <c r="BG458" s="20">
        <f t="shared" si="403"/>
        <v>-28.891236497544028</v>
      </c>
      <c r="BH458" s="44">
        <f t="shared" si="404"/>
        <v>-78.657814520535183</v>
      </c>
      <c r="BI458" s="42" t="str">
        <f t="shared" si="409"/>
        <v>0.080236913990522-0.000206735971563787i</v>
      </c>
      <c r="BJ458" s="20">
        <f t="shared" si="405"/>
        <v>-21.912486831774167</v>
      </c>
      <c r="BK458" s="44">
        <f t="shared" si="410"/>
        <v>-0.14762622143704204</v>
      </c>
      <c r="BL458">
        <f t="shared" si="406"/>
        <v>-28.891236497544028</v>
      </c>
      <c r="BM458" s="44">
        <f t="shared" si="407"/>
        <v>-78.657814520535183</v>
      </c>
    </row>
    <row r="459" spans="14:65" x14ac:dyDescent="0.35">
      <c r="N459" s="9">
        <v>41</v>
      </c>
      <c r="O459" s="35">
        <f t="shared" si="408"/>
        <v>257039.57827688678</v>
      </c>
      <c r="P459" s="34" t="str">
        <f t="shared" si="360"/>
        <v>16.3709677419355</v>
      </c>
      <c r="Q459" s="4" t="str">
        <f t="shared" si="361"/>
        <v>1+237.565306298837i</v>
      </c>
      <c r="R459" s="4">
        <f t="shared" si="372"/>
        <v>237.56741097393859</v>
      </c>
      <c r="S459" s="4">
        <f t="shared" si="373"/>
        <v>1.5665869828070045</v>
      </c>
      <c r="T459" s="4" t="str">
        <f t="shared" si="362"/>
        <v>1+0.258404368254875i</v>
      </c>
      <c r="U459" s="4">
        <f t="shared" si="374"/>
        <v>1.0328469477774531</v>
      </c>
      <c r="V459" s="4">
        <f t="shared" si="375"/>
        <v>0.25287288165973776</v>
      </c>
      <c r="W459" t="str">
        <f t="shared" si="363"/>
        <v>1-3.38166941109058i</v>
      </c>
      <c r="X459" s="4">
        <f t="shared" si="376"/>
        <v>3.5264270878476571</v>
      </c>
      <c r="Y459" s="4">
        <f t="shared" si="377"/>
        <v>-1.2832781663237769</v>
      </c>
      <c r="Z459" t="str">
        <f t="shared" si="364"/>
        <v>0.942828041275708+0.66598279895398i</v>
      </c>
      <c r="AA459" s="4">
        <f t="shared" si="378"/>
        <v>1.1543213607650018</v>
      </c>
      <c r="AB459" s="4">
        <f t="shared" si="379"/>
        <v>0.61498647934111028</v>
      </c>
      <c r="AC459" s="48" t="str">
        <f t="shared" si="380"/>
        <v>-0.216897703692364+0.0152918432971178i</v>
      </c>
      <c r="AD459" s="20">
        <f t="shared" si="381"/>
        <v>-13.253367301652389</v>
      </c>
      <c r="AE459" s="44">
        <f t="shared" si="382"/>
        <v>175.96717392194441</v>
      </c>
      <c r="AF459" t="str">
        <f t="shared" si="383"/>
        <v>45.9520231294187</v>
      </c>
      <c r="AG459" t="str">
        <f t="shared" si="365"/>
        <v>1+114.001927171268i</v>
      </c>
      <c r="AH459">
        <f t="shared" si="384"/>
        <v>114.00631297767282</v>
      </c>
      <c r="AI459">
        <f t="shared" si="385"/>
        <v>1.5620247702261092</v>
      </c>
      <c r="AJ459" t="str">
        <f t="shared" si="366"/>
        <v>1+0.258404368254875i</v>
      </c>
      <c r="AK459">
        <f t="shared" si="386"/>
        <v>1.0328469477774531</v>
      </c>
      <c r="AL459">
        <f t="shared" si="387"/>
        <v>0.25287288165973776</v>
      </c>
      <c r="AM459" t="str">
        <f t="shared" si="367"/>
        <v>1-0.578135293523665i</v>
      </c>
      <c r="AN459">
        <f t="shared" si="388"/>
        <v>1.1550932506155918</v>
      </c>
      <c r="AO459">
        <f t="shared" si="389"/>
        <v>-0.52418734371152786</v>
      </c>
      <c r="AP459" s="42" t="str">
        <f t="shared" si="390"/>
        <v>-0.124803939688212-0.46439323011908i</v>
      </c>
      <c r="AQ459">
        <f t="shared" si="391"/>
        <v>-6.359424942266358</v>
      </c>
      <c r="AR459" s="44">
        <f t="shared" si="392"/>
        <v>-105.04260042527817</v>
      </c>
      <c r="AS459" t="str">
        <f t="shared" si="368"/>
        <v>-0.000166666666666667</v>
      </c>
      <c r="AT459" t="str">
        <f t="shared" si="369"/>
        <v>0.0203816445461033i</v>
      </c>
      <c r="AU459">
        <f t="shared" si="393"/>
        <v>2.0381644546103299E-2</v>
      </c>
      <c r="AV459">
        <f t="shared" si="394"/>
        <v>1.5707963267948966</v>
      </c>
      <c r="AW459" t="str">
        <f t="shared" si="370"/>
        <v>1+3.71328305729173i</v>
      </c>
      <c r="AX459">
        <f t="shared" si="395"/>
        <v>3.8455781182508595</v>
      </c>
      <c r="AY459">
        <f t="shared" si="396"/>
        <v>1.3077338122699971</v>
      </c>
      <c r="AZ459" t="str">
        <f t="shared" si="371"/>
        <v>1+75.5832777145509i</v>
      </c>
      <c r="BA459">
        <f t="shared" si="397"/>
        <v>75.589892644949074</v>
      </c>
      <c r="BB459">
        <f t="shared" si="398"/>
        <v>1.5575666589611554</v>
      </c>
      <c r="BC459" s="42" t="str">
        <f t="shared" si="399"/>
        <v>-0.0397405490556594+0.155745199877222i</v>
      </c>
      <c r="BD459">
        <f t="shared" si="400"/>
        <v>-15.877767661037549</v>
      </c>
      <c r="BE459" s="44">
        <f t="shared" si="401"/>
        <v>104.31436769914232</v>
      </c>
      <c r="BF459" s="42" t="str">
        <f t="shared" si="402"/>
        <v>0.0062380026428455-0.0343884824631783i</v>
      </c>
      <c r="BG459" s="20">
        <f t="shared" si="403"/>
        <v>-29.131134962689931</v>
      </c>
      <c r="BH459" s="44">
        <f t="shared" si="404"/>
        <v>-79.718458378913269</v>
      </c>
      <c r="BI459" s="42" t="str">
        <f t="shared" si="409"/>
        <v>0.0772867935340438-0.000982372589541914i</v>
      </c>
      <c r="BJ459" s="20">
        <f t="shared" si="405"/>
        <v>-22.237192603303907</v>
      </c>
      <c r="BK459" s="44">
        <f t="shared" si="410"/>
        <v>-0.72823272613585144</v>
      </c>
      <c r="BL459">
        <f t="shared" si="406"/>
        <v>-29.131134962689931</v>
      </c>
      <c r="BM459" s="44">
        <f t="shared" si="407"/>
        <v>-79.718458378913269</v>
      </c>
    </row>
    <row r="460" spans="14:65" x14ac:dyDescent="0.35">
      <c r="N460" s="9">
        <v>42</v>
      </c>
      <c r="O460" s="35">
        <f t="shared" si="408"/>
        <v>263026.79918953858</v>
      </c>
      <c r="P460" s="34" t="str">
        <f t="shared" si="360"/>
        <v>16.3709677419355</v>
      </c>
      <c r="Q460" s="4" t="str">
        <f t="shared" si="361"/>
        <v>1+243.09891314463i</v>
      </c>
      <c r="R460" s="4">
        <f t="shared" si="372"/>
        <v>243.10096991188738</v>
      </c>
      <c r="S460" s="4">
        <f t="shared" si="373"/>
        <v>1.5666827980806572</v>
      </c>
      <c r="T460" s="4" t="str">
        <f t="shared" si="362"/>
        <v>1+0.264423379209949i</v>
      </c>
      <c r="U460" s="4">
        <f t="shared" si="374"/>
        <v>1.0343692394270088</v>
      </c>
      <c r="V460" s="4">
        <f t="shared" si="375"/>
        <v>0.25850686896496466</v>
      </c>
      <c r="W460" t="str">
        <f t="shared" si="363"/>
        <v>1-3.46043861057917i</v>
      </c>
      <c r="X460" s="4">
        <f t="shared" si="376"/>
        <v>3.6020321177894976</v>
      </c>
      <c r="Y460" s="4">
        <f t="shared" si="377"/>
        <v>-1.2894793804202</v>
      </c>
      <c r="Z460" t="str">
        <f t="shared" si="364"/>
        <v>0.940133609871807+0.68149553114913i</v>
      </c>
      <c r="AA460" s="4">
        <f t="shared" si="378"/>
        <v>1.1611577685167636</v>
      </c>
      <c r="AB460" s="4">
        <f t="shared" si="379"/>
        <v>0.62723753633855506</v>
      </c>
      <c r="AC460" s="48" t="str">
        <f t="shared" si="380"/>
        <v>-0.215333249030065+0.0179789050392018i</v>
      </c>
      <c r="AD460" s="20">
        <f t="shared" si="381"/>
        <v>-13.307607863757715</v>
      </c>
      <c r="AE460" s="44">
        <f t="shared" si="382"/>
        <v>175.22725054946108</v>
      </c>
      <c r="AF460" t="str">
        <f t="shared" si="383"/>
        <v>45.9520231294187</v>
      </c>
      <c r="AG460" t="str">
        <f t="shared" si="365"/>
        <v>1+116.657373180859i</v>
      </c>
      <c r="AH460">
        <f t="shared" si="384"/>
        <v>116.66165915783216</v>
      </c>
      <c r="AI460">
        <f t="shared" si="385"/>
        <v>1.5622244253358135</v>
      </c>
      <c r="AJ460" t="str">
        <f t="shared" si="366"/>
        <v>1+0.264423379209949i</v>
      </c>
      <c r="AK460">
        <f t="shared" si="386"/>
        <v>1.0343692394270088</v>
      </c>
      <c r="AL460">
        <f t="shared" si="387"/>
        <v>0.25850686896496466</v>
      </c>
      <c r="AM460" t="str">
        <f t="shared" si="367"/>
        <v>1-0.591601794452942i</v>
      </c>
      <c r="AN460">
        <f t="shared" si="388"/>
        <v>1.1618918552085393</v>
      </c>
      <c r="AO460">
        <f t="shared" si="389"/>
        <v>-0.53422146392067171</v>
      </c>
      <c r="AP460" s="42" t="str">
        <f t="shared" si="390"/>
        <v>-0.124963494655021-0.456597074737557i</v>
      </c>
      <c r="AQ460">
        <f t="shared" si="391"/>
        <v>-6.4956441538282501</v>
      </c>
      <c r="AR460" s="44">
        <f t="shared" si="392"/>
        <v>-105.30614886511353</v>
      </c>
      <c r="AS460" t="str">
        <f t="shared" si="368"/>
        <v>-0.000166666666666667</v>
      </c>
      <c r="AT460" t="str">
        <f t="shared" si="369"/>
        <v>0.0208563940351848i</v>
      </c>
      <c r="AU460">
        <f t="shared" si="393"/>
        <v>2.08563940351848E-2</v>
      </c>
      <c r="AV460">
        <f t="shared" si="394"/>
        <v>1.5707963267948966</v>
      </c>
      <c r="AW460" t="str">
        <f t="shared" si="370"/>
        <v>1+3.79977653088148i</v>
      </c>
      <c r="AX460">
        <f t="shared" si="395"/>
        <v>3.9291604299948983</v>
      </c>
      <c r="AY460">
        <f t="shared" si="396"/>
        <v>1.31345813763924</v>
      </c>
      <c r="AZ460" t="str">
        <f t="shared" si="371"/>
        <v>1+77.3438384189099i</v>
      </c>
      <c r="BA460">
        <f t="shared" si="397"/>
        <v>77.350302787839439</v>
      </c>
      <c r="BB460">
        <f t="shared" si="398"/>
        <v>1.5578677690202678</v>
      </c>
      <c r="BC460" s="42" t="str">
        <f t="shared" si="399"/>
        <v>-0.0380677856777992+0.152640233082842i</v>
      </c>
      <c r="BD460">
        <f t="shared" si="400"/>
        <v>-16.064564344899079</v>
      </c>
      <c r="BE460" s="44">
        <f t="shared" si="401"/>
        <v>104.00364035048109</v>
      </c>
      <c r="BF460" s="42" t="str">
        <f t="shared" si="402"/>
        <v>0.00545295571762263-0.0335529344261886i</v>
      </c>
      <c r="BG460" s="20">
        <f t="shared" si="403"/>
        <v>-29.372172208656799</v>
      </c>
      <c r="BH460" s="44">
        <f t="shared" si="404"/>
        <v>-80.769109100057818</v>
      </c>
      <c r="BI460" s="42" t="str">
        <f t="shared" si="409"/>
        <v>0.0744521674449607-0.0016928173687695i</v>
      </c>
      <c r="BJ460" s="20">
        <f t="shared" si="405"/>
        <v>-22.560208498727327</v>
      </c>
      <c r="BK460" s="44">
        <f t="shared" si="410"/>
        <v>-1.30250851463244</v>
      </c>
      <c r="BL460">
        <f t="shared" si="406"/>
        <v>-29.372172208656799</v>
      </c>
      <c r="BM460" s="44">
        <f t="shared" si="407"/>
        <v>-80.769109100057818</v>
      </c>
    </row>
    <row r="461" spans="14:65" x14ac:dyDescent="0.35">
      <c r="N461" s="9">
        <v>43</v>
      </c>
      <c r="O461" s="35">
        <f t="shared" si="408"/>
        <v>269153.48039269145</v>
      </c>
      <c r="P461" s="34" t="str">
        <f t="shared" si="360"/>
        <v>16.3709677419355</v>
      </c>
      <c r="Q461" s="4" t="str">
        <f t="shared" si="361"/>
        <v>1+248.761414251968i</v>
      </c>
      <c r="R461" s="4">
        <f t="shared" si="372"/>
        <v>248.76342420186941</v>
      </c>
      <c r="S461" s="4">
        <f t="shared" si="373"/>
        <v>1.5667764324053899</v>
      </c>
      <c r="T461" s="4" t="str">
        <f t="shared" si="362"/>
        <v>1+0.270582590940738i</v>
      </c>
      <c r="U461" s="4">
        <f t="shared" si="374"/>
        <v>1.0359608769254767</v>
      </c>
      <c r="V461" s="4">
        <f t="shared" si="375"/>
        <v>0.26425476062635533</v>
      </c>
      <c r="W461" t="str">
        <f t="shared" si="363"/>
        <v>1-3.54104258042343i</v>
      </c>
      <c r="X461" s="4">
        <f t="shared" si="376"/>
        <v>3.679535644123022</v>
      </c>
      <c r="Y461" s="4">
        <f t="shared" si="377"/>
        <v>-1.2955609896831439</v>
      </c>
      <c r="Z461" t="str">
        <f t="shared" si="364"/>
        <v>0.937312193828016+0.697369601295556i</v>
      </c>
      <c r="AA461" s="4">
        <f t="shared" si="378"/>
        <v>1.1682801502678248</v>
      </c>
      <c r="AB461" s="4">
        <f t="shared" si="379"/>
        <v>0.63965644334652805</v>
      </c>
      <c r="AC461" s="48" t="str">
        <f t="shared" si="380"/>
        <v>-0.21373062600512+0.0206129968621983i</v>
      </c>
      <c r="AD461" s="20">
        <f t="shared" si="381"/>
        <v>-13.362456047375309</v>
      </c>
      <c r="AE461" s="44">
        <f t="shared" si="382"/>
        <v>174.49121412999577</v>
      </c>
      <c r="AF461" t="str">
        <f t="shared" si="383"/>
        <v>45.9520231294187</v>
      </c>
      <c r="AG461" t="str">
        <f t="shared" si="365"/>
        <v>1+119.374672473855i</v>
      </c>
      <c r="AH461">
        <f t="shared" si="384"/>
        <v>119.37886089354411</v>
      </c>
      <c r="AI461">
        <f t="shared" si="385"/>
        <v>1.5624195364007381</v>
      </c>
      <c r="AJ461" t="str">
        <f t="shared" si="366"/>
        <v>1+0.270582590940738i</v>
      </c>
      <c r="AK461">
        <f t="shared" si="386"/>
        <v>1.0359608769254767</v>
      </c>
      <c r="AL461">
        <f t="shared" si="387"/>
        <v>0.26425476062635533</v>
      </c>
      <c r="AM461" t="str">
        <f t="shared" si="367"/>
        <v>1-0.605381970484416i</v>
      </c>
      <c r="AN461">
        <f t="shared" si="388"/>
        <v>1.1689684898180936</v>
      </c>
      <c r="AO461">
        <f t="shared" si="389"/>
        <v>-0.54436743697323497</v>
      </c>
      <c r="AP461" s="42" t="str">
        <f t="shared" si="390"/>
        <v>-0.125115869496922-0.449042890029487i</v>
      </c>
      <c r="AQ461">
        <f t="shared" si="391"/>
        <v>-6.6295326896008966</v>
      </c>
      <c r="AR461" s="44">
        <f t="shared" si="392"/>
        <v>-105.56931940733919</v>
      </c>
      <c r="AS461" t="str">
        <f t="shared" si="368"/>
        <v>-0.000166666666666667</v>
      </c>
      <c r="AT461" t="str">
        <f t="shared" si="369"/>
        <v>0.0213422018604507i</v>
      </c>
      <c r="AU461">
        <f t="shared" si="393"/>
        <v>2.1342201860450698E-2</v>
      </c>
      <c r="AV461">
        <f t="shared" si="394"/>
        <v>1.5707963267948966</v>
      </c>
      <c r="AW461" t="str">
        <f t="shared" si="370"/>
        <v>1+3.8882846962839i</v>
      </c>
      <c r="AX461">
        <f t="shared" si="395"/>
        <v>4.0148172909057251</v>
      </c>
      <c r="AY461">
        <f t="shared" si="396"/>
        <v>1.3190688766799816</v>
      </c>
      <c r="AZ461" t="str">
        <f t="shared" si="371"/>
        <v>1+79.1454078501656i</v>
      </c>
      <c r="BA461">
        <f t="shared" si="397"/>
        <v>79.151725083974341</v>
      </c>
      <c r="BB461">
        <f t="shared" si="398"/>
        <v>1.5581620272431345</v>
      </c>
      <c r="BC461" s="42" t="str">
        <f t="shared" si="399"/>
        <v>-0.0364607474197939+0.149579019805396i</v>
      </c>
      <c r="BD461">
        <f t="shared" si="400"/>
        <v>-16.251917498849785</v>
      </c>
      <c r="BE461" s="44">
        <f t="shared" si="401"/>
        <v>103.69902843775463</v>
      </c>
      <c r="BF461" s="42" t="str">
        <f t="shared" si="402"/>
        <v>0.00470950650474779-0.0327211828123972i</v>
      </c>
      <c r="BG461" s="20">
        <f t="shared" si="403"/>
        <v>-29.614373546225078</v>
      </c>
      <c r="BH461" s="44">
        <f t="shared" si="404"/>
        <v>-81.809757432249611</v>
      </c>
      <c r="BI461" s="42" t="str">
        <f t="shared" si="409"/>
        <v>0.0717292134571281-0.00234226972743002i</v>
      </c>
      <c r="BJ461" s="20">
        <f t="shared" si="405"/>
        <v>-22.881450188450678</v>
      </c>
      <c r="BK461" s="44">
        <f t="shared" si="410"/>
        <v>-1.8702909695845629</v>
      </c>
      <c r="BL461">
        <f t="shared" si="406"/>
        <v>-29.614373546225078</v>
      </c>
      <c r="BM461" s="44">
        <f t="shared" si="407"/>
        <v>-81.809757432249611</v>
      </c>
    </row>
    <row r="462" spans="14:65" x14ac:dyDescent="0.35">
      <c r="N462" s="9">
        <v>44</v>
      </c>
      <c r="O462" s="35">
        <f t="shared" si="408"/>
        <v>275422.87033381703</v>
      </c>
      <c r="P462" s="34" t="str">
        <f t="shared" si="360"/>
        <v>16.3709677419355</v>
      </c>
      <c r="Q462" s="4" t="str">
        <f t="shared" si="361"/>
        <v>1+254.555811953889i</v>
      </c>
      <c r="R462" s="4">
        <f t="shared" si="372"/>
        <v>254.55777615210206</v>
      </c>
      <c r="S462" s="4">
        <f t="shared" si="373"/>
        <v>1.5668679354207897</v>
      </c>
      <c r="T462" s="4" t="str">
        <f t="shared" si="362"/>
        <v>1+0.276885269142827i</v>
      </c>
      <c r="U462" s="4">
        <f t="shared" si="374"/>
        <v>1.0376249092366161</v>
      </c>
      <c r="V462" s="4">
        <f t="shared" si="375"/>
        <v>0.27011808442786617</v>
      </c>
      <c r="W462" t="str">
        <f t="shared" si="363"/>
        <v>1-3.62352405791506i</v>
      </c>
      <c r="X462" s="4">
        <f t="shared" si="376"/>
        <v>3.7589794623393762</v>
      </c>
      <c r="Y462" s="4">
        <f t="shared" si="377"/>
        <v>-1.3015244184877532</v>
      </c>
      <c r="Z462" t="str">
        <f t="shared" si="364"/>
        <v>0.934357808542634+0.713613426035367i</v>
      </c>
      <c r="AA462" s="4">
        <f t="shared" si="378"/>
        <v>1.1756992116194207</v>
      </c>
      <c r="AB462" s="4">
        <f t="shared" si="379"/>
        <v>0.65224159823495331</v>
      </c>
      <c r="AC462" s="48" t="str">
        <f t="shared" si="380"/>
        <v>-0.212090246105327+0.0231933479427444i</v>
      </c>
      <c r="AD462" s="20">
        <f t="shared" si="381"/>
        <v>-13.417958014340012</v>
      </c>
      <c r="AE462" s="44">
        <f t="shared" si="382"/>
        <v>173.75915953958977</v>
      </c>
      <c r="AF462" t="str">
        <f t="shared" si="383"/>
        <v>45.9520231294187</v>
      </c>
      <c r="AG462" t="str">
        <f t="shared" si="365"/>
        <v>1+122.155265798306i</v>
      </c>
      <c r="AH462">
        <f t="shared" si="384"/>
        <v>122.15935888115484</v>
      </c>
      <c r="AI462">
        <f t="shared" si="385"/>
        <v>1.5626102068118974</v>
      </c>
      <c r="AJ462" t="str">
        <f t="shared" si="366"/>
        <v>1+0.276885269142827i</v>
      </c>
      <c r="AK462">
        <f t="shared" si="386"/>
        <v>1.0376249092366161</v>
      </c>
      <c r="AL462">
        <f t="shared" si="387"/>
        <v>0.27011808442786617</v>
      </c>
      <c r="AM462" t="str">
        <f t="shared" si="367"/>
        <v>1-0.619483128049819i</v>
      </c>
      <c r="AN462">
        <f t="shared" si="388"/>
        <v>1.176333008096937</v>
      </c>
      <c r="AO462">
        <f t="shared" si="389"/>
        <v>-0.55462228642609324</v>
      </c>
      <c r="AP462" s="42" t="str">
        <f t="shared" si="390"/>
        <v>-0.125261387282017-0.441726678884038i</v>
      </c>
      <c r="AQ462">
        <f t="shared" si="391"/>
        <v>-6.7610287102824893</v>
      </c>
      <c r="AR462" s="44">
        <f t="shared" si="392"/>
        <v>-105.83185990262226</v>
      </c>
      <c r="AS462" t="str">
        <f t="shared" si="368"/>
        <v>-0.000166666666666667</v>
      </c>
      <c r="AT462" t="str">
        <f t="shared" si="369"/>
        <v>0.0218393256036405i</v>
      </c>
      <c r="AU462">
        <f t="shared" si="393"/>
        <v>2.1839325603640498E-2</v>
      </c>
      <c r="AV462">
        <f t="shared" si="394"/>
        <v>1.5707963267948966</v>
      </c>
      <c r="AW462" t="str">
        <f t="shared" si="370"/>
        <v>1+3.97885448169982i</v>
      </c>
      <c r="AX462">
        <f t="shared" si="395"/>
        <v>4.1025946651531076</v>
      </c>
      <c r="AY462">
        <f t="shared" si="396"/>
        <v>1.3245675906649823</v>
      </c>
      <c r="AZ462" t="str">
        <f t="shared" si="371"/>
        <v>1+80.9889412242768i</v>
      </c>
      <c r="BA462">
        <f t="shared" si="397"/>
        <v>80.995114671376086</v>
      </c>
      <c r="BB462">
        <f t="shared" si="398"/>
        <v>1.5584495894454096</v>
      </c>
      <c r="BC462" s="42" t="str">
        <f t="shared" si="399"/>
        <v>-0.0349172407254924+0.146562113033006i</v>
      </c>
      <c r="BD462">
        <f t="shared" si="400"/>
        <v>-16.439805199691733</v>
      </c>
      <c r="BE462" s="44">
        <f t="shared" si="401"/>
        <v>103.40045143420235</v>
      </c>
      <c r="BF462" s="42" t="str">
        <f t="shared" si="402"/>
        <v>0.00400634009599029-0.0318942423362339i</v>
      </c>
      <c r="BG462" s="20">
        <f t="shared" si="403"/>
        <v>-29.857763214031753</v>
      </c>
      <c r="BH462" s="44">
        <f t="shared" si="404"/>
        <v>-82.840389026207873</v>
      </c>
      <c r="BI462" s="42" t="str">
        <f t="shared" si="409"/>
        <v>0.069114177453632-0.00293469682003188i</v>
      </c>
      <c r="BJ462" s="20">
        <f t="shared" si="405"/>
        <v>-23.200833909974232</v>
      </c>
      <c r="BK462" s="44">
        <f t="shared" si="410"/>
        <v>-2.4314084684199067</v>
      </c>
      <c r="BL462">
        <f t="shared" si="406"/>
        <v>-29.857763214031753</v>
      </c>
      <c r="BM462" s="44">
        <f t="shared" si="407"/>
        <v>-82.840389026207873</v>
      </c>
    </row>
    <row r="463" spans="14:65" x14ac:dyDescent="0.35">
      <c r="N463" s="9">
        <v>45</v>
      </c>
      <c r="O463" s="35">
        <f t="shared" si="408"/>
        <v>281838.29312644573</v>
      </c>
      <c r="P463" s="34" t="str">
        <f t="shared" si="360"/>
        <v>16.3709677419355</v>
      </c>
      <c r="Q463" s="4" t="str">
        <f t="shared" si="361"/>
        <v>1+260.485178516753i</v>
      </c>
      <c r="R463" s="4">
        <f t="shared" si="372"/>
        <v>260.48709800468947</v>
      </c>
      <c r="S463" s="4">
        <f t="shared" si="373"/>
        <v>1.5669573556368339</v>
      </c>
      <c r="T463" s="4" t="str">
        <f t="shared" si="362"/>
        <v>1+0.283334755579626i</v>
      </c>
      <c r="U463" s="4">
        <f t="shared" si="374"/>
        <v>1.0393645095534898</v>
      </c>
      <c r="V463" s="4">
        <f t="shared" si="375"/>
        <v>0.27609833595104039</v>
      </c>
      <c r="W463" t="str">
        <f t="shared" si="363"/>
        <v>1-3.7079267758252i</v>
      </c>
      <c r="X463" s="4">
        <f t="shared" si="376"/>
        <v>3.8404063554370733</v>
      </c>
      <c r="Y463" s="4">
        <f t="shared" si="377"/>
        <v>-1.3073711314554282</v>
      </c>
      <c r="Z463" t="str">
        <f t="shared" si="364"/>
        <v>0.931264187368369+0.730235618059452i</v>
      </c>
      <c r="AA463" s="4">
        <f t="shared" si="378"/>
        <v>1.1834259776418374</v>
      </c>
      <c r="AB463" s="4">
        <f t="shared" si="379"/>
        <v>0.66499120616850249</v>
      </c>
      <c r="AC463" s="48" t="str">
        <f t="shared" si="380"/>
        <v>-0.210412613821405+0.0257191645655028i</v>
      </c>
      <c r="AD463" s="20">
        <f t="shared" si="381"/>
        <v>-13.474158002259383</v>
      </c>
      <c r="AE463" s="44">
        <f t="shared" si="382"/>
        <v>173.03118860920088</v>
      </c>
      <c r="AF463" t="str">
        <f t="shared" si="383"/>
        <v>45.9520231294187</v>
      </c>
      <c r="AG463" t="str">
        <f t="shared" si="365"/>
        <v>1+125.000627461599i</v>
      </c>
      <c r="AH463">
        <f t="shared" si="384"/>
        <v>125.00462737752333</v>
      </c>
      <c r="AI463">
        <f t="shared" si="385"/>
        <v>1.5627965376097808</v>
      </c>
      <c r="AJ463" t="str">
        <f t="shared" si="366"/>
        <v>1+0.283334755579626i</v>
      </c>
      <c r="AK463">
        <f t="shared" si="386"/>
        <v>1.0393645095534898</v>
      </c>
      <c r="AL463">
        <f t="shared" si="387"/>
        <v>0.27609833595104039</v>
      </c>
      <c r="AM463" t="str">
        <f t="shared" si="367"/>
        <v>1-0.63391274376954i</v>
      </c>
      <c r="AN463">
        <f t="shared" si="388"/>
        <v>1.1839955095833035</v>
      </c>
      <c r="AO463">
        <f t="shared" si="389"/>
        <v>-0.56498282175888659</v>
      </c>
      <c r="AP463" s="42" t="str">
        <f t="shared" si="390"/>
        <v>-0.125400356545928-0.434644569818712i</v>
      </c>
      <c r="AQ463">
        <f t="shared" si="391"/>
        <v>-6.8900702912810621</v>
      </c>
      <c r="AR463" s="44">
        <f t="shared" si="392"/>
        <v>-106.09350764629491</v>
      </c>
      <c r="AS463" t="str">
        <f t="shared" si="368"/>
        <v>-0.000166666666666667</v>
      </c>
      <c r="AT463" t="str">
        <f t="shared" si="369"/>
        <v>0.0223480288463429i</v>
      </c>
      <c r="AU463">
        <f t="shared" si="393"/>
        <v>2.2348028846342901E-2</v>
      </c>
      <c r="AV463">
        <f t="shared" si="394"/>
        <v>1.5707963267948966</v>
      </c>
      <c r="AW463" t="str">
        <f t="shared" si="370"/>
        <v>1+4.0715339084283i</v>
      </c>
      <c r="AX463">
        <f t="shared" si="395"/>
        <v>4.1925396083378192</v>
      </c>
      <c r="AY463">
        <f t="shared" si="396"/>
        <v>1.3299558644557172</v>
      </c>
      <c r="AZ463" t="str">
        <f t="shared" si="371"/>
        <v>1+82.8754160070404i</v>
      </c>
      <c r="BA463">
        <f t="shared" si="397"/>
        <v>82.881448939675323</v>
      </c>
      <c r="BB463">
        <f t="shared" si="398"/>
        <v>1.558730607906037</v>
      </c>
      <c r="BC463" s="42" t="str">
        <f t="shared" si="399"/>
        <v>-0.0334351126272696+0.14358997408244i</v>
      </c>
      <c r="BD463">
        <f t="shared" si="400"/>
        <v>-16.628206260759548</v>
      </c>
      <c r="BE463" s="44">
        <f t="shared" si="401"/>
        <v>103.10782725889153</v>
      </c>
      <c r="BF463" s="42" t="str">
        <f t="shared" si="402"/>
        <v>0.0033421552679343-0.0310730649291609i</v>
      </c>
      <c r="BG463" s="20">
        <f t="shared" si="403"/>
        <v>-30.102364263018924</v>
      </c>
      <c r="BH463" s="44">
        <f t="shared" si="404"/>
        <v>-83.860984131907571</v>
      </c>
      <c r="BI463" s="42" t="str">
        <f t="shared" si="409"/>
        <v>0.066603377559955-0.00347384380163875i</v>
      </c>
      <c r="BJ463" s="20">
        <f t="shared" si="405"/>
        <v>-23.518276552040614</v>
      </c>
      <c r="BK463" s="44">
        <f t="shared" si="410"/>
        <v>-2.9856803874033702</v>
      </c>
      <c r="BL463">
        <f t="shared" si="406"/>
        <v>-30.102364263018924</v>
      </c>
      <c r="BM463" s="44">
        <f t="shared" si="407"/>
        <v>-83.860984131907571</v>
      </c>
    </row>
    <row r="464" spans="14:65" x14ac:dyDescent="0.35">
      <c r="N464" s="9">
        <v>46</v>
      </c>
      <c r="O464" s="35">
        <f t="shared" si="408"/>
        <v>288403.1503126609</v>
      </c>
      <c r="P464" s="34" t="str">
        <f t="shared" si="360"/>
        <v>16.3709677419355</v>
      </c>
      <c r="Q464" s="4" t="str">
        <f t="shared" si="361"/>
        <v>1+266.552657769194i</v>
      </c>
      <c r="R464" s="4">
        <f t="shared" si="372"/>
        <v>266.55453356456172</v>
      </c>
      <c r="S464" s="4">
        <f t="shared" si="373"/>
        <v>1.5670447404595811</v>
      </c>
      <c r="T464" s="4" t="str">
        <f t="shared" si="362"/>
        <v>1+0.289934469854211i</v>
      </c>
      <c r="U464" s="4">
        <f t="shared" si="374"/>
        <v>1.0411829795043916</v>
      </c>
      <c r="V464" s="4">
        <f t="shared" si="375"/>
        <v>0.28219697433418856</v>
      </c>
      <c r="W464" t="str">
        <f t="shared" si="363"/>
        <v>1-3.7942954855921i</v>
      </c>
      <c r="X464" s="4">
        <f t="shared" si="376"/>
        <v>3.9238601188096132</v>
      </c>
      <c r="Y464" s="4">
        <f t="shared" si="377"/>
        <v>-1.3131026290309411</v>
      </c>
      <c r="Z464" t="str">
        <f t="shared" si="364"/>
        <v>0.928024768319942+0.747244990674042i</v>
      </c>
      <c r="AA464" s="4">
        <f t="shared" si="378"/>
        <v>1.1914717985343719</v>
      </c>
      <c r="AB464" s="4">
        <f t="shared" si="379"/>
        <v>0.67790327954214691</v>
      </c>
      <c r="AC464" s="48" t="str">
        <f t="shared" si="380"/>
        <v>-0.208698328752149+0.0281896369613674i</v>
      </c>
      <c r="AD464" s="20">
        <f t="shared" si="381"/>
        <v>-13.531098222350437</v>
      </c>
      <c r="AE464" s="44">
        <f t="shared" si="382"/>
        <v>172.30741013735528</v>
      </c>
      <c r="AF464" t="str">
        <f t="shared" si="383"/>
        <v>45.9520231294187</v>
      </c>
      <c r="AG464" t="str">
        <f t="shared" si="365"/>
        <v>1+127.912266112152i</v>
      </c>
      <c r="AH464">
        <f t="shared" si="384"/>
        <v>127.91617498168866</v>
      </c>
      <c r="AI464">
        <f t="shared" si="385"/>
        <v>1.5629786275376598</v>
      </c>
      <c r="AJ464" t="str">
        <f t="shared" si="366"/>
        <v>1+0.289934469854211i</v>
      </c>
      <c r="AK464">
        <f t="shared" si="386"/>
        <v>1.0411829795043916</v>
      </c>
      <c r="AL464">
        <f t="shared" si="387"/>
        <v>0.28219697433418856</v>
      </c>
      <c r="AM464" t="str">
        <f t="shared" si="367"/>
        <v>1-0.648678468416836i</v>
      </c>
      <c r="AN464">
        <f t="shared" si="388"/>
        <v>1.1919663398718994</v>
      </c>
      <c r="AO464">
        <f t="shared" si="389"/>
        <v>-0.57544563907351987</v>
      </c>
      <c r="AP464" s="42" t="str">
        <f t="shared" si="390"/>
        <v>-0.125533071945171-0.427792814963235i</v>
      </c>
      <c r="AQ464">
        <f t="shared" si="391"/>
        <v>-7.0165955233600474</v>
      </c>
      <c r="AR464" s="44">
        <f t="shared" si="392"/>
        <v>-106.3539896644683</v>
      </c>
      <c r="AS464" t="str">
        <f t="shared" si="368"/>
        <v>-0.000166666666666667</v>
      </c>
      <c r="AT464" t="str">
        <f t="shared" si="369"/>
        <v>0.0228685813097509i</v>
      </c>
      <c r="AU464">
        <f t="shared" si="393"/>
        <v>2.2868581309750901E-2</v>
      </c>
      <c r="AV464">
        <f t="shared" si="394"/>
        <v>1.5707963267948966</v>
      </c>
      <c r="AW464" t="str">
        <f t="shared" si="370"/>
        <v>1+4.16637211632815i</v>
      </c>
      <c r="AX464">
        <f t="shared" si="395"/>
        <v>4.2847002942699159</v>
      </c>
      <c r="AY464">
        <f t="shared" si="396"/>
        <v>1.3352353029257535</v>
      </c>
      <c r="AZ464" t="str">
        <f t="shared" si="371"/>
        <v>1+84.8058324323567i</v>
      </c>
      <c r="BA464">
        <f t="shared" si="397"/>
        <v>84.811728048336349</v>
      </c>
      <c r="BB464">
        <f t="shared" si="398"/>
        <v>1.559005231447083</v>
      </c>
      <c r="BC464" s="42" t="str">
        <f t="shared" si="399"/>
        <v>-0.0320122529763381+0.140662977687749i</v>
      </c>
      <c r="BD464">
        <f t="shared" si="400"/>
        <v>-16.817100217858236</v>
      </c>
      <c r="BE464" s="44">
        <f t="shared" si="401"/>
        <v>102.82107248621627</v>
      </c>
      <c r="BF464" s="42" t="str">
        <f t="shared" si="402"/>
        <v>0.0027156654208302-0.0302585421504525i</v>
      </c>
      <c r="BG464" s="20">
        <f t="shared" si="403"/>
        <v>-30.348198440208666</v>
      </c>
      <c r="BH464" s="44">
        <f t="shared" si="404"/>
        <v>-84.871517376428471</v>
      </c>
      <c r="BI464" s="42" t="str">
        <f t="shared" si="409"/>
        <v>0.0641932076421585-0.0039632438840353i</v>
      </c>
      <c r="BJ464" s="20">
        <f t="shared" si="405"/>
        <v>-23.833695741218289</v>
      </c>
      <c r="BK464" s="44">
        <f t="shared" si="410"/>
        <v>-3.5329171782520272</v>
      </c>
      <c r="BL464">
        <f t="shared" si="406"/>
        <v>-30.348198440208666</v>
      </c>
      <c r="BM464" s="44">
        <f t="shared" si="407"/>
        <v>-84.871517376428471</v>
      </c>
    </row>
    <row r="465" spans="14:65" x14ac:dyDescent="0.35">
      <c r="N465" s="9">
        <v>47</v>
      </c>
      <c r="O465" s="35">
        <f t="shared" si="408"/>
        <v>295120.92266663886</v>
      </c>
      <c r="P465" s="34" t="str">
        <f t="shared" si="360"/>
        <v>16.3709677419355</v>
      </c>
      <c r="Q465" s="4" t="str">
        <f t="shared" si="361"/>
        <v>1+272.761466769026i</v>
      </c>
      <c r="R465" s="4">
        <f t="shared" si="372"/>
        <v>272.76329986636853</v>
      </c>
      <c r="S465" s="4">
        <f t="shared" si="373"/>
        <v>1.5671301362162802</v>
      </c>
      <c r="T465" s="4" t="str">
        <f t="shared" si="362"/>
        <v>1+0.29668791122245i</v>
      </c>
      <c r="U465" s="4">
        <f t="shared" si="374"/>
        <v>1.0430837534280459</v>
      </c>
      <c r="V465" s="4">
        <f t="shared" si="375"/>
        <v>0.28841541781901298</v>
      </c>
      <c r="W465" t="str">
        <f t="shared" si="363"/>
        <v>1-3.88267598104889i</v>
      </c>
      <c r="X465" s="4">
        <f t="shared" si="376"/>
        <v>4.0093855855746732</v>
      </c>
      <c r="Y465" s="4">
        <f t="shared" si="377"/>
        <v>-1.3187204432719015</v>
      </c>
      <c r="Z465" t="str">
        <f t="shared" si="364"/>
        <v>0.924632680155233+0.764650562473644i</v>
      </c>
      <c r="AA465" s="4">
        <f t="shared" si="378"/>
        <v>1.1998483553775907</v>
      </c>
      <c r="AB465" s="4">
        <f t="shared" si="379"/>
        <v>0.6909756387440148</v>
      </c>
      <c r="AC465" s="48" t="str">
        <f t="shared" si="380"/>
        <v>-0.20694808722195+0.0306039464543886i</v>
      </c>
      <c r="AD465" s="20">
        <f t="shared" si="381"/>
        <v>-13.58881875793994</v>
      </c>
      <c r="AE465" s="44">
        <f t="shared" si="382"/>
        <v>171.58793983108762</v>
      </c>
      <c r="AF465" t="str">
        <f t="shared" si="383"/>
        <v>45.9520231294187</v>
      </c>
      <c r="AG465" t="str">
        <f t="shared" si="365"/>
        <v>1+130.891725539316i</v>
      </c>
      <c r="AH465">
        <f t="shared" si="384"/>
        <v>130.89554543474591</v>
      </c>
      <c r="AI465">
        <f t="shared" si="385"/>
        <v>1.5631565730936967</v>
      </c>
      <c r="AJ465" t="str">
        <f t="shared" si="366"/>
        <v>1+0.29668791122245i</v>
      </c>
      <c r="AK465">
        <f t="shared" si="386"/>
        <v>1.0430837534280459</v>
      </c>
      <c r="AL465">
        <f t="shared" si="387"/>
        <v>0.28841541781901298</v>
      </c>
      <c r="AM465" t="str">
        <f t="shared" si="367"/>
        <v>1-0.66378813097436i</v>
      </c>
      <c r="AN465">
        <f t="shared" si="388"/>
        <v>1.2002560905167006</v>
      </c>
      <c r="AO465">
        <f t="shared" si="389"/>
        <v>-0.58600712268436939</v>
      </c>
      <c r="AP465" s="42" t="str">
        <f t="shared" si="390"/>
        <v>-0.125659814881174-0.421167788106552i</v>
      </c>
      <c r="AQ465">
        <f t="shared" si="391"/>
        <v>-7.1405426161328167</v>
      </c>
      <c r="AR465" s="44">
        <f t="shared" si="392"/>
        <v>-106.61302306328948</v>
      </c>
      <c r="AS465" t="str">
        <f t="shared" si="368"/>
        <v>-0.000166666666666667</v>
      </c>
      <c r="AT465" t="str">
        <f t="shared" si="369"/>
        <v>0.0234012589976707i</v>
      </c>
      <c r="AU465">
        <f t="shared" si="393"/>
        <v>2.3401258997670701E-2</v>
      </c>
      <c r="AV465">
        <f t="shared" si="394"/>
        <v>1.5707963267948966</v>
      </c>
      <c r="AW465" t="str">
        <f t="shared" si="370"/>
        <v>1+4.26341938987253i</v>
      </c>
      <c r="AX465">
        <f t="shared" si="395"/>
        <v>4.3791260422533007</v>
      </c>
      <c r="AY465">
        <f t="shared" si="396"/>
        <v>1.3404075275831819</v>
      </c>
      <c r="AZ465" t="str">
        <f t="shared" si="371"/>
        <v>1+86.7812140325664i</v>
      </c>
      <c r="BA465">
        <f t="shared" si="397"/>
        <v>86.786975456954934</v>
      </c>
      <c r="BB465">
        <f t="shared" si="398"/>
        <v>1.5592736055117964</v>
      </c>
      <c r="BC465" s="42" t="str">
        <f t="shared" si="399"/>
        <v>-0.0306465963337544+0.137781416971524i</v>
      </c>
      <c r="BD465">
        <f t="shared" si="400"/>
        <v>-17.006467314494333</v>
      </c>
      <c r="BE465" s="44">
        <f t="shared" si="401"/>
        <v>102.54010254389102</v>
      </c>
      <c r="BF465" s="42" t="str">
        <f t="shared" si="402"/>
        <v>0.00212559938372739-0.0294515074901943i</v>
      </c>
      <c r="BG465" s="20">
        <f t="shared" si="403"/>
        <v>-30.59528607243427</v>
      </c>
      <c r="BH465" s="44">
        <f t="shared" si="404"/>
        <v>-85.871957625021338</v>
      </c>
      <c r="BI465" s="42" t="str">
        <f t="shared" si="409"/>
        <v>0.0618801402501209-0.00440622815982585i</v>
      </c>
      <c r="BJ465" s="20">
        <f t="shared" si="405"/>
        <v>-24.147009930627156</v>
      </c>
      <c r="BK465" s="44">
        <f t="shared" si="410"/>
        <v>-4.0729205193984619</v>
      </c>
      <c r="BL465">
        <f t="shared" si="406"/>
        <v>-30.59528607243427</v>
      </c>
      <c r="BM465" s="44">
        <f t="shared" si="407"/>
        <v>-85.871957625021338</v>
      </c>
    </row>
    <row r="466" spans="14:65" x14ac:dyDescent="0.35">
      <c r="N466" s="9">
        <v>48</v>
      </c>
      <c r="O466" s="35">
        <f t="shared" si="408"/>
        <v>301995.17204020242</v>
      </c>
      <c r="P466" s="34" t="str">
        <f t="shared" si="360"/>
        <v>16.3709677419355</v>
      </c>
      <c r="Q466" s="4" t="str">
        <f t="shared" si="361"/>
        <v>1+279.114897508964i</v>
      </c>
      <c r="R466" s="4">
        <f t="shared" si="372"/>
        <v>279.11668888018772</v>
      </c>
      <c r="S466" s="4">
        <f t="shared" si="373"/>
        <v>1.5672135881799065</v>
      </c>
      <c r="T466" s="4" t="str">
        <f t="shared" si="362"/>
        <v>1+0.303598660448347i</v>
      </c>
      <c r="U466" s="4">
        <f t="shared" si="374"/>
        <v>1.045070402712674</v>
      </c>
      <c r="V466" s="4">
        <f t="shared" si="375"/>
        <v>0.29475503908371142</v>
      </c>
      <c r="W466" t="str">
        <f t="shared" si="363"/>
        <v>1-3.97311512270413i</v>
      </c>
      <c r="X466" s="4">
        <f t="shared" si="376"/>
        <v>4.0970286523601773</v>
      </c>
      <c r="Y466" s="4">
        <f t="shared" si="377"/>
        <v>-1.3242261338485026</v>
      </c>
      <c r="Z466" t="str">
        <f t="shared" si="364"/>
        <v>0.921080727800462+0.782461562122817i</v>
      </c>
      <c r="AA466" s="4">
        <f t="shared" si="378"/>
        <v>1.208567666010103</v>
      </c>
      <c r="AB466" s="4">
        <f t="shared" si="379"/>
        <v>0.70420591378265041</v>
      </c>
      <c r="AC466" s="48" t="str">
        <f t="shared" si="380"/>
        <v>-0.205162683367571+0.032961272879072i</v>
      </c>
      <c r="AD466" s="20">
        <f t="shared" si="381"/>
        <v>-13.647357464203909</v>
      </c>
      <c r="AE466" s="44">
        <f t="shared" si="382"/>
        <v>170.8729001731032</v>
      </c>
      <c r="AF466" t="str">
        <f t="shared" si="383"/>
        <v>45.9520231294187</v>
      </c>
      <c r="AG466" t="str">
        <f t="shared" si="365"/>
        <v>1+133.940585491918i</v>
      </c>
      <c r="AH466">
        <f t="shared" si="384"/>
        <v>133.94431843836378</v>
      </c>
      <c r="AI466">
        <f t="shared" si="385"/>
        <v>1.5633304685818781</v>
      </c>
      <c r="AJ466" t="str">
        <f t="shared" si="366"/>
        <v>1+0.303598660448347i</v>
      </c>
      <c r="AK466">
        <f t="shared" si="386"/>
        <v>1.045070402712674</v>
      </c>
      <c r="AL466">
        <f t="shared" si="387"/>
        <v>0.29475503908371142</v>
      </c>
      <c r="AM466" t="str">
        <f t="shared" si="367"/>
        <v>1-0.679249742785202i</v>
      </c>
      <c r="AN466">
        <f t="shared" si="388"/>
        <v>1.2088755986757955</v>
      </c>
      <c r="AO466">
        <f t="shared" si="389"/>
        <v>-0.59666344763314039</v>
      </c>
      <c r="AP466" s="42" t="str">
        <f t="shared" si="390"/>
        <v>-0.125780854096273-0.414765982806001i</v>
      </c>
      <c r="AQ466">
        <f t="shared" si="391"/>
        <v>-7.2618500039551224</v>
      </c>
      <c r="AR466" s="44">
        <f t="shared" si="392"/>
        <v>-106.87031544334459</v>
      </c>
      <c r="AS466" t="str">
        <f t="shared" si="368"/>
        <v>-0.000166666666666667</v>
      </c>
      <c r="AT466" t="str">
        <f t="shared" si="369"/>
        <v>0.0239463443428634i</v>
      </c>
      <c r="AU466">
        <f t="shared" si="393"/>
        <v>2.3946344342863399E-2</v>
      </c>
      <c r="AV466">
        <f t="shared" si="394"/>
        <v>1.5707963267948966</v>
      </c>
      <c r="AW466" t="str">
        <f t="shared" si="370"/>
        <v>1+4.36272718481044i</v>
      </c>
      <c r="AX466">
        <f t="shared" si="395"/>
        <v>4.475867344893504</v>
      </c>
      <c r="AY466">
        <f t="shared" si="396"/>
        <v>1.3454741733872</v>
      </c>
      <c r="AZ466" t="str">
        <f t="shared" si="371"/>
        <v>1+88.8026081811414i</v>
      </c>
      <c r="BA466">
        <f t="shared" si="397"/>
        <v>88.80823846791084</v>
      </c>
      <c r="BB466">
        <f t="shared" si="398"/>
        <v>1.5595358722409336</v>
      </c>
      <c r="BC466" s="42" t="str">
        <f t="shared" si="399"/>
        <v>-0.0293361235459606+0.134945508286208i</v>
      </c>
      <c r="BD466">
        <f t="shared" si="400"/>
        <v>-17.19628848651174</v>
      </c>
      <c r="BE466" s="44">
        <f t="shared" si="401"/>
        <v>102.26483189971931</v>
      </c>
      <c r="BF466" s="42" t="str">
        <f t="shared" si="402"/>
        <v>0.00157070210386509-0.0286527385618118i</v>
      </c>
      <c r="BG466" s="20">
        <f t="shared" si="403"/>
        <v>-30.843645950715654</v>
      </c>
      <c r="BH466" s="44">
        <f t="shared" si="404"/>
        <v>-86.862267927177456</v>
      </c>
      <c r="BI466" s="42" t="str">
        <f t="shared" si="409"/>
        <v>0.0596607290450691-0.00480593517443631i</v>
      </c>
      <c r="BJ466" s="20">
        <f t="shared" si="405"/>
        <v>-24.458138490466869</v>
      </c>
      <c r="BK466" s="44">
        <f t="shared" si="410"/>
        <v>-4.6054835436252928</v>
      </c>
      <c r="BL466">
        <f t="shared" si="406"/>
        <v>-30.843645950715654</v>
      </c>
      <c r="BM466" s="44">
        <f t="shared" si="407"/>
        <v>-86.862267927177456</v>
      </c>
    </row>
    <row r="467" spans="14:65" x14ac:dyDescent="0.35">
      <c r="N467" s="9">
        <v>49</v>
      </c>
      <c r="O467" s="35">
        <f t="shared" si="408"/>
        <v>309029.54325135931</v>
      </c>
      <c r="P467" s="34" t="str">
        <f t="shared" ref="P467:P530" si="411">COMPLEX(Adc,0)</f>
        <v>16.3709677419355</v>
      </c>
      <c r="Q467" s="4" t="str">
        <f t="shared" ref="Q467:Q530" si="412">IMSUM(COMPLEX(1,0),IMDIV(COMPLEX(0,2*PI()*O467),COMPLEX(wp_lf,0)))</f>
        <v>1+285.616318662084i</v>
      </c>
      <c r="R467" s="4">
        <f t="shared" si="372"/>
        <v>285.61806925697311</v>
      </c>
      <c r="S467" s="4">
        <f t="shared" si="373"/>
        <v>1.5672951405931441</v>
      </c>
      <c r="T467" s="4" t="str">
        <f t="shared" ref="T467:T530" si="413">IMSUM(COMPLEX(1,0),IMDIV(COMPLEX(0,2*PI()*O467),COMPLEX(wz_esr,0)))</f>
        <v>1+0.310670381702618i</v>
      </c>
      <c r="U467" s="4">
        <f t="shared" si="374"/>
        <v>1.0471466401928864</v>
      </c>
      <c r="V467" s="4">
        <f t="shared" si="375"/>
        <v>0.30121716036277285</v>
      </c>
      <c r="W467" t="str">
        <f t="shared" ref="W467:W530" si="414">IMSUB(COMPLEX(1,0),IMDIV(COMPLEX(0,2*PI()*O467),COMPLEX(wz_rhp,0)))</f>
        <v>1-4.06566086258782i</v>
      </c>
      <c r="X467" s="4">
        <f t="shared" si="376"/>
        <v>4.1868363055627498</v>
      </c>
      <c r="Y467" s="4">
        <f t="shared" si="377"/>
        <v>-1.3296212842506046</v>
      </c>
      <c r="Z467" t="str">
        <f t="shared" ref="Z467:Z530" si="415">IMSUM(COMPLEX(1,0),IMDIV(COMPLEX(0,2*PI()*O467),COMPLEX(Q*(wsl/2),0)),IMDIV(IMPOWER(COMPLEX(0,2*PI()*O467),2),IMPOWER(COMPLEX(wsl/2,0),2)))</f>
        <v>0.917361377088464+0.80068743324933i</v>
      </c>
      <c r="AA467" s="4">
        <f t="shared" si="378"/>
        <v>1.2176420910666004</v>
      </c>
      <c r="AB467" s="4">
        <f t="shared" si="379"/>
        <v>0.71759154681041171</v>
      </c>
      <c r="AC467" s="48" t="str">
        <f t="shared" si="380"/>
        <v>-0.20334300965409+0.035260802223802i</v>
      </c>
      <c r="AD467" s="20">
        <f t="shared" si="381"/>
        <v>-13.706749869786689</v>
      </c>
      <c r="AE467" s="44">
        <f t="shared" si="382"/>
        <v>170.16242021352704</v>
      </c>
      <c r="AF467" t="str">
        <f t="shared" si="383"/>
        <v>45.9520231294187</v>
      </c>
      <c r="AG467" t="str">
        <f t="shared" ref="AG467:AG530" si="416">IMSUM(COMPLEX(1,0),IMDIV(COMPLEX(0,2*PI()*O467),COMPLEX(wp_lf_DCM,0)))</f>
        <v>1+137.06046251586i</v>
      </c>
      <c r="AH467">
        <f t="shared" si="384"/>
        <v>137.06411049235851</v>
      </c>
      <c r="AI467">
        <f t="shared" si="385"/>
        <v>1.5635004061618012</v>
      </c>
      <c r="AJ467" t="str">
        <f t="shared" ref="AJ467:AJ530" si="417">IMSUM(COMPLEX(1,0),IMDIV(COMPLEX(0,2*PI()*O467),COMPLEX(wz1_dcm,0)))</f>
        <v>1+0.310670381702618i</v>
      </c>
      <c r="AK467">
        <f t="shared" si="386"/>
        <v>1.0471466401928864</v>
      </c>
      <c r="AL467">
        <f t="shared" si="387"/>
        <v>0.30121716036277285</v>
      </c>
      <c r="AM467" t="str">
        <f t="shared" ref="AM467:AM530" si="418">IMSUB(COMPLEX(1,0),IMDIV(COMPLEX(0,2*PI()*O467),COMPLEX(wz2_dcm,0)))</f>
        <v>1-0.695071501800602i</v>
      </c>
      <c r="AN467">
        <f t="shared" si="388"/>
        <v>1.217835946511411</v>
      </c>
      <c r="AO467">
        <f t="shared" si="389"/>
        <v>-0.60741058315626939</v>
      </c>
      <c r="AP467" s="42" t="str">
        <f t="shared" si="390"/>
        <v>-0.12589644624293-0.408584010557924i</v>
      </c>
      <c r="AQ467">
        <f t="shared" si="391"/>
        <v>-7.3804564537271364</v>
      </c>
      <c r="AR467" s="44">
        <f t="shared" si="392"/>
        <v>-107.12556538079338</v>
      </c>
      <c r="AS467" t="str">
        <f t="shared" ref="AS467:AS530" si="419">COMPLEX(Adc_ea,0)</f>
        <v>-0.000166666666666667</v>
      </c>
      <c r="AT467" t="str">
        <f t="shared" ref="AT467:AT530" si="420">COMPLEX(0,2*PI()*O467*wp0_ea)</f>
        <v>0.024504126356794i</v>
      </c>
      <c r="AU467">
        <f t="shared" si="393"/>
        <v>2.4504126356794002E-2</v>
      </c>
      <c r="AV467">
        <f t="shared" si="394"/>
        <v>1.5707963267948966</v>
      </c>
      <c r="AW467" t="str">
        <f t="shared" ref="AW467:AW530" si="421">IMSUM(COMPLEX(1,0),IMDIV(COMPLEX(0,2*PI()*O467),COMPLEX(wp1_ea,0)))</f>
        <v>1+4.46434815544927i</v>
      </c>
      <c r="AX467">
        <f t="shared" si="395"/>
        <v>4.5749758964461549</v>
      </c>
      <c r="AY467">
        <f t="shared" si="396"/>
        <v>1.3504368857535078</v>
      </c>
      <c r="AZ467" t="str">
        <f t="shared" ref="AZ467:AZ530" si="422">IMSUM(COMPLEX(1,0),IMDIV(COMPLEX(0,2*PI()*O467),COMPLEX(wz_ea,0)))</f>
        <v>1+90.8710866480155i</v>
      </c>
      <c r="BA467">
        <f t="shared" si="397"/>
        <v>90.876588781661141</v>
      </c>
      <c r="BB467">
        <f t="shared" si="398"/>
        <v>1.5597921705473852</v>
      </c>
      <c r="BC467" s="42" t="str">
        <f t="shared" si="399"/>
        <v>-0.0280788630280856+0.132155395915085i</v>
      </c>
      <c r="BD467">
        <f t="shared" si="400"/>
        <v>-17.386545346236336</v>
      </c>
      <c r="BE467" s="44">
        <f t="shared" si="401"/>
        <v>101.99517423744857</v>
      </c>
      <c r="BF467" s="42" t="str">
        <f t="shared" si="402"/>
        <v>0.00104973523762582-0.0278629591833038i</v>
      </c>
      <c r="BG467" s="20">
        <f t="shared" si="403"/>
        <v>-31.093295216023016</v>
      </c>
      <c r="BH467" s="44">
        <f t="shared" si="404"/>
        <v>-87.842405549024392</v>
      </c>
      <c r="BI467" s="42" t="str">
        <f t="shared" si="409"/>
        <v>0.0575316107496337-0.0051653202296148i</v>
      </c>
      <c r="BJ467" s="20">
        <f t="shared" si="405"/>
        <v>-24.767001799963474</v>
      </c>
      <c r="BK467" s="44">
        <f t="shared" si="410"/>
        <v>-5.1303911433448155</v>
      </c>
      <c r="BL467">
        <f t="shared" si="406"/>
        <v>-31.093295216023016</v>
      </c>
      <c r="BM467" s="44">
        <f t="shared" si="407"/>
        <v>-87.842405549024392</v>
      </c>
    </row>
    <row r="468" spans="14:65" x14ac:dyDescent="0.35">
      <c r="N468" s="9">
        <v>50</v>
      </c>
      <c r="O468" s="35">
        <f t="shared" si="408"/>
        <v>316227.7660168382</v>
      </c>
      <c r="P468" s="34" t="str">
        <f t="shared" si="411"/>
        <v>16.3709677419355</v>
      </c>
      <c r="Q468" s="4" t="str">
        <f t="shared" si="412"/>
        <v>1+292.269177367937i</v>
      </c>
      <c r="R468" s="4">
        <f t="shared" ref="R468:R531" si="423">IMABS(Q468)</f>
        <v>292.27088811465745</v>
      </c>
      <c r="S468" s="4">
        <f t="shared" ref="S468:S531" si="424">IMARGUMENT(Q468)</f>
        <v>1.5673748366918199</v>
      </c>
      <c r="T468" s="4" t="str">
        <f t="shared" si="413"/>
        <v>1+0.317906824505475i</v>
      </c>
      <c r="U468" s="4">
        <f t="shared" ref="U468:U531" si="425">IMABS(T468)</f>
        <v>1.0493163245976662</v>
      </c>
      <c r="V468" s="4">
        <f t="shared" ref="V468:V531" si="426">IMARGUMENT(T468)</f>
        <v>0.3078030483548862</v>
      </c>
      <c r="W468" t="str">
        <f t="shared" si="414"/>
        <v>1-4.16036226967624i</v>
      </c>
      <c r="X468" s="4">
        <f t="shared" ref="X468:X531" si="427">IMABS(W468)</f>
        <v>4.278856648094866</v>
      </c>
      <c r="Y468" s="4">
        <f t="shared" ref="Y468:Y531" si="428">IMARGUMENT(W468)</f>
        <v>-1.3349074981984848</v>
      </c>
      <c r="Z468" t="str">
        <f t="shared" si="415"/>
        <v>0.913466738777718+0.819337839451303i</v>
      </c>
      <c r="AA468" s="4">
        <f t="shared" ref="AA468:AA531" si="429">IMABS(Z468)</f>
        <v>1.2270843402186864</v>
      </c>
      <c r="AB468" s="4">
        <f t="shared" ref="AB468:AB531" si="430">IMARGUMENT(Z468)</f>
        <v>0.73112979556860169</v>
      </c>
      <c r="AC468" s="48" t="str">
        <f t="shared" ref="AC468:AC531" si="431">(IMDIV(IMPRODUCT(P468,T468,W468),IMPRODUCT(Q468,Z468)))</f>
        <v>-0.201490056783838+0.0375017344505323i</v>
      </c>
      <c r="AD468" s="20">
        <f t="shared" ref="AD468:AD531" si="432">20*LOG(IMABS(AC468))</f>
        <v>-13.7670290809964</v>
      </c>
      <c r="AE468" s="44">
        <f t="shared" ref="AE468:AE531" si="433">(180/PI())*IMARGUMENT(AC468)</f>
        <v>169.45663528506407</v>
      </c>
      <c r="AF468" t="str">
        <f t="shared" ref="AF468:AF531" si="434">COMPLEX($B$68,0)</f>
        <v>45.9520231294187</v>
      </c>
      <c r="AG468" t="str">
        <f t="shared" si="416"/>
        <v>1+140.253010811239i</v>
      </c>
      <c r="AH468">
        <f t="shared" ref="AH468:AH531" si="435">IMABS(AG468)</f>
        <v>140.25657575178968</v>
      </c>
      <c r="AI468">
        <f t="shared" ref="AI468:AI531" si="436">IMARGUMENT(AG468)</f>
        <v>1.5636664758973369</v>
      </c>
      <c r="AJ468" t="str">
        <f t="shared" si="417"/>
        <v>1+0.317906824505475i</v>
      </c>
      <c r="AK468">
        <f t="shared" ref="AK468:AK531" si="437">IMABS(AJ468)</f>
        <v>1.0493163245976662</v>
      </c>
      <c r="AL468">
        <f t="shared" ref="AL468:AL531" si="438">IMARGUMENT(AJ468)</f>
        <v>0.3078030483548862</v>
      </c>
      <c r="AM468" t="str">
        <f t="shared" si="418"/>
        <v>1-0.711261796926614i</v>
      </c>
      <c r="AN468">
        <f t="shared" ref="AN468:AN531" si="439">IMABS(AM468)</f>
        <v>1.227148460361368</v>
      </c>
      <c r="AO468">
        <f t="shared" ref="AO468:AO531" si="440">IMARGUMENT(AM468)</f>
        <v>-0.61824429712612516</v>
      </c>
      <c r="AP468" s="42" t="str">
        <f t="shared" ref="AP468:AP531" si="441">(IMDIV(IMPRODUCT(AF468,AJ468,AM468),IMPRODUCT(AG468)))</f>
        <v>-0.126006836427379-0.402618599028769i</v>
      </c>
      <c r="AQ468">
        <f t="shared" ref="AQ468:AQ531" si="442">20*LOG(IMABS(AP468))</f>
        <v>-7.49630117409089</v>
      </c>
      <c r="AR468" s="44">
        <f t="shared" ref="AR468:AR531" si="443">(180/PI())*IMARGUMENT(AP468)</f>
        <v>-107.37846297637508</v>
      </c>
      <c r="AS468" t="str">
        <f t="shared" si="419"/>
        <v>-0.000166666666666667</v>
      </c>
      <c r="AT468" t="str">
        <f t="shared" si="420"/>
        <v>0.0250749007828694i</v>
      </c>
      <c r="AU468">
        <f t="shared" ref="AU468:AU531" si="444">IMABS(AT468)</f>
        <v>2.5074900782869398E-2</v>
      </c>
      <c r="AV468">
        <f t="shared" ref="AV468:AV531" si="445">IMARGUMENT(AT468)</f>
        <v>1.5707963267948966</v>
      </c>
      <c r="AW468" t="str">
        <f t="shared" si="421"/>
        <v>1+4.56833618257274i</v>
      </c>
      <c r="AX468">
        <f t="shared" ref="AX468:AX531" si="446">IMABS(AW468)</f>
        <v>4.6765046217237165</v>
      </c>
      <c r="AY468">
        <f t="shared" ref="AY468:AY531" si="447">IMARGUMENT(AW468)</f>
        <v>1.3552973177428016</v>
      </c>
      <c r="AZ468" t="str">
        <f t="shared" si="422"/>
        <v>1+92.9877461678514i</v>
      </c>
      <c r="BA468">
        <f t="shared" ref="BA468:BA531" si="448">IMABS(AZ468)</f>
        <v>92.993123064970575</v>
      </c>
      <c r="BB468">
        <f t="shared" ref="BB468:BB531" si="449">IMARGUMENT(AZ468)</f>
        <v>1.5600426361891411</v>
      </c>
      <c r="BC468" s="42" t="str">
        <f t="shared" ref="BC468:BC531" si="450">IMPRODUCT(AS468,IMDIV(AZ468,IMPRODUCT(AT468,AW468)))</f>
        <v>-0.0268728917774819+0.129411156624607i</v>
      </c>
      <c r="BD468">
        <f t="shared" ref="BD468:BD531" si="451">20*LOG(IMABS(BC468))</f>
        <v>-17.577220166224411</v>
      </c>
      <c r="BE468" s="44">
        <f t="shared" ref="BE468:BE531" si="452">(180/PI())*IMARGUMENT(BC468)</f>
        <v>101.73104262203726</v>
      </c>
      <c r="BF468" s="42" t="str">
        <f t="shared" ref="BF468:BF531" si="453">IMPRODUCT(AC468,BC468)</f>
        <v>0.000561477659518505-0.0270828413481112i</v>
      </c>
      <c r="BG468" s="20">
        <f t="shared" ref="BG468:BG531" si="454">20*LOG(IMABS(BF468))</f>
        <v>-31.344249247220823</v>
      </c>
      <c r="BH468" s="44">
        <f t="shared" ref="BH468:BH531" si="455">(180/PI())*IMARGUMENT(BF468)</f>
        <v>-88.812322092898668</v>
      </c>
      <c r="BI468" s="42" t="str">
        <f t="shared" si="409"/>
        <v>0.0554895066574277-0.00548716440537329i</v>
      </c>
      <c r="BJ468" s="20">
        <f t="shared" ref="BJ468:BJ531" si="456">20*LOG(IMABS(BI468))</f>
        <v>-25.073521340315299</v>
      </c>
      <c r="BK468" s="44">
        <f t="shared" si="410"/>
        <v>-5.6474203543377994</v>
      </c>
      <c r="BL468">
        <f t="shared" ref="BL468:BL531" si="457">IF($B$31=0,BJ468,BG468)</f>
        <v>-31.344249247220823</v>
      </c>
      <c r="BM468" s="44">
        <f t="shared" ref="BM468:BM531" si="458">IF($B$31=0,BK468,BH468)</f>
        <v>-88.812322092898668</v>
      </c>
    </row>
    <row r="469" spans="14:65" x14ac:dyDescent="0.35">
      <c r="N469" s="9">
        <v>51</v>
      </c>
      <c r="O469" s="35">
        <f t="shared" si="408"/>
        <v>323593.65692962846</v>
      </c>
      <c r="P469" s="34" t="str">
        <f t="shared" si="411"/>
        <v>16.3709677419355</v>
      </c>
      <c r="Q469" s="4" t="str">
        <f t="shared" si="412"/>
        <v>1+299.07700106027i</v>
      </c>
      <c r="R469" s="4">
        <f t="shared" si="423"/>
        <v>299.07867286586099</v>
      </c>
      <c r="S469" s="4">
        <f t="shared" si="424"/>
        <v>1.5674527187278087</v>
      </c>
      <c r="T469" s="4" t="str">
        <f t="shared" si="413"/>
        <v>1+0.32531182571468i</v>
      </c>
      <c r="U469" s="4">
        <f t="shared" si="425"/>
        <v>1.0515834650420375</v>
      </c>
      <c r="V469" s="4">
        <f t="shared" si="426"/>
        <v>0.31451390892184183</v>
      </c>
      <c r="W469" t="str">
        <f t="shared" si="414"/>
        <v>1-4.25726955590895i</v>
      </c>
      <c r="X469" s="4">
        <f t="shared" si="427"/>
        <v>4.3731389266371572</v>
      </c>
      <c r="Y469" s="4">
        <f t="shared" si="428"/>
        <v>-1.3400863962529284</v>
      </c>
      <c r="Z469" t="str">
        <f t="shared" si="415"/>
        <v>0.909388551818203+0.838422669420971i</v>
      </c>
      <c r="AA469" s="4">
        <f t="shared" si="429"/>
        <v>1.2369074786648333</v>
      </c>
      <c r="AB469" s="4">
        <f t="shared" si="430"/>
        <v>0.74481773777311711</v>
      </c>
      <c r="AC469" s="48" t="str">
        <f t="shared" si="431"/>
        <v>-0.199604912966805+0.0396832914355555i</v>
      </c>
      <c r="AD469" s="20">
        <f t="shared" si="432"/>
        <v>-13.828225689329187</v>
      </c>
      <c r="AE469" s="44">
        <f t="shared" si="433"/>
        <v>168.75568664090343</v>
      </c>
      <c r="AF469" t="str">
        <f t="shared" si="434"/>
        <v>45.9520231294187</v>
      </c>
      <c r="AG469" t="str">
        <f t="shared" si="416"/>
        <v>1+143.519923109417i</v>
      </c>
      <c r="AH469">
        <f t="shared" si="435"/>
        <v>143.52340690400629</v>
      </c>
      <c r="AI469">
        <f t="shared" si="436"/>
        <v>1.5638287658041956</v>
      </c>
      <c r="AJ469" t="str">
        <f t="shared" si="417"/>
        <v>1+0.32531182571468i</v>
      </c>
      <c r="AK469">
        <f t="shared" si="437"/>
        <v>1.0515834650420375</v>
      </c>
      <c r="AL469">
        <f t="shared" si="438"/>
        <v>0.31451390892184183</v>
      </c>
      <c r="AM469" t="str">
        <f t="shared" si="418"/>
        <v>1-0.727829212472021i</v>
      </c>
      <c r="AN469">
        <f t="shared" si="439"/>
        <v>1.2368247097012746</v>
      </c>
      <c r="AO469">
        <f t="shared" si="440"/>
        <v>-0.62916016147990328</v>
      </c>
      <c r="AP469" s="42" t="str">
        <f t="shared" si="441"/>
        <v>-0.126112258728857-0.396866590345998i</v>
      </c>
      <c r="AQ469">
        <f t="shared" si="442"/>
        <v>-7.6093239254796909</v>
      </c>
      <c r="AR469" s="44">
        <f t="shared" si="443"/>
        <v>-107.62869047291707</v>
      </c>
      <c r="AS469" t="str">
        <f t="shared" si="419"/>
        <v>-0.000166666666666667</v>
      </c>
      <c r="AT469" t="str">
        <f t="shared" si="420"/>
        <v>0.0256589702532454i</v>
      </c>
      <c r="AU469">
        <f t="shared" si="444"/>
        <v>2.56589702532454E-2</v>
      </c>
      <c r="AV469">
        <f t="shared" si="445"/>
        <v>1.5707963267948966</v>
      </c>
      <c r="AW469" t="str">
        <f t="shared" si="421"/>
        <v>1+4.67474640200929i</v>
      </c>
      <c r="AX469">
        <f t="shared" si="446"/>
        <v>4.7805077055788541</v>
      </c>
      <c r="AY469">
        <f t="shared" si="447"/>
        <v>1.3600571274263715</v>
      </c>
      <c r="AZ469" t="str">
        <f t="shared" si="422"/>
        <v>1+95.1537090215437i</v>
      </c>
      <c r="BA469">
        <f t="shared" si="448"/>
        <v>95.158963532378849</v>
      </c>
      <c r="BB469">
        <f t="shared" si="449"/>
        <v>1.5602874018406279</v>
      </c>
      <c r="BC469" s="42" t="str">
        <f t="shared" si="450"/>
        <v>-0.0257163361391606+0.126712804061521i</v>
      </c>
      <c r="BD469">
        <f t="shared" si="451"/>
        <v>-17.768295862704136</v>
      </c>
      <c r="BE469" s="44">
        <f t="shared" si="452"/>
        <v>101.47234965468324</v>
      </c>
      <c r="BF469" s="42" t="str">
        <f t="shared" si="453"/>
        <v>0.000104725904692475-0.0263130070881447i</v>
      </c>
      <c r="BG469" s="20">
        <f t="shared" si="454"/>
        <v>-31.59652155203333</v>
      </c>
      <c r="BH469" s="44">
        <f t="shared" si="455"/>
        <v>-89.771963704413338</v>
      </c>
      <c r="BI469" s="42" t="str">
        <f t="shared" si="409"/>
        <v>0.0535312237378164-0.00577408329032526i</v>
      </c>
      <c r="BJ469" s="20">
        <f t="shared" si="456"/>
        <v>-25.377619788183829</v>
      </c>
      <c r="BK469" s="44">
        <f t="shared" si="410"/>
        <v>-6.1563408182338391</v>
      </c>
      <c r="BL469">
        <f t="shared" si="457"/>
        <v>-31.59652155203333</v>
      </c>
      <c r="BM469" s="44">
        <f t="shared" si="458"/>
        <v>-89.771963704413338</v>
      </c>
    </row>
    <row r="470" spans="14:65" x14ac:dyDescent="0.35">
      <c r="N470" s="9">
        <v>52</v>
      </c>
      <c r="O470" s="35">
        <f t="shared" si="408"/>
        <v>331131.12148259126</v>
      </c>
      <c r="P470" s="34" t="str">
        <f t="shared" si="411"/>
        <v>16.3709677419355</v>
      </c>
      <c r="Q470" s="4" t="str">
        <f t="shared" si="412"/>
        <v>1+306.043399337319i</v>
      </c>
      <c r="R470" s="4">
        <f t="shared" si="423"/>
        <v>306.04503308817431</v>
      </c>
      <c r="S470" s="4">
        <f t="shared" si="424"/>
        <v>1.5675288279914155</v>
      </c>
      <c r="T470" s="4" t="str">
        <f t="shared" si="413"/>
        <v>1+0.332889311559891i</v>
      </c>
      <c r="U470" s="4">
        <f t="shared" si="425"/>
        <v>1.0539522255542793</v>
      </c>
      <c r="V470" s="4">
        <f t="shared" si="426"/>
        <v>0.32135088158279279</v>
      </c>
      <c r="W470" t="str">
        <f t="shared" si="414"/>
        <v>1-4.35643410281184i</v>
      </c>
      <c r="X470" s="4">
        <f t="shared" si="427"/>
        <v>4.4697335594129095</v>
      </c>
      <c r="Y470" s="4">
        <f t="shared" si="428"/>
        <v>-1.3451596126197936</v>
      </c>
      <c r="Z470" t="str">
        <f t="shared" si="415"/>
        <v>0.905118165828604+0.857952042187806i</v>
      </c>
      <c r="AA470" s="4">
        <f t="shared" si="429"/>
        <v>1.2471249339208816</v>
      </c>
      <c r="AB470" s="4">
        <f t="shared" si="430"/>
        <v>0.75865227645191591</v>
      </c>
      <c r="AC470" s="48" t="str">
        <f t="shared" si="431"/>
        <v>-0.197688762526519+0.0418047249712971i</v>
      </c>
      <c r="AD470" s="20">
        <f t="shared" si="432"/>
        <v>-13.890367683119598</v>
      </c>
      <c r="AE470" s="44">
        <f t="shared" si="433"/>
        <v>168.05972101525199</v>
      </c>
      <c r="AF470" t="str">
        <f t="shared" si="434"/>
        <v>45.9520231294187</v>
      </c>
      <c r="AG470" t="str">
        <f t="shared" si="416"/>
        <v>1+146.86293157054i</v>
      </c>
      <c r="AH470">
        <f t="shared" si="435"/>
        <v>146.86633606614254</v>
      </c>
      <c r="AI470">
        <f t="shared" si="436"/>
        <v>1.5639873618964195</v>
      </c>
      <c r="AJ470" t="str">
        <f t="shared" si="417"/>
        <v>1+0.332889311559891i</v>
      </c>
      <c r="AK470">
        <f t="shared" si="437"/>
        <v>1.0539522255542793</v>
      </c>
      <c r="AL470">
        <f t="shared" si="438"/>
        <v>0.32135088158279279</v>
      </c>
      <c r="AM470" t="str">
        <f t="shared" si="418"/>
        <v>1-0.744782532699841i</v>
      </c>
      <c r="AN470">
        <f t="shared" si="439"/>
        <v>1.2468765059198081</v>
      </c>
      <c r="AO470">
        <f t="shared" si="440"/>
        <v>-0.6401535586421857</v>
      </c>
      <c r="AP470" s="42" t="str">
        <f t="shared" si="441"/>
        <v>-0.126212936695484-0.391324939447881i</v>
      </c>
      <c r="AQ470">
        <f t="shared" si="442"/>
        <v>-7.7194651304624653</v>
      </c>
      <c r="AR470" s="44">
        <f t="shared" si="443"/>
        <v>-107.8759229414398</v>
      </c>
      <c r="AS470" t="str">
        <f t="shared" si="419"/>
        <v>-0.000166666666666667</v>
      </c>
      <c r="AT470" t="str">
        <f t="shared" si="420"/>
        <v>0.0262566444492864i</v>
      </c>
      <c r="AU470">
        <f t="shared" si="444"/>
        <v>2.6256644449286399E-2</v>
      </c>
      <c r="AV470">
        <f t="shared" si="445"/>
        <v>1.5707963267948966</v>
      </c>
      <c r="AW470" t="str">
        <f t="shared" si="421"/>
        <v>1+4.78363523386579i</v>
      </c>
      <c r="AX470">
        <f t="shared" si="446"/>
        <v>4.8870406229826058</v>
      </c>
      <c r="AY470">
        <f t="shared" si="447"/>
        <v>1.364717975422578</v>
      </c>
      <c r="AZ470" t="str">
        <f t="shared" si="422"/>
        <v>1+97.370123631268i</v>
      </c>
      <c r="BA470">
        <f t="shared" si="448"/>
        <v>97.375258541214734</v>
      </c>
      <c r="BB470">
        <f t="shared" si="449"/>
        <v>1.5605265971624547</v>
      </c>
      <c r="BC470" s="42" t="str">
        <f t="shared" si="450"/>
        <v>-0.0246073723438861+0.124060292989937i</v>
      </c>
      <c r="BD470">
        <f t="shared" si="451"/>
        <v>-17.959755978790909</v>
      </c>
      <c r="BE470" s="44">
        <f t="shared" si="452"/>
        <v>101.21900761796854</v>
      </c>
      <c r="BF470" s="42" t="str">
        <f t="shared" si="453"/>
        <v>-0.000321705440610724-0.0255540302329605i</v>
      </c>
      <c r="BG470" s="20">
        <f t="shared" si="454"/>
        <v>-31.850123661910501</v>
      </c>
      <c r="BH470" s="44">
        <f t="shared" si="455"/>
        <v>-90.721271366779447</v>
      </c>
      <c r="BI470" s="42" t="str">
        <f t="shared" si="409"/>
        <v>0.0516536553700546-0.00602853541311943i</v>
      </c>
      <c r="BJ470" s="20">
        <f t="shared" si="456"/>
        <v>-25.679221109253369</v>
      </c>
      <c r="BK470" s="44">
        <f t="shared" si="410"/>
        <v>-6.6569153234712584</v>
      </c>
      <c r="BL470">
        <f t="shared" si="457"/>
        <v>-31.850123661910501</v>
      </c>
      <c r="BM470" s="44">
        <f t="shared" si="458"/>
        <v>-90.721271366779447</v>
      </c>
    </row>
    <row r="471" spans="14:65" x14ac:dyDescent="0.35">
      <c r="N471" s="9">
        <v>53</v>
      </c>
      <c r="O471" s="35">
        <f t="shared" si="408"/>
        <v>338844.15613920329</v>
      </c>
      <c r="P471" s="34" t="str">
        <f t="shared" si="411"/>
        <v>16.3709677419355</v>
      </c>
      <c r="Q471" s="4" t="str">
        <f t="shared" si="412"/>
        <v>1+313.172065875659i</v>
      </c>
      <c r="R471" s="4">
        <f t="shared" si="423"/>
        <v>313.17366243799637</v>
      </c>
      <c r="S471" s="4">
        <f t="shared" si="424"/>
        <v>1.5676032048332502</v>
      </c>
      <c r="T471" s="4" t="str">
        <f t="shared" si="413"/>
        <v>1+0.340643299724402i</v>
      </c>
      <c r="U471" s="4">
        <f t="shared" si="425"/>
        <v>1.056426929629839</v>
      </c>
      <c r="V471" s="4">
        <f t="shared" si="426"/>
        <v>0.32831503380998983</v>
      </c>
      <c r="W471" t="str">
        <f t="shared" si="414"/>
        <v>1-4.45790848874025i</v>
      </c>
      <c r="X471" s="4">
        <f t="shared" si="427"/>
        <v>4.5686921645020444</v>
      </c>
      <c r="Y471" s="4">
        <f t="shared" si="428"/>
        <v>-1.3501287921437319</v>
      </c>
      <c r="Z471" t="str">
        <f t="shared" si="415"/>
        <v>0.9006465227477+0.877936312483744i</v>
      </c>
      <c r="AA471" s="4">
        <f t="shared" si="429"/>
        <v>1.2577505029675311</v>
      </c>
      <c r="AB471" s="4">
        <f t="shared" si="430"/>
        <v>0.77263014623751791</v>
      </c>
      <c r="AC471" s="48" t="str">
        <f t="shared" si="431"/>
        <v>-0.195742883821599+0.0438653247648086i</v>
      </c>
      <c r="AD471" s="20">
        <f t="shared" si="432"/>
        <v>-13.953480364155626</v>
      </c>
      <c r="AE471" s="44">
        <f t="shared" si="433"/>
        <v>167.36889010696351</v>
      </c>
      <c r="AF471" t="str">
        <f t="shared" si="434"/>
        <v>45.9520231294187</v>
      </c>
      <c r="AG471" t="str">
        <f t="shared" si="416"/>
        <v>1+150.283808701942i</v>
      </c>
      <c r="AH471">
        <f t="shared" si="435"/>
        <v>150.28713570349893</v>
      </c>
      <c r="AI471">
        <f t="shared" si="436"/>
        <v>1.5641423482318246</v>
      </c>
      <c r="AJ471" t="str">
        <f t="shared" si="417"/>
        <v>1+0.340643299724402i</v>
      </c>
      <c r="AK471">
        <f t="shared" si="437"/>
        <v>1.056426929629839</v>
      </c>
      <c r="AL471">
        <f t="shared" si="438"/>
        <v>0.32831503380998983</v>
      </c>
      <c r="AM471" t="str">
        <f t="shared" si="418"/>
        <v>1-0.76213074648486i</v>
      </c>
      <c r="AN471">
        <f t="shared" si="439"/>
        <v>1.2573159009324466</v>
      </c>
      <c r="AO471">
        <f t="shared" si="440"/>
        <v>-0.6512196889387486</v>
      </c>
      <c r="AP471" s="42" t="str">
        <f t="shared" si="441"/>
        <v>-0.126309083817885-0.385990712491567i</v>
      </c>
      <c r="AQ471">
        <f t="shared" si="442"/>
        <v>-7.8266659838077368</v>
      </c>
      <c r="AR471" s="44">
        <f t="shared" si="443"/>
        <v>-108.11982903537066</v>
      </c>
      <c r="AS471" t="str">
        <f t="shared" si="419"/>
        <v>-0.000166666666666667</v>
      </c>
      <c r="AT471" t="str">
        <f t="shared" si="420"/>
        <v>0.0268682402657621i</v>
      </c>
      <c r="AU471">
        <f t="shared" si="444"/>
        <v>2.6868240265762101E-2</v>
      </c>
      <c r="AV471">
        <f t="shared" si="445"/>
        <v>1.5707963267948966</v>
      </c>
      <c r="AW471" t="str">
        <f t="shared" si="421"/>
        <v>1+4.89506041244218i</v>
      </c>
      <c r="AX471">
        <f t="shared" si="446"/>
        <v>4.9961601697161999</v>
      </c>
      <c r="AY471">
        <f t="shared" si="447"/>
        <v>1.3692815225978245</v>
      </c>
      <c r="AZ471" t="str">
        <f t="shared" si="422"/>
        <v>1+99.6381651693873i</v>
      </c>
      <c r="BA471">
        <f t="shared" si="448"/>
        <v>99.643183200468386</v>
      </c>
      <c r="BB471">
        <f t="shared" si="449"/>
        <v>1.5607603488696011</v>
      </c>
      <c r="BC471" s="42" t="str">
        <f t="shared" si="450"/>
        <v>-0.023544226838767+0.121453523364972i</v>
      </c>
      <c r="BD471">
        <f t="shared" si="451"/>
        <v>-18.151584667550001</v>
      </c>
      <c r="BE471" s="44">
        <f t="shared" si="452"/>
        <v>100.97092861149152</v>
      </c>
      <c r="BF471" s="42" t="str">
        <f t="shared" si="453"/>
        <v>-0.000718983387464624-0.0248064380703724i</v>
      </c>
      <c r="BG471" s="20">
        <f t="shared" si="454"/>
        <v>-32.105065031705628</v>
      </c>
      <c r="BH471" s="44">
        <f t="shared" si="455"/>
        <v>-91.660181281544951</v>
      </c>
      <c r="BI471" s="42" t="str">
        <f t="shared" si="409"/>
        <v>0.0498537817394618-0.00625283037012495i</v>
      </c>
      <c r="BJ471" s="20">
        <f t="shared" si="456"/>
        <v>-25.978250651357747</v>
      </c>
      <c r="BK471" s="44">
        <f t="shared" si="410"/>
        <v>-7.1489004238791347</v>
      </c>
      <c r="BL471">
        <f t="shared" si="457"/>
        <v>-32.105065031705628</v>
      </c>
      <c r="BM471" s="44">
        <f t="shared" si="458"/>
        <v>-91.660181281544951</v>
      </c>
    </row>
    <row r="472" spans="14:65" x14ac:dyDescent="0.35">
      <c r="N472" s="9">
        <v>54</v>
      </c>
      <c r="O472" s="35">
        <f t="shared" si="408"/>
        <v>346736.85045253241</v>
      </c>
      <c r="P472" s="34" t="str">
        <f t="shared" si="411"/>
        <v>16.3709677419355</v>
      </c>
      <c r="Q472" s="4" t="str">
        <f t="shared" si="412"/>
        <v>1+320.466780388649i</v>
      </c>
      <c r="R472" s="4">
        <f t="shared" si="423"/>
        <v>320.46834060896964</v>
      </c>
      <c r="S472" s="4">
        <f t="shared" si="424"/>
        <v>1.5676758886856055</v>
      </c>
      <c r="T472" s="4" t="str">
        <f t="shared" si="413"/>
        <v>1+0.348577901475373i</v>
      </c>
      <c r="U472" s="4">
        <f t="shared" si="425"/>
        <v>1.059012064802368</v>
      </c>
      <c r="V472" s="4">
        <f t="shared" si="426"/>
        <v>0.33540735513392111</v>
      </c>
      <c r="W472" t="str">
        <f t="shared" si="414"/>
        <v>1-4.56174651675679i</v>
      </c>
      <c r="X472" s="4">
        <f t="shared" si="427"/>
        <v>4.6700675887124703</v>
      </c>
      <c r="Y472" s="4">
        <f t="shared" si="428"/>
        <v>-1.354995587485383</v>
      </c>
      <c r="Z472" t="str">
        <f t="shared" si="415"/>
        <v>0.895964137620991+0.898386076233422i</v>
      </c>
      <c r="AA472" s="4">
        <f t="shared" si="429"/>
        <v>1.268798359816488</v>
      </c>
      <c r="AB472" s="4">
        <f t="shared" si="430"/>
        <v>0.78674792060924137</v>
      </c>
      <c r="AC472" s="48" t="str">
        <f t="shared" si="431"/>
        <v>-0.193768646470131+0.0458644263650555i</v>
      </c>
      <c r="AD472" s="20">
        <f t="shared" si="432"/>
        <v>-14.017586270126866</v>
      </c>
      <c r="AE472" s="44">
        <f t="shared" si="433"/>
        <v>166.68334998734841</v>
      </c>
      <c r="AF472" t="str">
        <f t="shared" si="434"/>
        <v>45.9520231294187</v>
      </c>
      <c r="AG472" t="str">
        <f t="shared" si="416"/>
        <v>1+153.784368297958i</v>
      </c>
      <c r="AH472">
        <f t="shared" si="435"/>
        <v>153.78761956933332</v>
      </c>
      <c r="AI472">
        <f t="shared" si="436"/>
        <v>1.564293806956417</v>
      </c>
      <c r="AJ472" t="str">
        <f t="shared" si="417"/>
        <v>1+0.348577901475373i</v>
      </c>
      <c r="AK472">
        <f t="shared" si="437"/>
        <v>1.059012064802368</v>
      </c>
      <c r="AL472">
        <f t="shared" si="438"/>
        <v>0.33540735513392111</v>
      </c>
      <c r="AM472" t="str">
        <f t="shared" si="418"/>
        <v>1-0.779883052079657i</v>
      </c>
      <c r="AN472">
        <f t="shared" si="439"/>
        <v>1.2681551856618658</v>
      </c>
      <c r="AO472">
        <f t="shared" si="440"/>
        <v>-0.66235357899036351</v>
      </c>
      <c r="AP472" s="42" t="str">
        <f t="shared" si="441"/>
        <v>-0.126400903981507-0.380861085318562i</v>
      </c>
      <c r="AQ472">
        <f t="shared" si="442"/>
        <v>-7.9308685616930275</v>
      </c>
      <c r="AR472" s="44">
        <f t="shared" si="443"/>
        <v>-108.36007181176859</v>
      </c>
      <c r="AS472" t="str">
        <f t="shared" si="419"/>
        <v>-0.000166666666666667</v>
      </c>
      <c r="AT472" t="str">
        <f t="shared" si="420"/>
        <v>0.02749408197887i</v>
      </c>
      <c r="AU472">
        <f t="shared" si="444"/>
        <v>2.7494081978869999E-2</v>
      </c>
      <c r="AV472">
        <f t="shared" si="445"/>
        <v>1.5707963267948966</v>
      </c>
      <c r="AW472" t="str">
        <f t="shared" si="421"/>
        <v>1+5.00908101684302i</v>
      </c>
      <c r="AX472">
        <f t="shared" si="446"/>
        <v>5.1079244936957631</v>
      </c>
      <c r="AY472">
        <f t="shared" si="447"/>
        <v>1.3737494279255489</v>
      </c>
      <c r="AZ472" t="str">
        <f t="shared" si="422"/>
        <v>1+101.959036181546i</v>
      </c>
      <c r="BA472">
        <f t="shared" si="448"/>
        <v>101.96393999385178</v>
      </c>
      <c r="BB472">
        <f t="shared" si="449"/>
        <v>1.5609887807980802</v>
      </c>
      <c r="BC472" s="42" t="str">
        <f t="shared" si="450"/>
        <v>-0.0225251764291872+0.118892344240904i</v>
      </c>
      <c r="BD472">
        <f t="shared" si="451"/>
        <v>-18.343766674975676</v>
      </c>
      <c r="BE472" s="44">
        <f t="shared" si="452"/>
        <v>100.72802467835676</v>
      </c>
      <c r="BF472" s="42" t="str">
        <f t="shared" si="453"/>
        <v>-0.00108825621962127-0.0240707129149172i</v>
      </c>
      <c r="BG472" s="20">
        <f t="shared" si="454"/>
        <v>-32.361352945102539</v>
      </c>
      <c r="BH472" s="44">
        <f t="shared" si="455"/>
        <v>-92.588625334294818</v>
      </c>
      <c r="BI472" s="42" t="str">
        <f t="shared" si="409"/>
        <v>0.048128669926651-0.00644913664671846i</v>
      </c>
      <c r="BJ472" s="20">
        <f t="shared" si="456"/>
        <v>-26.274635236668701</v>
      </c>
      <c r="BK472" s="44">
        <f t="shared" si="410"/>
        <v>-7.6320471334118363</v>
      </c>
      <c r="BL472">
        <f t="shared" si="457"/>
        <v>-32.361352945102539</v>
      </c>
      <c r="BM472" s="44">
        <f t="shared" si="458"/>
        <v>-92.588625334294818</v>
      </c>
    </row>
    <row r="473" spans="14:65" x14ac:dyDescent="0.35">
      <c r="N473" s="9">
        <v>55</v>
      </c>
      <c r="O473" s="35">
        <f t="shared" si="408"/>
        <v>354813.38923357555</v>
      </c>
      <c r="P473" s="34" t="str">
        <f t="shared" si="411"/>
        <v>16.3709677419355</v>
      </c>
      <c r="Q473" s="4" t="str">
        <f t="shared" si="412"/>
        <v>1+327.931410630478i</v>
      </c>
      <c r="R473" s="4">
        <f t="shared" si="423"/>
        <v>327.9329353360153</v>
      </c>
      <c r="S473" s="4">
        <f t="shared" si="424"/>
        <v>1.5677469180833483</v>
      </c>
      <c r="T473" s="4" t="str">
        <f t="shared" si="413"/>
        <v>1+0.356697323843678i</v>
      </c>
      <c r="U473" s="4">
        <f t="shared" si="425"/>
        <v>1.0617122872215625</v>
      </c>
      <c r="V473" s="4">
        <f t="shared" si="426"/>
        <v>0.34262875106778812</v>
      </c>
      <c r="W473" t="str">
        <f t="shared" si="414"/>
        <v>1-4.66800324315834i</v>
      </c>
      <c r="X473" s="4">
        <f t="shared" si="427"/>
        <v>4.7739139370265971</v>
      </c>
      <c r="Y473" s="4">
        <f t="shared" si="428"/>
        <v>-1.3597616564760429</v>
      </c>
      <c r="Z473" t="str">
        <f t="shared" si="415"/>
        <v>0.891061078481846+0.91931217617226i</v>
      </c>
      <c r="AA473" s="4">
        <f t="shared" si="429"/>
        <v>1.2802830635620417</v>
      </c>
      <c r="AB473" s="4">
        <f t="shared" si="430"/>
        <v>0.80100202007079113</v>
      </c>
      <c r="AC473" s="48" t="str">
        <f t="shared" si="431"/>
        <v>-0.191767507871529+0.0478014189483129i</v>
      </c>
      <c r="AD473" s="20">
        <f t="shared" si="432"/>
        <v>-14.082705103796652</v>
      </c>
      <c r="AE473" s="44">
        <f t="shared" si="433"/>
        <v>166.00326043390044</v>
      </c>
      <c r="AF473" t="str">
        <f t="shared" si="434"/>
        <v>45.9520231294187</v>
      </c>
      <c r="AG473" t="str">
        <f t="shared" si="416"/>
        <v>1+157.366466401622i</v>
      </c>
      <c r="AH473">
        <f t="shared" si="435"/>
        <v>157.369643666537</v>
      </c>
      <c r="AI473">
        <f t="shared" si="436"/>
        <v>1.5644418183478062</v>
      </c>
      <c r="AJ473" t="str">
        <f t="shared" si="417"/>
        <v>1+0.356697323843678i</v>
      </c>
      <c r="AK473">
        <f t="shared" si="437"/>
        <v>1.0617122872215625</v>
      </c>
      <c r="AL473">
        <f t="shared" si="438"/>
        <v>0.34262875106778812</v>
      </c>
      <c r="AM473" t="str">
        <f t="shared" si="418"/>
        <v>1-0.798048861991636i</v>
      </c>
      <c r="AN473">
        <f t="shared" si="439"/>
        <v>1.2794068884159353</v>
      </c>
      <c r="AO473">
        <f t="shared" si="440"/>
        <v>-0.67355009106623076</v>
      </c>
      <c r="AP473" s="42" t="str">
        <f t="shared" si="441"/>
        <v>-0.126488591898619-0.375933341976978i</v>
      </c>
      <c r="AQ473">
        <f t="shared" si="442"/>
        <v>-8.0320159294834479</v>
      </c>
      <c r="AR473" s="44">
        <f t="shared" si="443"/>
        <v>-108.59630961782599</v>
      </c>
      <c r="AS473" t="str">
        <f t="shared" si="419"/>
        <v>-0.000166666666666667</v>
      </c>
      <c r="AT473" t="str">
        <f t="shared" si="420"/>
        <v>0.0281345014181702i</v>
      </c>
      <c r="AU473">
        <f t="shared" si="444"/>
        <v>2.8134501418170199E-2</v>
      </c>
      <c r="AV473">
        <f t="shared" si="445"/>
        <v>1.5707963267948966</v>
      </c>
      <c r="AW473" t="str">
        <f t="shared" si="421"/>
        <v>1+5.12575750230199i</v>
      </c>
      <c r="AX473">
        <f t="shared" si="446"/>
        <v>5.2223931269490942</v>
      </c>
      <c r="AY473">
        <f t="shared" si="447"/>
        <v>1.3781233464966838</v>
      </c>
      <c r="AZ473" t="str">
        <f t="shared" si="422"/>
        <v>1+104.333967224276i</v>
      </c>
      <c r="BA473">
        <f t="shared" si="448"/>
        <v>104.3387594173723</v>
      </c>
      <c r="BB473">
        <f t="shared" si="449"/>
        <v>1.5612120139701111</v>
      </c>
      <c r="BC473" s="42" t="str">
        <f t="shared" si="450"/>
        <v>-0.021548548249947+0.116376557512995i</v>
      </c>
      <c r="BD473">
        <f t="shared" si="451"/>
        <v>-18.536287322946663</v>
      </c>
      <c r="BE473" s="44">
        <f t="shared" si="452"/>
        <v>100.49020792290152</v>
      </c>
      <c r="BF473" s="42" t="str">
        <f t="shared" si="453"/>
        <v>-0.00143065318529937-0.0233472935915584i</v>
      </c>
      <c r="BG473" s="20">
        <f t="shared" si="454"/>
        <v>-32.618992426743304</v>
      </c>
      <c r="BH473" s="44">
        <f t="shared" si="455"/>
        <v>-93.506531643198045</v>
      </c>
      <c r="BI473" s="42" t="str">
        <f t="shared" si="409"/>
        <v>0.0464754737192314-0.00661948913147265i</v>
      </c>
      <c r="BJ473" s="20">
        <f t="shared" si="456"/>
        <v>-26.56830325243012</v>
      </c>
      <c r="BK473" s="44">
        <f t="shared" si="410"/>
        <v>-8.1061016949244795</v>
      </c>
      <c r="BL473">
        <f t="shared" si="457"/>
        <v>-32.618992426743304</v>
      </c>
      <c r="BM473" s="44">
        <f t="shared" si="458"/>
        <v>-93.506531643198045</v>
      </c>
    </row>
    <row r="474" spans="14:65" x14ac:dyDescent="0.35">
      <c r="N474" s="9">
        <v>56</v>
      </c>
      <c r="O474" s="35">
        <f t="shared" si="408"/>
        <v>363078.05477010203</v>
      </c>
      <c r="P474" s="34" t="str">
        <f t="shared" si="411"/>
        <v>16.3709677419355</v>
      </c>
      <c r="Q474" s="4" t="str">
        <f t="shared" si="412"/>
        <v>1+335.569914446912i</v>
      </c>
      <c r="R474" s="4">
        <f t="shared" si="423"/>
        <v>335.57140444606989</v>
      </c>
      <c r="S474" s="4">
        <f t="shared" si="424"/>
        <v>1.5678163306843369</v>
      </c>
      <c r="T474" s="4" t="str">
        <f t="shared" si="413"/>
        <v>1+0.365005871854536i</v>
      </c>
      <c r="U474" s="4">
        <f t="shared" si="425"/>
        <v>1.0645324262267872</v>
      </c>
      <c r="V474" s="4">
        <f t="shared" si="426"/>
        <v>0.34998003686340501</v>
      </c>
      <c r="W474" t="str">
        <f t="shared" si="414"/>
        <v>1-4.77673500666778i</v>
      </c>
      <c r="X474" s="4">
        <f t="shared" si="427"/>
        <v>4.8802866026418394</v>
      </c>
      <c r="Y474" s="4">
        <f t="shared" si="428"/>
        <v>-1.3644286596436221</v>
      </c>
      <c r="Z474" t="str">
        <f t="shared" si="415"/>
        <v>0.885926945284464+0.940725707595446i</v>
      </c>
      <c r="AA474" s="4">
        <f t="shared" si="429"/>
        <v>1.292219566990074</v>
      </c>
      <c r="AB474" s="4">
        <f t="shared" si="430"/>
        <v>0.81538872123965245</v>
      </c>
      <c r="AC474" s="48" t="str">
        <f t="shared" si="431"/>
        <v>-0.18974100902855+0.0496757528891604i</v>
      </c>
      <c r="AD474" s="20">
        <f t="shared" si="432"/>
        <v>-14.148853669800799</v>
      </c>
      <c r="AE474" s="44">
        <f t="shared" si="433"/>
        <v>165.32878419233387</v>
      </c>
      <c r="AF474" t="str">
        <f t="shared" si="434"/>
        <v>45.9520231294187</v>
      </c>
      <c r="AG474" t="str">
        <f t="shared" si="416"/>
        <v>1+161.032002288766i</v>
      </c>
      <c r="AH474">
        <f t="shared" si="435"/>
        <v>161.03510723171246</v>
      </c>
      <c r="AI474">
        <f t="shared" si="436"/>
        <v>1.5645864608576354</v>
      </c>
      <c r="AJ474" t="str">
        <f t="shared" si="417"/>
        <v>1+0.365005871854536i</v>
      </c>
      <c r="AK474">
        <f t="shared" si="437"/>
        <v>1.0645324262267872</v>
      </c>
      <c r="AL474">
        <f t="shared" si="438"/>
        <v>0.34998003686340501</v>
      </c>
      <c r="AM474" t="str">
        <f t="shared" si="418"/>
        <v>1-0.816637807973674i</v>
      </c>
      <c r="AN474">
        <f t="shared" si="439"/>
        <v>1.291083773196785</v>
      </c>
      <c r="AO474">
        <f t="shared" si="440"/>
        <v>-0.68480393336742273</v>
      </c>
      <c r="AP474" s="42" t="str">
        <f t="shared" si="441"/>
        <v>-0.126572333520893-0.371204873299847i</v>
      </c>
      <c r="AQ474">
        <f t="shared" si="442"/>
        <v>-8.130052247515712</v>
      </c>
      <c r="AR474" s="44">
        <f t="shared" si="443"/>
        <v>-108.82819704025812</v>
      </c>
      <c r="AS474" t="str">
        <f t="shared" si="419"/>
        <v>-0.000166666666666667</v>
      </c>
      <c r="AT474" t="str">
        <f t="shared" si="420"/>
        <v>0.0287898381425265i</v>
      </c>
      <c r="AU474">
        <f t="shared" si="444"/>
        <v>2.8789838142526499E-2</v>
      </c>
      <c r="AV474">
        <f t="shared" si="445"/>
        <v>1.5707963267948966</v>
      </c>
      <c r="AW474" t="str">
        <f t="shared" si="421"/>
        <v>1+5.24515173223615i</v>
      </c>
      <c r="AX474">
        <f t="shared" si="446"/>
        <v>5.3396270182644674</v>
      </c>
      <c r="AY474">
        <f t="shared" si="447"/>
        <v>1.3824049276750392</v>
      </c>
      <c r="AZ474" t="str">
        <f t="shared" si="422"/>
        <v>1+106.764217517452i</v>
      </c>
      <c r="BA474">
        <f t="shared" si="448"/>
        <v>106.76890063175608</v>
      </c>
      <c r="BB474">
        <f t="shared" si="449"/>
        <v>1.5614301666578299</v>
      </c>
      <c r="BC474" s="42" t="str">
        <f t="shared" si="450"/>
        <v>-0.02061271958247+0.113905921493159i</v>
      </c>
      <c r="BD474">
        <f t="shared" si="451"/>
        <v>-18.729132492213722</v>
      </c>
      <c r="BE474" s="44">
        <f t="shared" si="452"/>
        <v>100.25739062003483</v>
      </c>
      <c r="BF474" s="42" t="str">
        <f t="shared" si="453"/>
        <v>-0.00174728419630586-0.0226365768427911i</v>
      </c>
      <c r="BG474" s="20">
        <f t="shared" si="454"/>
        <v>-32.87798616201453</v>
      </c>
      <c r="BH474" s="44">
        <f t="shared" si="455"/>
        <v>-94.413825187631289</v>
      </c>
      <c r="BI474" s="42" t="str">
        <f t="shared" si="409"/>
        <v>0.0448914331737354-0.00676579632426072i</v>
      </c>
      <c r="BJ474" s="20">
        <f t="shared" si="456"/>
        <v>-26.859184739729443</v>
      </c>
      <c r="BK474" s="44">
        <f t="shared" si="410"/>
        <v>-8.5708064202232954</v>
      </c>
      <c r="BL474">
        <f t="shared" si="457"/>
        <v>-32.87798616201453</v>
      </c>
      <c r="BM474" s="44">
        <f t="shared" si="458"/>
        <v>-94.413825187631289</v>
      </c>
    </row>
    <row r="475" spans="14:65" x14ac:dyDescent="0.35">
      <c r="N475" s="9">
        <v>57</v>
      </c>
      <c r="O475" s="35">
        <f t="shared" si="408"/>
        <v>371535.2290971732</v>
      </c>
      <c r="P475" s="34" t="str">
        <f t="shared" si="411"/>
        <v>16.3709677419355</v>
      </c>
      <c r="Q475" s="4" t="str">
        <f t="shared" si="412"/>
        <v>1+343.386341873777i</v>
      </c>
      <c r="R475" s="4">
        <f t="shared" si="423"/>
        <v>343.38779795655881</v>
      </c>
      <c r="S475" s="4">
        <f t="shared" si="424"/>
        <v>1.5678841632893743</v>
      </c>
      <c r="T475" s="4" t="str">
        <f t="shared" si="413"/>
        <v>1+0.373507950810074i</v>
      </c>
      <c r="U475" s="4">
        <f t="shared" si="425"/>
        <v>1.0674774889047267</v>
      </c>
      <c r="V475" s="4">
        <f t="shared" si="426"/>
        <v>0.35746193111285934</v>
      </c>
      <c r="W475" t="str">
        <f t="shared" si="414"/>
        <v>1-4.8879994583053i</v>
      </c>
      <c r="X475" s="4">
        <f t="shared" si="427"/>
        <v>4.9892422976232487</v>
      </c>
      <c r="Y475" s="4">
        <f t="shared" si="428"/>
        <v>-1.3689982579034878</v>
      </c>
      <c r="Z475" t="str">
        <f t="shared" si="415"/>
        <v>0.88055084784399+0.962638024240774i</v>
      </c>
      <c r="AA475" s="4">
        <f t="shared" si="429"/>
        <v>1.3046232258215207</v>
      </c>
      <c r="AB475" s="4">
        <f t="shared" si="430"/>
        <v>0.82990416681515611</v>
      </c>
      <c r="AC475" s="48" t="str">
        <f t="shared" si="431"/>
        <v>-0.187690769680577+0.0514869470436983i</v>
      </c>
      <c r="AD475" s="20">
        <f t="shared" si="432"/>
        <v>-14.216045819974557</v>
      </c>
      <c r="AE475" s="44">
        <f t="shared" si="433"/>
        <v>164.66008617001987</v>
      </c>
      <c r="AF475" t="str">
        <f t="shared" si="434"/>
        <v>45.9520231294187</v>
      </c>
      <c r="AG475" t="str">
        <f t="shared" si="416"/>
        <v>1+164.782919475032i</v>
      </c>
      <c r="AH475">
        <f t="shared" si="435"/>
        <v>164.78595374216482</v>
      </c>
      <c r="AI475">
        <f t="shared" si="436"/>
        <v>1.5647278111530554</v>
      </c>
      <c r="AJ475" t="str">
        <f t="shared" si="417"/>
        <v>1+0.373507950810074i</v>
      </c>
      <c r="AK475">
        <f t="shared" si="437"/>
        <v>1.0674774889047267</v>
      </c>
      <c r="AL475">
        <f t="shared" si="438"/>
        <v>0.35746193111285934</v>
      </c>
      <c r="AM475" t="str">
        <f t="shared" si="418"/>
        <v>1-0.835659746130977i</v>
      </c>
      <c r="AN475">
        <f t="shared" si="439"/>
        <v>1.3031988379766493</v>
      </c>
      <c r="AO475">
        <f t="shared" si="440"/>
        <v>-0.69610967120136535</v>
      </c>
      <c r="AP475" s="42" t="str">
        <f t="shared" si="441"/>
        <v>-0.126652306433446-0.366673175538841i</v>
      </c>
      <c r="AQ475">
        <f t="shared" si="442"/>
        <v>-8.2249228743417682</v>
      </c>
      <c r="AR475" s="44">
        <f t="shared" si="443"/>
        <v>-109.05538591452793</v>
      </c>
      <c r="AS475" t="str">
        <f t="shared" si="419"/>
        <v>-0.000166666666666667</v>
      </c>
      <c r="AT475" t="str">
        <f t="shared" si="420"/>
        <v>0.0294604396201446i</v>
      </c>
      <c r="AU475">
        <f t="shared" si="444"/>
        <v>2.94604396201446E-2</v>
      </c>
      <c r="AV475">
        <f t="shared" si="445"/>
        <v>1.5707963267948966</v>
      </c>
      <c r="AW475" t="str">
        <f t="shared" si="421"/>
        <v>1+5.36732701104651i</v>
      </c>
      <c r="AX475">
        <f t="shared" si="446"/>
        <v>5.4596885665310122</v>
      </c>
      <c r="AY475">
        <f t="shared" si="447"/>
        <v>1.3865958133910647</v>
      </c>
      <c r="AZ475" t="str">
        <f t="shared" si="422"/>
        <v>1+109.251075611946i</v>
      </c>
      <c r="BA475">
        <f t="shared" si="448"/>
        <v>109.25565213007127</v>
      </c>
      <c r="BB475">
        <f t="shared" si="449"/>
        <v>1.5616433544455752</v>
      </c>
      <c r="BC475" s="42" t="str">
        <f t="shared" si="450"/>
        <v>-0.0197161175339352+0.111480154320551i</v>
      </c>
      <c r="BD475">
        <f t="shared" si="451"/>
        <v>-18.922288605470332</v>
      </c>
      <c r="BE475" s="44">
        <f t="shared" si="452"/>
        <v>100.02948531656638</v>
      </c>
      <c r="BF475" s="42" t="str">
        <f t="shared" si="453"/>
        <v>-0.00203923952686851-0.0219389186679108i</v>
      </c>
      <c r="BG475" s="20">
        <f t="shared" si="454"/>
        <v>-33.138334425444882</v>
      </c>
      <c r="BH475" s="44">
        <f t="shared" si="455"/>
        <v>-95.310428513413768</v>
      </c>
      <c r="BI475" s="42" t="str">
        <f t="shared" si="409"/>
        <v>0.0433738739538623-0.00688984724078923i</v>
      </c>
      <c r="BJ475" s="20">
        <f t="shared" si="456"/>
        <v>-27.147211479812093</v>
      </c>
      <c r="BK475" s="44">
        <f t="shared" si="410"/>
        <v>-9.0259005979615416</v>
      </c>
      <c r="BL475">
        <f t="shared" si="457"/>
        <v>-33.138334425444882</v>
      </c>
      <c r="BM475" s="44">
        <f t="shared" si="458"/>
        <v>-95.310428513413768</v>
      </c>
    </row>
    <row r="476" spans="14:65" x14ac:dyDescent="0.35">
      <c r="N476" s="9">
        <v>58</v>
      </c>
      <c r="O476" s="35">
        <f t="shared" si="408"/>
        <v>380189.39632056188</v>
      </c>
      <c r="P476" s="34" t="str">
        <f t="shared" si="411"/>
        <v>16.3709677419355</v>
      </c>
      <c r="Q476" s="4" t="str">
        <f t="shared" si="412"/>
        <v>1+351.384837284359i</v>
      </c>
      <c r="R476" s="4">
        <f t="shared" si="423"/>
        <v>351.38626022278595</v>
      </c>
      <c r="S476" s="4">
        <f t="shared" si="424"/>
        <v>1.5679504518617069</v>
      </c>
      <c r="T476" s="4" t="str">
        <f t="shared" si="413"/>
        <v>1+0.382208068625093i</v>
      </c>
      <c r="U476" s="4">
        <f t="shared" si="425"/>
        <v>1.0705526646186649</v>
      </c>
      <c r="V476" s="4">
        <f t="shared" si="426"/>
        <v>0.36507504921278205</v>
      </c>
      <c r="W476" t="str">
        <f t="shared" si="414"/>
        <v>1-5.00185559195593i</v>
      </c>
      <c r="X476" s="4">
        <f t="shared" si="427"/>
        <v>5.1008390841880908</v>
      </c>
      <c r="Y476" s="4">
        <f t="shared" si="428"/>
        <v>-1.3734721104077467</v>
      </c>
      <c r="Z476" t="str">
        <f t="shared" si="415"/>
        <v>0.874921382736966+0.985060744308574i</v>
      </c>
      <c r="AA476" s="4">
        <f t="shared" si="429"/>
        <v>1.3175098086724539</v>
      </c>
      <c r="AB476" s="4">
        <f t="shared" si="430"/>
        <v>0.84454437638273872</v>
      </c>
      <c r="AC476" s="48" t="str">
        <f t="shared" si="431"/>
        <v>-0.185618482767836+0.053234595671858i</v>
      </c>
      <c r="AD476" s="20">
        <f t="shared" si="432"/>
        <v>-14.284292408101658</v>
      </c>
      <c r="AE476" s="44">
        <f t="shared" si="433"/>
        <v>163.99733256458799</v>
      </c>
      <c r="AF476" t="str">
        <f t="shared" si="434"/>
        <v>45.9520231294187</v>
      </c>
      <c r="AG476" t="str">
        <f t="shared" si="416"/>
        <v>1+168.621206746364i</v>
      </c>
      <c r="AH476">
        <f t="shared" si="435"/>
        <v>168.6241719463732</v>
      </c>
      <c r="AI476">
        <f t="shared" si="436"/>
        <v>1.5648659441572572</v>
      </c>
      <c r="AJ476" t="str">
        <f t="shared" si="417"/>
        <v>1+0.382208068625093i</v>
      </c>
      <c r="AK476">
        <f t="shared" si="437"/>
        <v>1.0705526646186649</v>
      </c>
      <c r="AL476">
        <f t="shared" si="438"/>
        <v>0.36507504921278205</v>
      </c>
      <c r="AM476" t="str">
        <f t="shared" si="418"/>
        <v>1-0.855124762146942i</v>
      </c>
      <c r="AN476">
        <f t="shared" si="439"/>
        <v>1.3157653129782925</v>
      </c>
      <c r="AO476">
        <f t="shared" si="440"/>
        <v>-0.70746173899926246</v>
      </c>
      <c r="AP476" s="42" t="str">
        <f t="shared" si="441"/>
        <v>-0.126728680231155-0.362335849052701i</v>
      </c>
      <c r="AQ476">
        <f t="shared" si="442"/>
        <v>-8.3165744669140622</v>
      </c>
      <c r="AR476" s="44">
        <f t="shared" si="443"/>
        <v>-109.27752639018583</v>
      </c>
      <c r="AS476" t="str">
        <f t="shared" si="419"/>
        <v>-0.000166666666666667</v>
      </c>
      <c r="AT476" t="str">
        <f t="shared" si="420"/>
        <v>0.0301466614128042i</v>
      </c>
      <c r="AU476">
        <f t="shared" si="444"/>
        <v>3.0146661412804199E-2</v>
      </c>
      <c r="AV476">
        <f t="shared" si="445"/>
        <v>1.5707963267948966</v>
      </c>
      <c r="AW476" t="str">
        <f t="shared" si="421"/>
        <v>1+5.49234811768309i</v>
      </c>
      <c r="AX476">
        <f t="shared" si="446"/>
        <v>5.58264165479184</v>
      </c>
      <c r="AY476">
        <f t="shared" si="447"/>
        <v>1.3906976365675541</v>
      </c>
      <c r="AZ476" t="str">
        <f t="shared" si="422"/>
        <v>1+111.795860072839i</v>
      </c>
      <c r="BA476">
        <f t="shared" si="448"/>
        <v>111.80033242090919</v>
      </c>
      <c r="BB476">
        <f t="shared" si="449"/>
        <v>1.5618516902907764</v>
      </c>
      <c r="BC476" s="42" t="str">
        <f t="shared" si="450"/>
        <v>-0.0188572185932085+0.109098937208995i</v>
      </c>
      <c r="BD476">
        <f t="shared" si="451"/>
        <v>-19.115742610548651</v>
      </c>
      <c r="BE476" s="44">
        <f t="shared" si="452"/>
        <v>99.806404924896</v>
      </c>
      <c r="BF476" s="42" t="str">
        <f t="shared" si="453"/>
        <v>-0.00230758950605748-0.0212546356036224i</v>
      </c>
      <c r="BG476" s="20">
        <f t="shared" si="454"/>
        <v>-33.400035018650293</v>
      </c>
      <c r="BH476" s="44">
        <f t="shared" si="455"/>
        <v>-96.196262510515993</v>
      </c>
      <c r="BI476" s="42" t="str">
        <f t="shared" si="409"/>
        <v>0.0419202064695162-0.006993318017375i</v>
      </c>
      <c r="BJ476" s="20">
        <f t="shared" si="456"/>
        <v>-27.43231707746272</v>
      </c>
      <c r="BK476" s="44">
        <f t="shared" si="410"/>
        <v>-9.4711214652898406</v>
      </c>
      <c r="BL476">
        <f t="shared" si="457"/>
        <v>-33.400035018650293</v>
      </c>
      <c r="BM476" s="44">
        <f t="shared" si="458"/>
        <v>-96.196262510515993</v>
      </c>
    </row>
    <row r="477" spans="14:65" x14ac:dyDescent="0.35">
      <c r="N477" s="9">
        <v>59</v>
      </c>
      <c r="O477" s="35">
        <f t="shared" si="408"/>
        <v>389045.14499428123</v>
      </c>
      <c r="P477" s="34" t="str">
        <f t="shared" si="411"/>
        <v>16.3709677419355</v>
      </c>
      <c r="Q477" s="4" t="str">
        <f t="shared" si="412"/>
        <v>1+359.569641586798i</v>
      </c>
      <c r="R477" s="4">
        <f t="shared" si="423"/>
        <v>359.57103213531872</v>
      </c>
      <c r="S477" s="4">
        <f t="shared" si="424"/>
        <v>1.5680152315460818</v>
      </c>
      <c r="T477" s="4" t="str">
        <f t="shared" si="413"/>
        <v>1+0.391110838217219i</v>
      </c>
      <c r="U477" s="4">
        <f t="shared" si="425"/>
        <v>1.073763329496298</v>
      </c>
      <c r="V477" s="4">
        <f t="shared" si="426"/>
        <v>0.37281989671052995</v>
      </c>
      <c r="W477" t="str">
        <f t="shared" si="414"/>
        <v>1-5.11836377564881i</v>
      </c>
      <c r="X477" s="4">
        <f t="shared" si="427"/>
        <v>5.2151364066411476</v>
      </c>
      <c r="Y477" s="4">
        <f t="shared" si="428"/>
        <v>-1.3778518725464</v>
      </c>
      <c r="Z477" t="str">
        <f t="shared" si="415"/>
        <v>0.869026609113146+1.00800575662183i</v>
      </c>
      <c r="AA477" s="4">
        <f t="shared" si="429"/>
        <v>1.33089550781774</v>
      </c>
      <c r="AB477" s="4">
        <f t="shared" si="430"/>
        <v>0.85930525800236579</v>
      </c>
      <c r="AC477" s="48" t="str">
        <f t="shared" si="431"/>
        <v>-0.183525908255003+0.0549183749270336i</v>
      </c>
      <c r="AD477" s="20">
        <f t="shared" si="432"/>
        <v>-14.353601254953624</v>
      </c>
      <c r="AE477" s="44">
        <f t="shared" si="433"/>
        <v>163.34068993215561</v>
      </c>
      <c r="AF477" t="str">
        <f t="shared" si="434"/>
        <v>45.9520231294187</v>
      </c>
      <c r="AG477" t="str">
        <f t="shared" si="416"/>
        <v>1+172.548899213479i</v>
      </c>
      <c r="AH477">
        <f t="shared" si="435"/>
        <v>172.55179691844225</v>
      </c>
      <c r="AI477">
        <f t="shared" si="436"/>
        <v>1.5650009330890908</v>
      </c>
      <c r="AJ477" t="str">
        <f t="shared" si="417"/>
        <v>1+0.391110838217219i</v>
      </c>
      <c r="AK477">
        <f t="shared" si="437"/>
        <v>1.073763329496298</v>
      </c>
      <c r="AL477">
        <f t="shared" si="438"/>
        <v>0.37281989671052995</v>
      </c>
      <c r="AM477" t="str">
        <f t="shared" si="418"/>
        <v>1-0.875043176630713i</v>
      </c>
      <c r="AN477">
        <f t="shared" si="439"/>
        <v>1.3287966589994005</v>
      </c>
      <c r="AO477">
        <f t="shared" si="440"/>
        <v>-0.71885445311931639</v>
      </c>
      <c r="AP477" s="42" t="str">
        <f t="shared" si="441"/>
        <v>-0.126801616878073-0.358190597049851i</v>
      </c>
      <c r="AQ477">
        <f t="shared" si="442"/>
        <v>-8.4049550772253596</v>
      </c>
      <c r="AR477" s="44">
        <f t="shared" si="443"/>
        <v>-109.49426804794581</v>
      </c>
      <c r="AS477" t="str">
        <f t="shared" si="419"/>
        <v>-0.000166666666666667</v>
      </c>
      <c r="AT477" t="str">
        <f t="shared" si="420"/>
        <v>0.0308488673643832i</v>
      </c>
      <c r="AU477">
        <f t="shared" si="444"/>
        <v>3.0848867364383199E-2</v>
      </c>
      <c r="AV477">
        <f t="shared" si="445"/>
        <v>1.5707963267948966</v>
      </c>
      <c r="AW477" t="str">
        <f t="shared" si="421"/>
        <v>1+5.6202813399915i</v>
      </c>
      <c r="AX477">
        <f t="shared" si="446"/>
        <v>5.708551685029807</v>
      </c>
      <c r="AY477">
        <f t="shared" si="447"/>
        <v>1.3947120196708804</v>
      </c>
      <c r="AZ477" t="str">
        <f t="shared" si="422"/>
        <v>1+114.399920178536i</v>
      </c>
      <c r="BA477">
        <f t="shared" si="448"/>
        <v>114.40429072746967</v>
      </c>
      <c r="BB477">
        <f t="shared" si="449"/>
        <v>1.5620552845834741</v>
      </c>
      <c r="BC477" s="42" t="str">
        <f t="shared" si="450"/>
        <v>-0.018034548077466+0.106761917533776i</v>
      </c>
      <c r="BD477">
        <f t="shared" si="451"/>
        <v>-19.309481963783433</v>
      </c>
      <c r="BE477" s="44">
        <f t="shared" si="452"/>
        <v>99.588062809431293</v>
      </c>
      <c r="BF477" s="42" t="str">
        <f t="shared" si="453"/>
        <v>-0.00255338419916349-0.0205840059553899i</v>
      </c>
      <c r="BG477" s="20">
        <f t="shared" si="454"/>
        <v>-33.663083218737043</v>
      </c>
      <c r="BH477" s="44">
        <f t="shared" si="455"/>
        <v>-97.071247258413081</v>
      </c>
      <c r="BI477" s="42" t="str">
        <f t="shared" si="409"/>
        <v>0.0405279248394982-0.0070777782208945i</v>
      </c>
      <c r="BJ477" s="20">
        <f t="shared" si="456"/>
        <v>-27.7144370410088</v>
      </c>
      <c r="BK477" s="44">
        <f t="shared" si="410"/>
        <v>-9.9062052385145236</v>
      </c>
      <c r="BL477">
        <f t="shared" si="457"/>
        <v>-33.663083218737043</v>
      </c>
      <c r="BM477" s="44">
        <f t="shared" si="458"/>
        <v>-97.071247258413081</v>
      </c>
    </row>
    <row r="478" spans="14:65" x14ac:dyDescent="0.35">
      <c r="N478" s="9">
        <v>60</v>
      </c>
      <c r="O478" s="35">
        <f t="shared" si="408"/>
        <v>398107.17055349716</v>
      </c>
      <c r="P478" s="34" t="str">
        <f t="shared" si="411"/>
        <v>16.3709677419355</v>
      </c>
      <c r="Q478" s="4" t="str">
        <f t="shared" si="412"/>
        <v>1+367.945094472672i</v>
      </c>
      <c r="R478" s="4">
        <f t="shared" si="423"/>
        <v>367.94645336856223</v>
      </c>
      <c r="S478" s="4">
        <f t="shared" si="424"/>
        <v>1.5680785366873691</v>
      </c>
      <c r="T478" s="4" t="str">
        <f t="shared" si="413"/>
        <v>1+0.400220979952731i</v>
      </c>
      <c r="U478" s="4">
        <f t="shared" si="425"/>
        <v>1.0771150508624063</v>
      </c>
      <c r="V478" s="4">
        <f t="shared" si="426"/>
        <v>0.38069686255432406</v>
      </c>
      <c r="W478" t="str">
        <f t="shared" si="414"/>
        <v>1-5.23758578356508i</v>
      </c>
      <c r="X478" s="4">
        <f t="shared" si="427"/>
        <v>5.3321951239806511</v>
      </c>
      <c r="Y478" s="4">
        <f t="shared" si="428"/>
        <v>-1.3821391940938286</v>
      </c>
      <c r="Z478" t="str">
        <f t="shared" si="415"/>
        <v>0.862854023367346+1.03148522692977i</v>
      </c>
      <c r="AA478" s="4">
        <f t="shared" si="429"/>
        <v>1.3447969508500441</v>
      </c>
      <c r="AB478" s="4">
        <f t="shared" si="430"/>
        <v>0.87418262052003004</v>
      </c>
      <c r="AC478" s="48" t="str">
        <f t="shared" si="431"/>
        <v>-0.181414866351266+0.0565380488437644i</v>
      </c>
      <c r="AD478" s="20">
        <f t="shared" si="432"/>
        <v>-14.423977124454051</v>
      </c>
      <c r="AE478" s="44">
        <f t="shared" si="433"/>
        <v>162.69032420032505</v>
      </c>
      <c r="AF478" t="str">
        <f t="shared" si="434"/>
        <v>45.9520231294187</v>
      </c>
      <c r="AG478" t="str">
        <f t="shared" si="416"/>
        <v>1+176.56807939091i</v>
      </c>
      <c r="AH478">
        <f t="shared" si="435"/>
        <v>176.57091113712553</v>
      </c>
      <c r="AI478">
        <f t="shared" si="436"/>
        <v>1.5651328495017849</v>
      </c>
      <c r="AJ478" t="str">
        <f t="shared" si="417"/>
        <v>1+0.400220979952731i</v>
      </c>
      <c r="AK478">
        <f t="shared" si="437"/>
        <v>1.0771150508624063</v>
      </c>
      <c r="AL478">
        <f t="shared" si="438"/>
        <v>0.38069686255432406</v>
      </c>
      <c r="AM478" t="str">
        <f t="shared" si="418"/>
        <v>1-0.895425550589297i</v>
      </c>
      <c r="AN478">
        <f t="shared" si="439"/>
        <v>1.3423065658217372</v>
      </c>
      <c r="AO478">
        <f t="shared" si="440"/>
        <v>-0.73028202537010956</v>
      </c>
      <c r="AP478" s="42" t="str">
        <f t="shared" si="441"/>
        <v>-0.126871271050672-0.354235224384521i</v>
      </c>
      <c r="AQ478">
        <f t="shared" si="442"/>
        <v>-8.4900142449616123</v>
      </c>
      <c r="AR478" s="44">
        <f t="shared" si="443"/>
        <v>-109.70526106347467</v>
      </c>
      <c r="AS478" t="str">
        <f t="shared" si="419"/>
        <v>-0.000166666666666667</v>
      </c>
      <c r="AT478" t="str">
        <f t="shared" si="420"/>
        <v>0.0315674297937717i</v>
      </c>
      <c r="AU478">
        <f t="shared" si="444"/>
        <v>3.1567429793771702E-2</v>
      </c>
      <c r="AV478">
        <f t="shared" si="445"/>
        <v>1.5707963267948966</v>
      </c>
      <c r="AW478" t="str">
        <f t="shared" si="421"/>
        <v>1+5.75119450985958i</v>
      </c>
      <c r="AX478">
        <f t="shared" si="446"/>
        <v>5.8374856137072388</v>
      </c>
      <c r="AY478">
        <f t="shared" si="447"/>
        <v>1.3986405733815137</v>
      </c>
      <c r="AZ478" t="str">
        <f t="shared" si="422"/>
        <v>1+117.064636636174i</v>
      </c>
      <c r="BA478">
        <f t="shared" si="448"/>
        <v>117.06890770293987</v>
      </c>
      <c r="BB478">
        <f t="shared" si="449"/>
        <v>1.5622542452045052</v>
      </c>
      <c r="BC478" s="42" t="str">
        <f t="shared" si="450"/>
        <v>-0.0172466794824692+0.10446871176097i</v>
      </c>
      <c r="BD478">
        <f t="shared" si="451"/>
        <v>-19.503494613576734</v>
      </c>
      <c r="BE478" s="44">
        <f t="shared" si="452"/>
        <v>99.374372866095925</v>
      </c>
      <c r="BF478" s="42" t="str">
        <f t="shared" si="453"/>
        <v>-0.00277765307487159-0.0199272709889779i</v>
      </c>
      <c r="BG478" s="20">
        <f t="shared" si="454"/>
        <v>-33.927471738030789</v>
      </c>
      <c r="BH478" s="44">
        <f t="shared" si="455"/>
        <v>-97.935302933578996</v>
      </c>
      <c r="BI478" s="42" t="str">
        <f t="shared" si="409"/>
        <v>0.0391946056991535-0.00714469686978016i</v>
      </c>
      <c r="BJ478" s="20">
        <f t="shared" si="456"/>
        <v>-27.993508858538341</v>
      </c>
      <c r="BK478" s="44">
        <f t="shared" si="410"/>
        <v>-10.330888197378741</v>
      </c>
      <c r="BL478">
        <f t="shared" si="457"/>
        <v>-33.927471738030789</v>
      </c>
      <c r="BM478" s="44">
        <f t="shared" si="458"/>
        <v>-97.935302933578996</v>
      </c>
    </row>
    <row r="479" spans="14:65" x14ac:dyDescent="0.35">
      <c r="N479" s="9">
        <v>61</v>
      </c>
      <c r="O479" s="35">
        <f t="shared" si="408"/>
        <v>407380.27780411334</v>
      </c>
      <c r="P479" s="34" t="str">
        <f t="shared" si="411"/>
        <v>16.3709677419355</v>
      </c>
      <c r="Q479" s="4" t="str">
        <f t="shared" si="412"/>
        <v>1+376.515636717966i</v>
      </c>
      <c r="R479" s="4">
        <f t="shared" si="423"/>
        <v>376.51696468171968</v>
      </c>
      <c r="S479" s="4">
        <f t="shared" si="424"/>
        <v>1.5681404008487618</v>
      </c>
      <c r="T479" s="4" t="str">
        <f t="shared" si="413"/>
        <v>1+0.409543324149366i</v>
      </c>
      <c r="U479" s="4">
        <f t="shared" si="425"/>
        <v>1.0806135916021566</v>
      </c>
      <c r="V479" s="4">
        <f t="shared" si="426"/>
        <v>0.38870621227214175</v>
      </c>
      <c r="W479" t="str">
        <f t="shared" si="414"/>
        <v>1-5.35958482879145i</v>
      </c>
      <c r="X479" s="4">
        <f t="shared" si="427"/>
        <v>5.4520775431950232</v>
      </c>
      <c r="Y479" s="4">
        <f t="shared" si="428"/>
        <v>-1.386335717494082</v>
      </c>
      <c r="Z479" t="str">
        <f t="shared" si="415"/>
        <v>0.856390532617626+1.05551160435836i</v>
      </c>
      <c r="AA479" s="4">
        <f t="shared" si="429"/>
        <v>1.3592312133306312</v>
      </c>
      <c r="AB479" s="4">
        <f t="shared" si="430"/>
        <v>0.88917218653248087</v>
      </c>
      <c r="AC479" s="48" t="str">
        <f t="shared" si="431"/>
        <v>-0.179287230172263+0.05809347475788i</v>
      </c>
      <c r="AD479" s="20">
        <f t="shared" si="432"/>
        <v>-14.495421711756887</v>
      </c>
      <c r="AE479" s="44">
        <f t="shared" si="433"/>
        <v>162.04639963174088</v>
      </c>
      <c r="AF479" t="str">
        <f t="shared" si="434"/>
        <v>45.9520231294187</v>
      </c>
      <c r="AG479" t="str">
        <f t="shared" si="416"/>
        <v>1+180.680878301191i</v>
      </c>
      <c r="AH479">
        <f t="shared" si="435"/>
        <v>180.68364558999187</v>
      </c>
      <c r="AI479">
        <f t="shared" si="436"/>
        <v>1.5652617633207924</v>
      </c>
      <c r="AJ479" t="str">
        <f t="shared" si="417"/>
        <v>1+0.409543324149366i</v>
      </c>
      <c r="AK479">
        <f t="shared" si="437"/>
        <v>1.0806135916021566</v>
      </c>
      <c r="AL479">
        <f t="shared" si="438"/>
        <v>0.38870621227214175</v>
      </c>
      <c r="AM479" t="str">
        <f t="shared" si="418"/>
        <v>1-0.916282691027164i</v>
      </c>
      <c r="AN479">
        <f t="shared" si="439"/>
        <v>1.3563089507468353</v>
      </c>
      <c r="AO479">
        <f t="shared" si="440"/>
        <v>-0.74173857718050162</v>
      </c>
      <c r="AP479" s="42" t="str">
        <f t="shared" si="441"/>
        <v>-0.12693779046567-0.350467636405824i</v>
      </c>
      <c r="AQ479">
        <f t="shared" si="442"/>
        <v>-8.5717030857724232</v>
      </c>
      <c r="AR479" s="44">
        <f t="shared" si="443"/>
        <v>-109.91015741225802</v>
      </c>
      <c r="AS479" t="str">
        <f t="shared" si="419"/>
        <v>-0.000166666666666667</v>
      </c>
      <c r="AT479" t="str">
        <f t="shared" si="420"/>
        <v>0.0323027296922813i</v>
      </c>
      <c r="AU479">
        <f t="shared" si="444"/>
        <v>3.2302729692281297E-2</v>
      </c>
      <c r="AV479">
        <f t="shared" si="445"/>
        <v>1.5707963267948966</v>
      </c>
      <c r="AW479" t="str">
        <f t="shared" si="421"/>
        <v>1+5.88515703918286i</v>
      </c>
      <c r="AX479">
        <f t="shared" si="446"/>
        <v>5.9695119880810674</v>
      </c>
      <c r="AY479">
        <f t="shared" si="447"/>
        <v>1.4024848953776849</v>
      </c>
      <c r="AZ479" t="str">
        <f t="shared" si="422"/>
        <v>1+119.791422313689i</v>
      </c>
      <c r="BA479">
        <f t="shared" si="448"/>
        <v>119.79559616253255</v>
      </c>
      <c r="BB479">
        <f t="shared" si="449"/>
        <v>1.5624486775823812</v>
      </c>
      <c r="BC479" s="42" t="str">
        <f t="shared" si="450"/>
        <v>-0.0164922337485178+0.102218908222927i</v>
      </c>
      <c r="BD479">
        <f t="shared" si="451"/>
        <v>-19.697768984195417</v>
      </c>
      <c r="BE479" s="44">
        <f t="shared" si="452"/>
        <v>99.165249595278965</v>
      </c>
      <c r="BF479" s="42" t="str">
        <f t="shared" si="453"/>
        <v>-0.00298140465650139-0.0192846360914919i</v>
      </c>
      <c r="BG479" s="20">
        <f t="shared" si="454"/>
        <v>-34.19319069595231</v>
      </c>
      <c r="BH479" s="44">
        <f t="shared" si="455"/>
        <v>-98.788350772980152</v>
      </c>
      <c r="BI479" s="42" t="str">
        <f t="shared" si="409"/>
        <v>0.0379179068727533-0.00719544817273606i</v>
      </c>
      <c r="BJ479" s="20">
        <f t="shared" si="456"/>
        <v>-28.269472069967829</v>
      </c>
      <c r="BK479" s="44">
        <f t="shared" si="410"/>
        <v>-10.744907816979037</v>
      </c>
      <c r="BL479">
        <f t="shared" si="457"/>
        <v>-34.19319069595231</v>
      </c>
      <c r="BM479" s="44">
        <f t="shared" si="458"/>
        <v>-98.788350772980152</v>
      </c>
    </row>
    <row r="480" spans="14:65" x14ac:dyDescent="0.35">
      <c r="N480" s="9">
        <v>62</v>
      </c>
      <c r="O480" s="35">
        <f t="shared" si="408"/>
        <v>416869.38347033598</v>
      </c>
      <c r="P480" s="34" t="str">
        <f t="shared" si="411"/>
        <v>16.3709677419355</v>
      </c>
      <c r="Q480" s="4" t="str">
        <f t="shared" si="412"/>
        <v>1+385.285812537621i</v>
      </c>
      <c r="R480" s="4">
        <f t="shared" si="423"/>
        <v>385.28711027333219</v>
      </c>
      <c r="S480" s="4">
        <f t="shared" si="424"/>
        <v>1.5682008568295622</v>
      </c>
      <c r="T480" s="4" t="str">
        <f t="shared" si="413"/>
        <v>1+0.419082813637413i</v>
      </c>
      <c r="U480" s="4">
        <f t="shared" si="425"/>
        <v>1.0842649144403091</v>
      </c>
      <c r="V480" s="4">
        <f t="shared" si="426"/>
        <v>0.39684808110699249</v>
      </c>
      <c r="W480" t="str">
        <f t="shared" si="414"/>
        <v>1-5.48442559683655i</v>
      </c>
      <c r="X480" s="4">
        <f t="shared" si="427"/>
        <v>5.5748474532704426</v>
      </c>
      <c r="Y480" s="4">
        <f t="shared" si="428"/>
        <v>-1.3904430762784892</v>
      </c>
      <c r="Z480" t="str">
        <f t="shared" si="415"/>
        <v>0.849622426933531+1.08009762801093i</v>
      </c>
      <c r="AA480" s="4">
        <f t="shared" si="429"/>
        <v>1.3742158325325977</v>
      </c>
      <c r="AB480" s="4">
        <f t="shared" si="430"/>
        <v>0.90426960592701089</v>
      </c>
      <c r="AC480" s="48" t="str">
        <f t="shared" si="431"/>
        <v>-0.177144917897364+0.0595846080982833i</v>
      </c>
      <c r="AD480" s="20">
        <f t="shared" si="432"/>
        <v>-14.56793364396594</v>
      </c>
      <c r="AE480" s="44">
        <f t="shared" si="433"/>
        <v>161.40907774464253</v>
      </c>
      <c r="AF480" t="str">
        <f t="shared" si="434"/>
        <v>45.9520231294187</v>
      </c>
      <c r="AG480" t="str">
        <f t="shared" si="416"/>
        <v>1+184.88947660474i</v>
      </c>
      <c r="AH480">
        <f t="shared" si="435"/>
        <v>184.89218090328939</v>
      </c>
      <c r="AI480">
        <f t="shared" si="436"/>
        <v>1.5653877428807774</v>
      </c>
      <c r="AJ480" t="str">
        <f t="shared" si="417"/>
        <v>1+0.419082813637413i</v>
      </c>
      <c r="AK480">
        <f t="shared" si="437"/>
        <v>1.0842649144403091</v>
      </c>
      <c r="AL480">
        <f t="shared" si="438"/>
        <v>0.39684808110699249</v>
      </c>
      <c r="AM480" t="str">
        <f t="shared" si="418"/>
        <v>1-0.93762565667625i</v>
      </c>
      <c r="AN480">
        <f t="shared" si="439"/>
        <v>1.3708179573005195</v>
      </c>
      <c r="AO480">
        <f t="shared" si="440"/>
        <v>-0.75321815433502481</v>
      </c>
      <c r="AP480" s="42" t="str">
        <f t="shared" si="441"/>
        <v>-0.127001316193103-0.346885837859294i</v>
      </c>
      <c r="AQ480">
        <f t="shared" si="442"/>
        <v>-8.6499743748176332</v>
      </c>
      <c r="AR480" s="44">
        <f t="shared" si="443"/>
        <v>-110.10861210931297</v>
      </c>
      <c r="AS480" t="str">
        <f t="shared" si="419"/>
        <v>-0.000166666666666667</v>
      </c>
      <c r="AT480" t="str">
        <f t="shared" si="420"/>
        <v>0.0330551569256509i</v>
      </c>
      <c r="AU480">
        <f t="shared" si="444"/>
        <v>3.3055156925650898E-2</v>
      </c>
      <c r="AV480">
        <f t="shared" si="445"/>
        <v>1.5707963267948966</v>
      </c>
      <c r="AW480" t="str">
        <f t="shared" si="421"/>
        <v>1+6.02223995666758i</v>
      </c>
      <c r="AX480">
        <f t="shared" si="446"/>
        <v>6.1047009833147055</v>
      </c>
      <c r="AY480">
        <f t="shared" si="447"/>
        <v>1.4062465692262118</v>
      </c>
      <c r="AZ480" t="str">
        <f t="shared" si="422"/>
        <v>1+122.581722988943i</v>
      </c>
      <c r="BA480">
        <f t="shared" si="448"/>
        <v>122.58580183258563</v>
      </c>
      <c r="BB480">
        <f t="shared" si="449"/>
        <v>1.5626386847488862</v>
      </c>
      <c r="BC480" s="42" t="str">
        <f t="shared" si="450"/>
        <v>-0.0157698784532304+0.100012069743949i</v>
      </c>
      <c r="BD480">
        <f t="shared" si="451"/>
        <v>-19.892293959827555</v>
      </c>
      <c r="BE480" s="44">
        <f t="shared" si="452"/>
        <v>98.960608168571611</v>
      </c>
      <c r="BF480" s="42" t="str">
        <f t="shared" si="453"/>
        <v>-0.00316562615694247-0.0186562719109306i</v>
      </c>
      <c r="BG480" s="20">
        <f t="shared" si="454"/>
        <v>-34.460227603793484</v>
      </c>
      <c r="BH480" s="44">
        <f t="shared" si="455"/>
        <v>-99.63031408678583</v>
      </c>
      <c r="BI480" s="42" t="str">
        <f t="shared" si="409"/>
        <v>0.0366955659289374-0.00723131699248988i</v>
      </c>
      <c r="BJ480" s="20">
        <f t="shared" si="456"/>
        <v>-28.542268334645193</v>
      </c>
      <c r="BK480" s="44">
        <f t="shared" si="410"/>
        <v>-11.148003940741351</v>
      </c>
      <c r="BL480">
        <f t="shared" si="457"/>
        <v>-34.460227603793484</v>
      </c>
      <c r="BM480" s="44">
        <f t="shared" si="458"/>
        <v>-99.63031408678583</v>
      </c>
    </row>
    <row r="481" spans="14:65" x14ac:dyDescent="0.35">
      <c r="N481" s="9">
        <v>63</v>
      </c>
      <c r="O481" s="35">
        <f t="shared" si="408"/>
        <v>426579.51880159322</v>
      </c>
      <c r="P481" s="34" t="str">
        <f t="shared" si="411"/>
        <v>16.3709677419355</v>
      </c>
      <c r="Q481" s="4" t="str">
        <f t="shared" si="412"/>
        <v>1+394.260271994944i</v>
      </c>
      <c r="R481" s="4">
        <f t="shared" si="423"/>
        <v>394.26154019068008</v>
      </c>
      <c r="S481" s="4">
        <f t="shared" si="424"/>
        <v>1.5682599366825625</v>
      </c>
      <c r="T481" s="4" t="str">
        <f t="shared" si="413"/>
        <v>1+0.428844506380466i</v>
      </c>
      <c r="U481" s="4">
        <f t="shared" si="425"/>
        <v>1.0880751861212099</v>
      </c>
      <c r="V481" s="4">
        <f t="shared" si="426"/>
        <v>0.40512246713913896</v>
      </c>
      <c r="W481" t="str">
        <f t="shared" si="414"/>
        <v>1-5.61217427992803i</v>
      </c>
      <c r="X481" s="4">
        <f t="shared" si="427"/>
        <v>5.7005701599301188</v>
      </c>
      <c r="Y481" s="4">
        <f t="shared" si="428"/>
        <v>-1.3944628936092134</v>
      </c>
      <c r="Z481" t="str">
        <f t="shared" si="415"/>
        <v>0.84253535025549+1.10525633372265i</v>
      </c>
      <c r="AA481" s="4">
        <f t="shared" si="429"/>
        <v>1.3897688223816849</v>
      </c>
      <c r="AB481" s="4">
        <f t="shared" si="430"/>
        <v>0.91947046991076475</v>
      </c>
      <c r="AC481" s="48" t="str">
        <f t="shared" si="431"/>
        <v>-0.174989884483073+0.061011506495423i</v>
      </c>
      <c r="AD481" s="20">
        <f t="shared" si="432"/>
        <v>-14.641508494155788</v>
      </c>
      <c r="AE481" s="44">
        <f t="shared" si="433"/>
        <v>160.77851619742989</v>
      </c>
      <c r="AF481" t="str">
        <f t="shared" si="434"/>
        <v>45.9520231294187</v>
      </c>
      <c r="AG481" t="str">
        <f t="shared" si="416"/>
        <v>1+189.196105756087i</v>
      </c>
      <c r="AH481">
        <f t="shared" si="435"/>
        <v>189.19874849815594</v>
      </c>
      <c r="AI481">
        <f t="shared" si="436"/>
        <v>1.5655108549617658</v>
      </c>
      <c r="AJ481" t="str">
        <f t="shared" si="417"/>
        <v>1+0.428844506380466i</v>
      </c>
      <c r="AK481">
        <f t="shared" si="437"/>
        <v>1.0880751861212099</v>
      </c>
      <c r="AL481">
        <f t="shared" si="438"/>
        <v>0.40512246713913896</v>
      </c>
      <c r="AM481" t="str">
        <f t="shared" si="418"/>
        <v>1-0.959465763859447i</v>
      </c>
      <c r="AN481">
        <f t="shared" si="439"/>
        <v>1.385847954148792</v>
      </c>
      <c r="AO481">
        <f t="shared" si="440"/>
        <v>-0.76471474218731061</v>
      </c>
      <c r="AP481" s="42" t="str">
        <f t="shared" si="441"/>
        <v>-0.127061982955332-0.34348793184026i</v>
      </c>
      <c r="AQ481">
        <f t="shared" si="442"/>
        <v>-8.7247826253109153</v>
      </c>
      <c r="AR481" s="44">
        <f t="shared" si="443"/>
        <v>-110.30028447699402</v>
      </c>
      <c r="AS481" t="str">
        <f t="shared" si="419"/>
        <v>-0.000166666666666667</v>
      </c>
      <c r="AT481" t="str">
        <f t="shared" si="420"/>
        <v>0.0338251104407592i</v>
      </c>
      <c r="AU481">
        <f t="shared" si="444"/>
        <v>3.3825110440759198E-2</v>
      </c>
      <c r="AV481">
        <f t="shared" si="445"/>
        <v>1.5707963267948966</v>
      </c>
      <c r="AW481" t="str">
        <f t="shared" si="421"/>
        <v>1+6.16251594549109i</v>
      </c>
      <c r="AX481">
        <f t="shared" si="446"/>
        <v>6.2431244404089803</v>
      </c>
      <c r="AY481">
        <f t="shared" si="447"/>
        <v>1.4099271633746737</v>
      </c>
      <c r="AZ481" t="str">
        <f t="shared" si="422"/>
        <v>1+125.437018116286i</v>
      </c>
      <c r="BA481">
        <f t="shared" si="448"/>
        <v>125.44100411709667</v>
      </c>
      <c r="BB481">
        <f t="shared" si="449"/>
        <v>1.562824367393425</v>
      </c>
      <c r="BC481" s="42" t="str">
        <f t="shared" si="450"/>
        <v>-0.0150783269414441+0.0978477361205054i</v>
      </c>
      <c r="BD481">
        <f t="shared" si="451"/>
        <v>-20.087058868922213</v>
      </c>
      <c r="BE481" s="44">
        <f t="shared" si="452"/>
        <v>98.760364489625118</v>
      </c>
      <c r="BF481" s="42" t="str">
        <f t="shared" si="453"/>
        <v>-0.00333128309819734-0.0180423154827855i</v>
      </c>
      <c r="BG481" s="20">
        <f t="shared" si="454"/>
        <v>-34.728567363077993</v>
      </c>
      <c r="BH481" s="44">
        <f t="shared" si="455"/>
        <v>-100.46111931294496</v>
      </c>
      <c r="BI481" s="42" t="str">
        <f t="shared" si="409"/>
        <v>0.0355253986361126-0.00725350404243357i</v>
      </c>
      <c r="BJ481" s="20">
        <f t="shared" si="456"/>
        <v>-28.811841494233128</v>
      </c>
      <c r="BK481" s="44">
        <f t="shared" si="410"/>
        <v>-11.53991998736889</v>
      </c>
      <c r="BL481">
        <f t="shared" si="457"/>
        <v>-34.728567363077993</v>
      </c>
      <c r="BM481" s="44">
        <f t="shared" si="458"/>
        <v>-100.46111931294496</v>
      </c>
    </row>
    <row r="482" spans="14:65" x14ac:dyDescent="0.35">
      <c r="N482" s="9">
        <v>64</v>
      </c>
      <c r="O482" s="35">
        <f t="shared" si="408"/>
        <v>436515.83224016649</v>
      </c>
      <c r="P482" s="34" t="str">
        <f t="shared" si="411"/>
        <v>16.3709677419355</v>
      </c>
      <c r="Q482" s="4" t="str">
        <f t="shared" si="412"/>
        <v>1+403.44377346713i</v>
      </c>
      <c r="R482" s="4">
        <f t="shared" si="423"/>
        <v>403.44501279529646</v>
      </c>
      <c r="S482" s="4">
        <f t="shared" si="424"/>
        <v>1.5683176717310323</v>
      </c>
      <c r="T482" s="4" t="str">
        <f t="shared" si="413"/>
        <v>1+0.438833578157229i</v>
      </c>
      <c r="U482" s="4">
        <f t="shared" si="425"/>
        <v>1.0920507814741385</v>
      </c>
      <c r="V482" s="4">
        <f t="shared" si="426"/>
        <v>0.41352922442874746</v>
      </c>
      <c r="W482" t="str">
        <f t="shared" si="414"/>
        <v>1-5.74289861210863i</v>
      </c>
      <c r="X482" s="4">
        <f t="shared" si="427"/>
        <v>5.8293125211262451</v>
      </c>
      <c r="Y482" s="4">
        <f t="shared" si="428"/>
        <v>-1.3983967809424744</v>
      </c>
      <c r="Z482" t="str">
        <f t="shared" si="415"/>
        <v>0.835114269943689+1.1310010609723i</v>
      </c>
      <c r="AA482" s="4">
        <f t="shared" si="429"/>
        <v>1.4059086897035842</v>
      </c>
      <c r="AB482" s="4">
        <f t="shared" si="430"/>
        <v>0.93477032543715111</v>
      </c>
      <c r="AC482" s="48" t="str">
        <f t="shared" si="431"/>
        <v>-0.172824113000031+0.062374333158354i</v>
      </c>
      <c r="AD482" s="20">
        <f t="shared" si="432"/>
        <v>-14.716138809270076</v>
      </c>
      <c r="AE482" s="44">
        <f t="shared" si="433"/>
        <v>160.15486764481025</v>
      </c>
      <c r="AF482" t="str">
        <f t="shared" si="434"/>
        <v>45.9520231294187</v>
      </c>
      <c r="AG482" t="str">
        <f t="shared" si="416"/>
        <v>1+193.603049187012i</v>
      </c>
      <c r="AH482">
        <f t="shared" si="435"/>
        <v>193.60563177373893</v>
      </c>
      <c r="AI482">
        <f t="shared" si="436"/>
        <v>1.5656311648244765</v>
      </c>
      <c r="AJ482" t="str">
        <f t="shared" si="417"/>
        <v>1+0.438833578157229i</v>
      </c>
      <c r="AK482">
        <f t="shared" si="437"/>
        <v>1.0920507814741385</v>
      </c>
      <c r="AL482">
        <f t="shared" si="438"/>
        <v>0.41352922442874746</v>
      </c>
      <c r="AM482" t="str">
        <f t="shared" si="418"/>
        <v>1-0.981814592490671i</v>
      </c>
      <c r="AN482">
        <f t="shared" si="439"/>
        <v>1.4014135342673206</v>
      </c>
      <c r="AO482">
        <f t="shared" si="440"/>
        <v>-0.77622228125846471</v>
      </c>
      <c r="AP482" s="42" t="str">
        <f t="shared" si="441"/>
        <v>-0.127119919412602-0.340272118798661i</v>
      </c>
      <c r="AQ482">
        <f t="shared" si="442"/>
        <v>-8.7960841618405645</v>
      </c>
      <c r="AR482" s="44">
        <f t="shared" si="443"/>
        <v>-110.48483943363486</v>
      </c>
      <c r="AS482" t="str">
        <f t="shared" si="419"/>
        <v>-0.000166666666666667</v>
      </c>
      <c r="AT482" t="str">
        <f t="shared" si="420"/>
        <v>0.0346129984771515i</v>
      </c>
      <c r="AU482">
        <f t="shared" si="444"/>
        <v>3.4612998477151498E-2</v>
      </c>
      <c r="AV482">
        <f t="shared" si="445"/>
        <v>1.5707963267948966</v>
      </c>
      <c r="AW482" t="str">
        <f t="shared" si="421"/>
        <v>1+6.30605938183942i</v>
      </c>
      <c r="AX482">
        <f t="shared" si="446"/>
        <v>6.384855904974283</v>
      </c>
      <c r="AY482">
        <f t="shared" si="447"/>
        <v>1.4135282302392926</v>
      </c>
      <c r="AZ482" t="str">
        <f t="shared" si="422"/>
        <v>1+128.358821610989i</v>
      </c>
      <c r="BA482">
        <f t="shared" si="448"/>
        <v>128.36271688212935</v>
      </c>
      <c r="BB482">
        <f t="shared" si="449"/>
        <v>1.5630058239161486</v>
      </c>
      <c r="BC482" s="42" t="str">
        <f t="shared" si="450"/>
        <v>-0.0144163374017166+0.0957254264606155i</v>
      </c>
      <c r="BD482">
        <f t="shared" si="451"/>
        <v>-20.282053468831208</v>
      </c>
      <c r="BE482" s="44">
        <f t="shared" si="452"/>
        <v>98.564435249455244</v>
      </c>
      <c r="BF482" s="42" t="str">
        <f t="shared" si="453"/>
        <v>-0.0034793189176191-0.0174428713516235i</v>
      </c>
      <c r="BG482" s="20">
        <f t="shared" si="454"/>
        <v>-34.998192278101278</v>
      </c>
      <c r="BH482" s="44">
        <f t="shared" si="455"/>
        <v>-101.28069710573446</v>
      </c>
      <c r="BI482" s="42" t="str">
        <f t="shared" si="409"/>
        <v>0.0344052973333901-0.00726313082441191i</v>
      </c>
      <c r="BJ482" s="20">
        <f t="shared" si="456"/>
        <v>-29.07813763067178</v>
      </c>
      <c r="BK482" s="44">
        <f t="shared" si="410"/>
        <v>-11.920404184179629</v>
      </c>
      <c r="BL482">
        <f t="shared" si="457"/>
        <v>-34.998192278101278</v>
      </c>
      <c r="BM482" s="44">
        <f t="shared" si="458"/>
        <v>-101.28069710573446</v>
      </c>
    </row>
    <row r="483" spans="14:65" x14ac:dyDescent="0.35">
      <c r="N483" s="9">
        <v>65</v>
      </c>
      <c r="O483" s="35">
        <f t="shared" si="408"/>
        <v>446683.59215096442</v>
      </c>
      <c r="P483" s="34" t="str">
        <f t="shared" si="411"/>
        <v>16.3709677419355</v>
      </c>
      <c r="Q483" s="4" t="str">
        <f t="shared" si="412"/>
        <v>1+412.841186168219i</v>
      </c>
      <c r="R483" s="4">
        <f t="shared" si="423"/>
        <v>412.84239728591592</v>
      </c>
      <c r="S483" s="4">
        <f t="shared" si="424"/>
        <v>1.568374092585318</v>
      </c>
      <c r="T483" s="4" t="str">
        <f t="shared" si="413"/>
        <v>1+0.449055325305782i</v>
      </c>
      <c r="U483" s="4">
        <f t="shared" si="425"/>
        <v>1.096198287348362</v>
      </c>
      <c r="V483" s="4">
        <f t="shared" si="426"/>
        <v>0.42206805621536531</v>
      </c>
      <c r="W483" t="str">
        <f t="shared" si="414"/>
        <v>1-5.87666790514965i</v>
      </c>
      <c r="X483" s="4">
        <f t="shared" si="427"/>
        <v>5.9611429833058001</v>
      </c>
      <c r="Y483" s="4">
        <f t="shared" si="428"/>
        <v>-1.4022463368052973</v>
      </c>
      <c r="Z483" t="str">
        <f t="shared" si="415"/>
        <v>0.827343444891821+1.15734545995506i</v>
      </c>
      <c r="AA483" s="4">
        <f t="shared" si="429"/>
        <v>1.422654451890569</v>
      </c>
      <c r="AB483" s="4">
        <f t="shared" si="430"/>
        <v>0.95016468993123837</v>
      </c>
      <c r="AC483" s="48" t="str">
        <f t="shared" si="431"/>
        <v>-0.170649605666837+0.0636733594799929i</v>
      </c>
      <c r="AD483" s="20">
        <f t="shared" si="432"/>
        <v>-14.791814152382708</v>
      </c>
      <c r="AE483" s="44">
        <f t="shared" si="433"/>
        <v>159.53827857359178</v>
      </c>
      <c r="AF483" t="str">
        <f t="shared" si="434"/>
        <v>45.9520231294187</v>
      </c>
      <c r="AG483" t="str">
        <f t="shared" si="416"/>
        <v>1+198.112643517256i</v>
      </c>
      <c r="AH483">
        <f t="shared" si="435"/>
        <v>198.11516731788953</v>
      </c>
      <c r="AI483">
        <f t="shared" si="436"/>
        <v>1.5657487362448517</v>
      </c>
      <c r="AJ483" t="str">
        <f t="shared" si="417"/>
        <v>1+0.449055325305782i</v>
      </c>
      <c r="AK483">
        <f t="shared" si="437"/>
        <v>1.096198287348362</v>
      </c>
      <c r="AL483">
        <f t="shared" si="438"/>
        <v>0.42206805621536531</v>
      </c>
      <c r="AM483" t="str">
        <f t="shared" si="418"/>
        <v>1-1.00468399221469i</v>
      </c>
      <c r="AN483">
        <f t="shared" si="439"/>
        <v>1.4175295144061189</v>
      </c>
      <c r="AO483">
        <f t="shared" si="440"/>
        <v>-0.78773468312278472</v>
      </c>
      <c r="AP483" s="42" t="str">
        <f t="shared" si="441"/>
        <v>-0.127175248435756-0.337236695594745i</v>
      </c>
      <c r="AQ483">
        <f t="shared" si="442"/>
        <v>-8.8638371883177918</v>
      </c>
      <c r="AR483" s="44">
        <f t="shared" si="443"/>
        <v>-110.6619487953523</v>
      </c>
      <c r="AS483" t="str">
        <f t="shared" si="419"/>
        <v>-0.000166666666666667</v>
      </c>
      <c r="AT483" t="str">
        <f t="shared" si="420"/>
        <v>0.0354192387834936i</v>
      </c>
      <c r="AU483">
        <f t="shared" si="444"/>
        <v>3.5419238783493602E-2</v>
      </c>
      <c r="AV483">
        <f t="shared" si="445"/>
        <v>1.5707963267948966</v>
      </c>
      <c r="AW483" t="str">
        <f t="shared" si="421"/>
        <v>1+6.45294637434261i</v>
      </c>
      <c r="AX483">
        <f t="shared" si="446"/>
        <v>6.5299706668668458</v>
      </c>
      <c r="AY483">
        <f t="shared" si="447"/>
        <v>1.4170513053830729</v>
      </c>
      <c r="AZ483" t="str">
        <f t="shared" si="422"/>
        <v>1+131.348682651941i</v>
      </c>
      <c r="BA483">
        <f t="shared" si="448"/>
        <v>131.35248925848458</v>
      </c>
      <c r="BB483">
        <f t="shared" si="449"/>
        <v>1.5631831504798819</v>
      </c>
      <c r="BC483" s="42" t="str">
        <f t="shared" si="450"/>
        <v>-0.0137827118981341+0.0936446413871974i</v>
      </c>
      <c r="BD483">
        <f t="shared" si="451"/>
        <v>-20.477267930770587</v>
      </c>
      <c r="BE483" s="44">
        <f t="shared" si="452"/>
        <v>98.372737976506627</v>
      </c>
      <c r="BF483" s="42" t="str">
        <f t="shared" si="453"/>
        <v>-0.00361065456398583-0.0168580126948367i</v>
      </c>
      <c r="BG483" s="20">
        <f t="shared" si="454"/>
        <v>-35.269082083153279</v>
      </c>
      <c r="BH483" s="44">
        <f t="shared" si="455"/>
        <v>-102.08898344990153</v>
      </c>
      <c r="BI483" s="42" t="str">
        <f t="shared" si="409"/>
        <v>0.033333229231337-0.00726124431623299i</v>
      </c>
      <c r="BJ483" s="20">
        <f t="shared" si="456"/>
        <v>-29.341105119088379</v>
      </c>
      <c r="BK483" s="44">
        <f t="shared" si="410"/>
        <v>-12.28921081884568</v>
      </c>
      <c r="BL483">
        <f t="shared" si="457"/>
        <v>-35.269082083153279</v>
      </c>
      <c r="BM483" s="44">
        <f t="shared" si="458"/>
        <v>-102.08898344990153</v>
      </c>
    </row>
    <row r="484" spans="14:65" x14ac:dyDescent="0.35">
      <c r="N484" s="9">
        <v>66</v>
      </c>
      <c r="O484" s="35">
        <f t="shared" ref="O484:O518" si="459">10^(5+(N484/100))</f>
        <v>457088.18961487547</v>
      </c>
      <c r="P484" s="34" t="str">
        <f t="shared" si="411"/>
        <v>16.3709677419355</v>
      </c>
      <c r="Q484" s="4" t="str">
        <f t="shared" si="412"/>
        <v>1+422.457492730812i</v>
      </c>
      <c r="R484" s="4">
        <f t="shared" si="423"/>
        <v>422.45867628018254</v>
      </c>
      <c r="S484" s="4">
        <f t="shared" si="424"/>
        <v>1.5684292291590656</v>
      </c>
      <c r="T484" s="4" t="str">
        <f t="shared" si="413"/>
        <v>1+0.45951516753176i</v>
      </c>
      <c r="U484" s="4">
        <f t="shared" si="425"/>
        <v>1.1005245064021707</v>
      </c>
      <c r="V484" s="4">
        <f t="shared" si="426"/>
        <v>0.43073850821351617</v>
      </c>
      <c r="W484" t="str">
        <f t="shared" si="414"/>
        <v>1-6.01355308530083i</v>
      </c>
      <c r="X484" s="4">
        <f t="shared" si="427"/>
        <v>6.0961316184717615</v>
      </c>
      <c r="Y484" s="4">
        <f t="shared" si="428"/>
        <v>-1.406013145679788</v>
      </c>
      <c r="Z484" t="str">
        <f t="shared" si="415"/>
        <v>0.819206392138104+1.18430349881995i</v>
      </c>
      <c r="AA484" s="4">
        <f t="shared" si="429"/>
        <v>1.4400256561037736</v>
      </c>
      <c r="AB484" s="4">
        <f t="shared" si="430"/>
        <v>0.96564906621117186</v>
      </c>
      <c r="AC484" s="48" t="str">
        <f t="shared" si="431"/>
        <v>-0.168468374658653+0.0649089668386787i</v>
      </c>
      <c r="AD484" s="20">
        <f t="shared" si="432"/>
        <v>-14.868521159705629</v>
      </c>
      <c r="AE484" s="44">
        <f t="shared" si="433"/>
        <v>158.92888812661056</v>
      </c>
      <c r="AF484" t="str">
        <f t="shared" si="434"/>
        <v>45.9520231294187</v>
      </c>
      <c r="AG484" t="str">
        <f t="shared" si="416"/>
        <v>1+202.727279793423i</v>
      </c>
      <c r="AH484">
        <f t="shared" si="435"/>
        <v>202.7297461460474</v>
      </c>
      <c r="AI484">
        <f t="shared" si="436"/>
        <v>1.5658636315478056</v>
      </c>
      <c r="AJ484" t="str">
        <f t="shared" si="417"/>
        <v>1+0.45951516753176i</v>
      </c>
      <c r="AK484">
        <f t="shared" si="437"/>
        <v>1.1005245064021707</v>
      </c>
      <c r="AL484">
        <f t="shared" si="438"/>
        <v>0.43073850821351617</v>
      </c>
      <c r="AM484" t="str">
        <f t="shared" si="418"/>
        <v>1-1.02808608868994i</v>
      </c>
      <c r="AN484">
        <f t="shared" si="439"/>
        <v>1.4342109348899064</v>
      </c>
      <c r="AO484">
        <f t="shared" si="440"/>
        <v>-0.79924584647978059</v>
      </c>
      <c r="AP484" s="42" t="str">
        <f t="shared" si="441"/>
        <v>-0.127228087366697-0.334380054605239i</v>
      </c>
      <c r="AQ484">
        <f t="shared" si="442"/>
        <v>-8.9280018504674139</v>
      </c>
      <c r="AR484" s="44">
        <f t="shared" si="443"/>
        <v>-110.83129258297423</v>
      </c>
      <c r="AS484" t="str">
        <f t="shared" si="419"/>
        <v>-0.000166666666666667</v>
      </c>
      <c r="AT484" t="str">
        <f t="shared" si="420"/>
        <v>0.0362442588390676i</v>
      </c>
      <c r="AU484">
        <f t="shared" si="444"/>
        <v>3.6244258839067602E-2</v>
      </c>
      <c r="AV484">
        <f t="shared" si="445"/>
        <v>1.5707963267948966</v>
      </c>
      <c r="AW484" t="str">
        <f t="shared" si="421"/>
        <v>1+6.60325480442827i</v>
      </c>
      <c r="AX484">
        <f t="shared" si="446"/>
        <v>6.6785458007117855</v>
      </c>
      <c r="AY484">
        <f t="shared" si="447"/>
        <v>1.4204979067789212</v>
      </c>
      <c r="AZ484" t="str">
        <f t="shared" si="422"/>
        <v>1+134.40818650304i</v>
      </c>
      <c r="BA484">
        <f t="shared" si="448"/>
        <v>134.41190646306592</v>
      </c>
      <c r="BB484">
        <f t="shared" si="449"/>
        <v>1.5633564410608825</v>
      </c>
      <c r="BC484" s="42" t="str">
        <f t="shared" si="450"/>
        <v>-0.0131762953653983+0.0916048651103415i</v>
      </c>
      <c r="BD484">
        <f t="shared" si="451"/>
        <v>-20.672692825115284</v>
      </c>
      <c r="BE484" s="44">
        <f t="shared" si="452"/>
        <v>98.185191081781369</v>
      </c>
      <c r="BF484" s="42" t="str">
        <f t="shared" si="453"/>
        <v>-0.0037261880874778-0.0162877824548937i</v>
      </c>
      <c r="BG484" s="20">
        <f t="shared" si="454"/>
        <v>-35.541213984820892</v>
      </c>
      <c r="BH484" s="44">
        <f t="shared" si="455"/>
        <v>-102.88592079160806</v>
      </c>
      <c r="BI484" s="42" t="str">
        <f t="shared" si="409"/>
        <v>0.0323072346556198-0.00724882141769638i</v>
      </c>
      <c r="BJ484" s="20">
        <f t="shared" si="456"/>
        <v>-29.600694675582705</v>
      </c>
      <c r="BK484" s="44">
        <f t="shared" si="410"/>
        <v>-12.646101501192879</v>
      </c>
      <c r="BL484">
        <f t="shared" si="457"/>
        <v>-35.541213984820892</v>
      </c>
      <c r="BM484" s="44">
        <f t="shared" si="458"/>
        <v>-102.88592079160806</v>
      </c>
    </row>
    <row r="485" spans="14:65" x14ac:dyDescent="0.35">
      <c r="N485" s="9">
        <v>67</v>
      </c>
      <c r="O485" s="35">
        <f t="shared" si="459"/>
        <v>467735.14128719864</v>
      </c>
      <c r="P485" s="34" t="str">
        <f t="shared" si="411"/>
        <v>16.3709677419355</v>
      </c>
      <c r="Q485" s="4" t="str">
        <f t="shared" si="412"/>
        <v>1+432.297791847937i</v>
      </c>
      <c r="R485" s="4">
        <f t="shared" si="423"/>
        <v>432.29894845650767</v>
      </c>
      <c r="S485" s="4">
        <f t="shared" si="424"/>
        <v>1.5684831106850747</v>
      </c>
      <c r="T485" s="4" t="str">
        <f t="shared" si="413"/>
        <v>1+0.470218650781966i</v>
      </c>
      <c r="U485" s="4">
        <f t="shared" si="425"/>
        <v>1.1050364607302388</v>
      </c>
      <c r="V485" s="4">
        <f t="shared" si="426"/>
        <v>0.43953996204653389</v>
      </c>
      <c r="W485" t="str">
        <f t="shared" si="414"/>
        <v>1-6.15362673089665i</v>
      </c>
      <c r="X485" s="4">
        <f t="shared" si="427"/>
        <v>6.234350162062265</v>
      </c>
      <c r="Y485" s="4">
        <f t="shared" si="428"/>
        <v>-1.4096987769891298</v>
      </c>
      <c r="Z485" t="str">
        <f t="shared" si="415"/>
        <v>0.810685851902689+1.21188947107604i</v>
      </c>
      <c r="AA485" s="4">
        <f t="shared" si="429"/>
        <v>1.4580424001311323</v>
      </c>
      <c r="AB485" s="4">
        <f t="shared" si="430"/>
        <v>0.98121895749923826</v>
      </c>
      <c r="AC485" s="48" t="str">
        <f t="shared" si="431"/>
        <v>-0.166282432772186+0.0660816475732313i</v>
      </c>
      <c r="AD485" s="20">
        <f t="shared" si="432"/>
        <v>-14.946243612616888</v>
      </c>
      <c r="AE485" s="44">
        <f t="shared" si="433"/>
        <v>158.32682692363736</v>
      </c>
      <c r="AF485" t="str">
        <f t="shared" si="434"/>
        <v>45.9520231294187</v>
      </c>
      <c r="AG485" t="str">
        <f t="shared" si="416"/>
        <v>1+207.449404756749i</v>
      </c>
      <c r="AH485">
        <f t="shared" si="435"/>
        <v>207.4518149689934</v>
      </c>
      <c r="AI485">
        <f t="shared" si="436"/>
        <v>1.5659759116402079</v>
      </c>
      <c r="AJ485" t="str">
        <f t="shared" si="417"/>
        <v>1+0.470218650781966i</v>
      </c>
      <c r="AK485">
        <f t="shared" si="437"/>
        <v>1.1050364607302388</v>
      </c>
      <c r="AL485">
        <f t="shared" si="438"/>
        <v>0.43953996204653389</v>
      </c>
      <c r="AM485" t="str">
        <f t="shared" si="418"/>
        <v>1-1.05203329001775i</v>
      </c>
      <c r="AN485">
        <f t="shared" si="439"/>
        <v>1.4514730597932473</v>
      </c>
      <c r="AO485">
        <f t="shared" si="440"/>
        <v>-0.81074967330929681</v>
      </c>
      <c r="AP485" s="42" t="str">
        <f t="shared" si="441"/>
        <v>-0.127278548267122-0.331700682879548i</v>
      </c>
      <c r="AQ485">
        <f t="shared" si="442"/>
        <v>-8.9885402928449079</v>
      </c>
      <c r="AR485" s="44">
        <f t="shared" si="443"/>
        <v>-110.99256032576164</v>
      </c>
      <c r="AS485" t="str">
        <f t="shared" si="419"/>
        <v>-0.000166666666666667</v>
      </c>
      <c r="AT485" t="str">
        <f t="shared" si="420"/>
        <v>0.0370884960804277i</v>
      </c>
      <c r="AU485">
        <f t="shared" si="444"/>
        <v>3.7088496080427698E-2</v>
      </c>
      <c r="AV485">
        <f t="shared" si="445"/>
        <v>1.5707963267948966</v>
      </c>
      <c r="AW485" t="str">
        <f t="shared" si="421"/>
        <v>1+6.75706436761566i</v>
      </c>
      <c r="AX485">
        <f t="shared" si="446"/>
        <v>6.8306602073372984</v>
      </c>
      <c r="AY485">
        <f t="shared" si="447"/>
        <v>1.4238695341527086</v>
      </c>
      <c r="AZ485" t="str">
        <f t="shared" si="422"/>
        <v>1+137.538955353725i</v>
      </c>
      <c r="BA485">
        <f t="shared" si="448"/>
        <v>137.54259063938687</v>
      </c>
      <c r="BB485">
        <f t="shared" si="449"/>
        <v>1.5635257874984558</v>
      </c>
      <c r="BC485" s="42" t="str">
        <f t="shared" si="450"/>
        <v>-0.0125959745744638+0.0896055673735498i</v>
      </c>
      <c r="BD485">
        <f t="shared" si="451"/>
        <v>-20.86831910703858</v>
      </c>
      <c r="BE485" s="44">
        <f t="shared" si="452"/>
        <v>98.001713899321132</v>
      </c>
      <c r="BF485" s="42" t="str">
        <f t="shared" si="453"/>
        <v>-0.00382679422839991-0.015732194485477i</v>
      </c>
      <c r="BG485" s="20">
        <f t="shared" si="454"/>
        <v>-35.814562719655456</v>
      </c>
      <c r="BH485" s="44">
        <f t="shared" si="455"/>
        <v>-103.6714591770415</v>
      </c>
      <c r="BI485" s="42" t="str">
        <f t="shared" si="409"/>
        <v>0.0313254252454631-0.00722677316407414i</v>
      </c>
      <c r="BJ485" s="20">
        <f t="shared" si="456"/>
        <v>-29.856859399883501</v>
      </c>
      <c r="BK485" s="44">
        <f t="shared" si="410"/>
        <v>-12.990846426440532</v>
      </c>
      <c r="BL485">
        <f t="shared" si="457"/>
        <v>-35.814562719655456</v>
      </c>
      <c r="BM485" s="44">
        <f t="shared" si="458"/>
        <v>-103.6714591770415</v>
      </c>
    </row>
    <row r="486" spans="14:65" x14ac:dyDescent="0.35">
      <c r="N486" s="9">
        <v>68</v>
      </c>
      <c r="O486" s="35">
        <f t="shared" si="459"/>
        <v>478630.09232263872</v>
      </c>
      <c r="P486" s="34" t="str">
        <f t="shared" si="411"/>
        <v>16.3709677419355</v>
      </c>
      <c r="Q486" s="4" t="str">
        <f t="shared" si="412"/>
        <v>1+442.367300976438i</v>
      </c>
      <c r="R486" s="4">
        <f t="shared" si="423"/>
        <v>442.36843125745133</v>
      </c>
      <c r="S486" s="4">
        <f t="shared" si="424"/>
        <v>1.5685357657307915</v>
      </c>
      <c r="T486" s="4" t="str">
        <f t="shared" si="413"/>
        <v>1+0.481171450184898i</v>
      </c>
      <c r="U486" s="4">
        <f t="shared" si="425"/>
        <v>1.1097413953138082</v>
      </c>
      <c r="V486" s="4">
        <f t="shared" si="426"/>
        <v>0.4484716288633645</v>
      </c>
      <c r="W486" t="str">
        <f t="shared" si="414"/>
        <v>1-6.29696311083807i</v>
      </c>
      <c r="X486" s="4">
        <f t="shared" si="427"/>
        <v>6.3758720516691261</v>
      </c>
      <c r="Y486" s="4">
        <f t="shared" si="428"/>
        <v>-1.4133047841796209</v>
      </c>
      <c r="Z486" t="str">
        <f t="shared" si="415"/>
        <v>0.80176375097737+1.24011800317094i</v>
      </c>
      <c r="AA486" s="4">
        <f t="shared" si="429"/>
        <v>1.4767253550237369</v>
      </c>
      <c r="AB486" s="4">
        <f t="shared" si="430"/>
        <v>0.99686988241341223</v>
      </c>
      <c r="AC486" s="48" t="str">
        <f t="shared" si="431"/>
        <v>-0.16409378403105+0.0671920051181806i</v>
      </c>
      <c r="AD486" s="20">
        <f t="shared" si="432"/>
        <v>-15.024962524866847</v>
      </c>
      <c r="AE486" s="44">
        <f t="shared" si="433"/>
        <v>157.7322158884019</v>
      </c>
      <c r="AF486" t="str">
        <f t="shared" si="434"/>
        <v>45.9520231294187</v>
      </c>
      <c r="AG486" t="str">
        <f t="shared" si="416"/>
        <v>1+212.281522140396i</v>
      </c>
      <c r="AH486">
        <f t="shared" si="435"/>
        <v>212.28387749012742</v>
      </c>
      <c r="AI486">
        <f t="shared" si="436"/>
        <v>1.5660856360431195</v>
      </c>
      <c r="AJ486" t="str">
        <f t="shared" si="417"/>
        <v>1+0.481171450184898i</v>
      </c>
      <c r="AK486">
        <f t="shared" si="437"/>
        <v>1.1097413953138082</v>
      </c>
      <c r="AL486">
        <f t="shared" si="438"/>
        <v>0.4484716288633645</v>
      </c>
      <c r="AM486" t="str">
        <f t="shared" si="418"/>
        <v>1-1.07653829332123i</v>
      </c>
      <c r="AN486">
        <f t="shared" si="439"/>
        <v>1.4693313775275427</v>
      </c>
      <c r="AO486">
        <f t="shared" si="440"/>
        <v>-0.82224008500541124</v>
      </c>
      <c r="AP486" s="42" t="str">
        <f t="shared" si="441"/>
        <v>-0.127326738156079-0.329197161345576i</v>
      </c>
      <c r="AQ486">
        <f t="shared" si="442"/>
        <v>-9.0454167104289027</v>
      </c>
      <c r="AR486" s="44">
        <f t="shared" si="443"/>
        <v>-111.1454523533917</v>
      </c>
      <c r="AS486" t="str">
        <f t="shared" si="419"/>
        <v>-0.000166666666666667</v>
      </c>
      <c r="AT486" t="str">
        <f t="shared" si="420"/>
        <v>0.0379523981333338i</v>
      </c>
      <c r="AU486">
        <f t="shared" si="444"/>
        <v>3.7952398133333801E-2</v>
      </c>
      <c r="AV486">
        <f t="shared" si="445"/>
        <v>1.5707963267948966</v>
      </c>
      <c r="AW486" t="str">
        <f t="shared" si="421"/>
        <v>1+6.9144566157711i</v>
      </c>
      <c r="AX486">
        <f t="shared" si="446"/>
        <v>6.9863946561428047</v>
      </c>
      <c r="AY486">
        <f t="shared" si="447"/>
        <v>1.4271676684013799</v>
      </c>
      <c r="AZ486" t="str">
        <f t="shared" si="422"/>
        <v>1+140.742649179082i</v>
      </c>
      <c r="BA486">
        <f t="shared" si="448"/>
        <v>140.74620171765261</v>
      </c>
      <c r="BB486">
        <f t="shared" si="449"/>
        <v>1.5636912795434494</v>
      </c>
      <c r="BC486" s="42" t="str">
        <f t="shared" si="450"/>
        <v>-0.0120406770753519+0.0876462052790428i</v>
      </c>
      <c r="BD486">
        <f t="shared" si="451"/>
        <v>-21.06413810250482</v>
      </c>
      <c r="BE486" s="44">
        <f t="shared" si="452"/>
        <v>97.822226722325823</v>
      </c>
      <c r="BF486" s="42" t="str">
        <f t="shared" si="453"/>
        <v>-0.00391332401010814-0.0151912347158737i</v>
      </c>
      <c r="BG486" s="20">
        <f t="shared" si="454"/>
        <v>-36.089100627371678</v>
      </c>
      <c r="BH486" s="44">
        <f t="shared" si="455"/>
        <v>-104.44555738927231</v>
      </c>
      <c r="BI486" s="42" t="str">
        <f t="shared" si="409"/>
        <v>0.0303859821177678-0.00719594871605403i</v>
      </c>
      <c r="BJ486" s="20">
        <f t="shared" si="456"/>
        <v>-30.109554812933709</v>
      </c>
      <c r="BK486" s="44">
        <f t="shared" si="410"/>
        <v>-13.323225631065855</v>
      </c>
      <c r="BL486">
        <f t="shared" si="457"/>
        <v>-36.089100627371678</v>
      </c>
      <c r="BM486" s="44">
        <f t="shared" si="458"/>
        <v>-104.44555738927231</v>
      </c>
    </row>
    <row r="487" spans="14:65" x14ac:dyDescent="0.35">
      <c r="N487" s="9">
        <v>69</v>
      </c>
      <c r="O487" s="35">
        <f t="shared" si="459"/>
        <v>489778.81936844654</v>
      </c>
      <c r="P487" s="34" t="str">
        <f t="shared" si="411"/>
        <v>16.3709677419355</v>
      </c>
      <c r="Q487" s="4" t="str">
        <f t="shared" si="412"/>
        <v>1+452.671359103341i</v>
      </c>
      <c r="R487" s="4">
        <f t="shared" si="423"/>
        <v>452.67246365608094</v>
      </c>
      <c r="S487" s="4">
        <f t="shared" si="424"/>
        <v>1.5685872222134494</v>
      </c>
      <c r="T487" s="4" t="str">
        <f t="shared" si="413"/>
        <v>1+0.492379373059774i</v>
      </c>
      <c r="U487" s="4">
        <f t="shared" si="425"/>
        <v>1.114646781278597</v>
      </c>
      <c r="V487" s="4">
        <f t="shared" si="426"/>
        <v>0.45753254318561826</v>
      </c>
      <c r="W487" t="str">
        <f t="shared" si="414"/>
        <v>1-6.44363822397102i</v>
      </c>
      <c r="X487" s="4">
        <f t="shared" si="427"/>
        <v>6.520772466619305</v>
      </c>
      <c r="Y487" s="4">
        <f t="shared" si="428"/>
        <v>-1.4168327038933115</v>
      </c>
      <c r="Z487" t="str">
        <f t="shared" si="415"/>
        <v>0.792421164389876+1.26900406224603i</v>
      </c>
      <c r="AA487" s="4">
        <f t="shared" si="429"/>
        <v>1.4960957896371248</v>
      </c>
      <c r="AB487" s="4">
        <f t="shared" si="430"/>
        <v>1.0125973898294609</v>
      </c>
      <c r="AC487" s="48" t="str">
        <f t="shared" si="431"/>
        <v>-0.161904414316682+0.068240753295666i</v>
      </c>
      <c r="AD487" s="20">
        <f t="shared" si="432"/>
        <v>-15.104656244996251</v>
      </c>
      <c r="AE487" s="44">
        <f t="shared" si="433"/>
        <v>157.14516509105601</v>
      </c>
      <c r="AF487" t="str">
        <f t="shared" si="434"/>
        <v>45.9520231294187</v>
      </c>
      <c r="AG487" t="str">
        <f t="shared" si="416"/>
        <v>1+217.226193996959i</v>
      </c>
      <c r="AH487">
        <f t="shared" si="435"/>
        <v>217.22849573295966</v>
      </c>
      <c r="AI487">
        <f t="shared" si="436"/>
        <v>1.5661928629232968</v>
      </c>
      <c r="AJ487" t="str">
        <f t="shared" si="417"/>
        <v>1+0.492379373059774i</v>
      </c>
      <c r="AK487">
        <f t="shared" si="437"/>
        <v>1.114646781278597</v>
      </c>
      <c r="AL487">
        <f t="shared" si="438"/>
        <v>0.45753254318561826</v>
      </c>
      <c r="AM487" t="str">
        <f t="shared" si="418"/>
        <v>1-1.1016140914775i</v>
      </c>
      <c r="AN487">
        <f t="shared" si="439"/>
        <v>1.4878016018749936</v>
      </c>
      <c r="AO487">
        <f t="shared" si="440"/>
        <v>-0.83371103838521632</v>
      </c>
      <c r="AP487" s="42" t="str">
        <f t="shared" si="441"/>
        <v>-0.127372759236848-0.3268681640648i</v>
      </c>
      <c r="AQ487">
        <f t="shared" si="442"/>
        <v>-9.0985973949009562</v>
      </c>
      <c r="AR487" s="44">
        <f t="shared" si="443"/>
        <v>-111.28968106753564</v>
      </c>
      <c r="AS487" t="str">
        <f t="shared" si="419"/>
        <v>-0.000166666666666667</v>
      </c>
      <c r="AT487" t="str">
        <f t="shared" si="420"/>
        <v>0.0388364230500897i</v>
      </c>
      <c r="AU487">
        <f t="shared" si="444"/>
        <v>3.8836423050089698E-2</v>
      </c>
      <c r="AV487">
        <f t="shared" si="445"/>
        <v>1.5707963267948966</v>
      </c>
      <c r="AW487" t="str">
        <f t="shared" si="421"/>
        <v>1+7.07551500034787i</v>
      </c>
      <c r="AX487">
        <f t="shared" si="446"/>
        <v>7.1458318284261155</v>
      </c>
      <c r="AY487">
        <f t="shared" si="447"/>
        <v>1.4303937710814625</v>
      </c>
      <c r="AZ487" t="str">
        <f t="shared" si="422"/>
        <v>1+144.020966619984i</v>
      </c>
      <c r="BA487">
        <f t="shared" si="448"/>
        <v>144.02443829487601</v>
      </c>
      <c r="BB487">
        <f t="shared" si="449"/>
        <v>1.5638530049056565</v>
      </c>
      <c r="BC487" s="42" t="str">
        <f t="shared" si="450"/>
        <v>-0.011509370123142+0.0857262249972337i</v>
      </c>
      <c r="BD487">
        <f t="shared" si="451"/>
        <v>-21.260141494623145</v>
      </c>
      <c r="BE487" s="44">
        <f t="shared" si="452"/>
        <v>97.646650835175947</v>
      </c>
      <c r="BF487" s="42" t="str">
        <f t="shared" si="453"/>
        <v>-0.00398660434206376-0.0146648623369191i</v>
      </c>
      <c r="BG487" s="20">
        <f t="shared" si="454"/>
        <v>-36.364797739619384</v>
      </c>
      <c r="BH487" s="44">
        <f t="shared" si="455"/>
        <v>-105.20818407376802</v>
      </c>
      <c r="BI487" s="42" t="str">
        <f t="shared" si="409"/>
        <v>0.0294871540067145-0.00715713913516282i</v>
      </c>
      <c r="BJ487" s="20">
        <f t="shared" si="456"/>
        <v>-30.358738889524098</v>
      </c>
      <c r="BK487" s="44">
        <f t="shared" si="410"/>
        <v>-13.643030232359688</v>
      </c>
      <c r="BL487">
        <f t="shared" si="457"/>
        <v>-36.364797739619384</v>
      </c>
      <c r="BM487" s="44">
        <f t="shared" si="458"/>
        <v>-105.20818407376802</v>
      </c>
    </row>
    <row r="488" spans="14:65" x14ac:dyDescent="0.35">
      <c r="N488" s="9">
        <v>70</v>
      </c>
      <c r="O488" s="35">
        <f t="shared" si="459"/>
        <v>501187.23362727347</v>
      </c>
      <c r="P488" s="34" t="str">
        <f t="shared" si="411"/>
        <v>16.3709677419355</v>
      </c>
      <c r="Q488" s="4" t="str">
        <f t="shared" si="412"/>
        <v>1+463.215429576654i</v>
      </c>
      <c r="R488" s="4">
        <f t="shared" si="423"/>
        <v>463.21650898676324</v>
      </c>
      <c r="S488" s="4">
        <f t="shared" si="424"/>
        <v>1.5686375074148664</v>
      </c>
      <c r="T488" s="4" t="str">
        <f t="shared" si="413"/>
        <v>1+0.503848361995659i</v>
      </c>
      <c r="U488" s="4">
        <f t="shared" si="425"/>
        <v>1.1197603189458487</v>
      </c>
      <c r="V488" s="4">
        <f t="shared" si="426"/>
        <v>0.46672155703440493</v>
      </c>
      <c r="W488" t="str">
        <f t="shared" si="414"/>
        <v>1-6.59372983938196i</v>
      </c>
      <c r="X488" s="4">
        <f t="shared" si="427"/>
        <v>6.6691283684418652</v>
      </c>
      <c r="Y488" s="4">
        <f t="shared" si="428"/>
        <v>-1.4202840552259541</v>
      </c>
      <c r="Z488" t="str">
        <f t="shared" si="415"/>
        <v>0.782638275261474+1.29856296407217i</v>
      </c>
      <c r="AA488" s="4">
        <f t="shared" si="429"/>
        <v>1.5161755972063906</v>
      </c>
      <c r="AB488" s="4">
        <f t="shared" si="430"/>
        <v>1.0283970735033676</v>
      </c>
      <c r="AC488" s="48" t="str">
        <f t="shared" si="431"/>
        <v>-0.159716282109873+0.0692287147702862i</v>
      </c>
      <c r="AD488" s="20">
        <f t="shared" si="432"/>
        <v>-15.185300573873462</v>
      </c>
      <c r="AE488" s="44">
        <f t="shared" si="433"/>
        <v>156.56577261553173</v>
      </c>
      <c r="AF488" t="str">
        <f t="shared" si="434"/>
        <v>45.9520231294187</v>
      </c>
      <c r="AG488" t="str">
        <f t="shared" si="416"/>
        <v>1+222.286042056908i</v>
      </c>
      <c r="AH488">
        <f t="shared" si="435"/>
        <v>222.28829139953697</v>
      </c>
      <c r="AI488">
        <f t="shared" si="436"/>
        <v>1.5662976491239824</v>
      </c>
      <c r="AJ488" t="str">
        <f t="shared" si="417"/>
        <v>1+0.503848361995659i</v>
      </c>
      <c r="AK488">
        <f t="shared" si="437"/>
        <v>1.1197603189458487</v>
      </c>
      <c r="AL488">
        <f t="shared" si="438"/>
        <v>0.46672155703440493</v>
      </c>
      <c r="AM488" t="str">
        <f t="shared" si="418"/>
        <v>1-1.12727398000665i</v>
      </c>
      <c r="AN488">
        <f t="shared" si="439"/>
        <v>1.5068996735018669</v>
      </c>
      <c r="AO488">
        <f t="shared" si="440"/>
        <v>-0.84515654146989883</v>
      </c>
      <c r="AP488" s="42" t="str">
        <f t="shared" si="441"/>
        <v>-0.127416709113593-0.324712457536201i</v>
      </c>
      <c r="AQ488">
        <f t="shared" si="442"/>
        <v>-9.148050775784478</v>
      </c>
      <c r="AR488" s="44">
        <f t="shared" si="443"/>
        <v>-111.42497218431961</v>
      </c>
      <c r="AS488" t="str">
        <f t="shared" si="419"/>
        <v>-0.000166666666666667</v>
      </c>
      <c r="AT488" t="str">
        <f t="shared" si="420"/>
        <v>0.0397410395524076i</v>
      </c>
      <c r="AU488">
        <f t="shared" si="444"/>
        <v>3.9741039552407598E-2</v>
      </c>
      <c r="AV488">
        <f t="shared" si="445"/>
        <v>1.5707963267948966</v>
      </c>
      <c r="AW488" t="str">
        <f t="shared" si="421"/>
        <v>1+7.24032491663335i</v>
      </c>
      <c r="AX488">
        <f t="shared" si="446"/>
        <v>7.3090563616941493</v>
      </c>
      <c r="AY488">
        <f t="shared" si="447"/>
        <v>1.4335492839635084</v>
      </c>
      <c r="AZ488" t="str">
        <f t="shared" si="422"/>
        <v>1+147.37564588373i</v>
      </c>
      <c r="BA488">
        <f t="shared" si="448"/>
        <v>147.37903853549386</v>
      </c>
      <c r="BB488">
        <f t="shared" si="449"/>
        <v>1.5640110493001451</v>
      </c>
      <c r="BC488" s="42" t="str">
        <f t="shared" si="450"/>
        <v>-0.0110010595925703+0.083845063365467i</v>
      </c>
      <c r="BD488">
        <f t="shared" si="451"/>
        <v>-21.456321310366629</v>
      </c>
      <c r="BE488" s="44">
        <f t="shared" si="452"/>
        <v>97.474908541615434</v>
      </c>
      <c r="BF488" s="42" t="str">
        <f t="shared" si="453"/>
        <v>-0.00404743763923001-0.0141530110107041i</v>
      </c>
      <c r="BG488" s="20">
        <f t="shared" si="454"/>
        <v>-36.641621884240074</v>
      </c>
      <c r="BH488" s="44">
        <f t="shared" si="455"/>
        <v>-105.95931884285282</v>
      </c>
      <c r="BI488" s="42" t="str">
        <f t="shared" si="409"/>
        <v>0.0286272553877271-0.00711108095364278i</v>
      </c>
      <c r="BJ488" s="20">
        <f t="shared" si="456"/>
        <v>-30.604372086151109</v>
      </c>
      <c r="BK488" s="44">
        <f t="shared" si="410"/>
        <v>-13.950063642704182</v>
      </c>
      <c r="BL488">
        <f t="shared" si="457"/>
        <v>-36.641621884240074</v>
      </c>
      <c r="BM488" s="44">
        <f t="shared" si="458"/>
        <v>-105.95931884285282</v>
      </c>
    </row>
    <row r="489" spans="14:65" x14ac:dyDescent="0.35">
      <c r="N489" s="9">
        <v>71</v>
      </c>
      <c r="O489" s="35">
        <f t="shared" si="459"/>
        <v>512861.38399136515</v>
      </c>
      <c r="P489" s="34" t="str">
        <f t="shared" si="411"/>
        <v>16.3709677419355</v>
      </c>
      <c r="Q489" s="4" t="str">
        <f t="shared" si="412"/>
        <v>1+474.005103002108i</v>
      </c>
      <c r="R489" s="4">
        <f t="shared" si="423"/>
        <v>474.00615784189864</v>
      </c>
      <c r="S489" s="4">
        <f t="shared" si="424"/>
        <v>1.5686866479959036</v>
      </c>
      <c r="T489" s="4" t="str">
        <f t="shared" si="413"/>
        <v>1+0.515584498002293i</v>
      </c>
      <c r="U489" s="4">
        <f t="shared" si="425"/>
        <v>1.125089940662646</v>
      </c>
      <c r="V489" s="4">
        <f t="shared" si="426"/>
        <v>0.47603733438843326</v>
      </c>
      <c r="W489" t="str">
        <f t="shared" si="414"/>
        <v>1-6.74731753763204i</v>
      </c>
      <c r="X489" s="4">
        <f t="shared" si="427"/>
        <v>6.8210185422440315</v>
      </c>
      <c r="Y489" s="4">
        <f t="shared" si="428"/>
        <v>-1.4236603390651905</v>
      </c>
      <c r="Z489" t="str">
        <f t="shared" si="415"/>
        <v>0.77239433277271+1.32881038117037i</v>
      </c>
      <c r="AA489" s="4">
        <f t="shared" si="429"/>
        <v>1.5369873240874643</v>
      </c>
      <c r="AB489" s="4">
        <f t="shared" si="430"/>
        <v>1.0442645863454607</v>
      </c>
      <c r="AC489" s="48" t="str">
        <f t="shared" si="431"/>
        <v>-0.157531309426542+0.0701568186829474i</v>
      </c>
      <c r="AD489" s="20">
        <f t="shared" si="432"/>
        <v>-15.266868897128706</v>
      </c>
      <c r="AE489" s="44">
        <f t="shared" si="433"/>
        <v>155.99412346125692</v>
      </c>
      <c r="AF489" t="str">
        <f t="shared" si="434"/>
        <v>45.9520231294187</v>
      </c>
      <c r="AG489" t="str">
        <f t="shared" si="416"/>
        <v>1+227.463749118658i</v>
      </c>
      <c r="AH489">
        <f t="shared" si="435"/>
        <v>227.4659472604983</v>
      </c>
      <c r="AI489">
        <f t="shared" si="436"/>
        <v>1.5664000501949973</v>
      </c>
      <c r="AJ489" t="str">
        <f t="shared" si="417"/>
        <v>1+0.515584498002293i</v>
      </c>
      <c r="AK489">
        <f t="shared" si="437"/>
        <v>1.125089940662646</v>
      </c>
      <c r="AL489">
        <f t="shared" si="438"/>
        <v>0.47603733438843326</v>
      </c>
      <c r="AM489" t="str">
        <f t="shared" si="418"/>
        <v>1-1.15353156412124i</v>
      </c>
      <c r="AN489">
        <f t="shared" si="439"/>
        <v>1.5266417619808501</v>
      </c>
      <c r="AO489">
        <f t="shared" si="440"/>
        <v>-0.85657066893841882</v>
      </c>
      <c r="AP489" s="42" t="str">
        <f t="shared" si="441"/>
        <v>-0.127458680998307-0.322728900048771i</v>
      </c>
      <c r="AQ489">
        <f t="shared" si="442"/>
        <v>-9.1937474566641448</v>
      </c>
      <c r="AR489" s="44">
        <f t="shared" si="443"/>
        <v>-111.55106593900769</v>
      </c>
      <c r="AS489" t="str">
        <f t="shared" si="419"/>
        <v>-0.000166666666666667</v>
      </c>
      <c r="AT489" t="str">
        <f t="shared" si="420"/>
        <v>0.0406667272799309i</v>
      </c>
      <c r="AU489">
        <f t="shared" si="444"/>
        <v>4.0666727279930898E-2</v>
      </c>
      <c r="AV489">
        <f t="shared" si="445"/>
        <v>1.5707963267948966</v>
      </c>
      <c r="AW489" t="str">
        <f t="shared" si="421"/>
        <v>1+7.40897374902661i</v>
      </c>
      <c r="AX489">
        <f t="shared" si="446"/>
        <v>7.476154894982141</v>
      </c>
      <c r="AY489">
        <f t="shared" si="447"/>
        <v>1.4366356286481954</v>
      </c>
      <c r="AZ489" t="str">
        <f t="shared" si="422"/>
        <v>1+150.80846566567i</v>
      </c>
      <c r="BA489">
        <f t="shared" si="448"/>
        <v>150.81178109296891</v>
      </c>
      <c r="BB489">
        <f t="shared" si="449"/>
        <v>1.5641654964925464</v>
      </c>
      <c r="BC489" s="42" t="str">
        <f t="shared" si="450"/>
        <v>-0.0105147888861298+0.0820021493810735i</v>
      </c>
      <c r="BD489">
        <f t="shared" si="451"/>
        <v>-21.652669907659082</v>
      </c>
      <c r="BE489" s="44">
        <f t="shared" si="452"/>
        <v>97.306923189342427</v>
      </c>
      <c r="BF489" s="42" t="str">
        <f t="shared" si="453"/>
        <v>-0.00409660146416426-0.0136555901051651i</v>
      </c>
      <c r="BG489" s="20">
        <f t="shared" si="454"/>
        <v>-36.919538804787784</v>
      </c>
      <c r="BH489" s="44">
        <f t="shared" si="455"/>
        <v>-106.69895334940063</v>
      </c>
      <c r="BI489" s="42" t="str">
        <f t="shared" si="409"/>
        <v>0.0278046645937906-0.00705845954767205i</v>
      </c>
      <c r="BJ489" s="20">
        <f t="shared" si="456"/>
        <v>-30.846417364323237</v>
      </c>
      <c r="BK489" s="44">
        <f t="shared" si="410"/>
        <v>-14.244142749665244</v>
      </c>
      <c r="BL489">
        <f t="shared" si="457"/>
        <v>-36.919538804787784</v>
      </c>
      <c r="BM489" s="44">
        <f t="shared" si="458"/>
        <v>-106.69895334940063</v>
      </c>
    </row>
    <row r="490" spans="14:65" x14ac:dyDescent="0.35">
      <c r="N490" s="9">
        <v>72</v>
      </c>
      <c r="O490" s="35">
        <f t="shared" si="459"/>
        <v>524807.46024977288</v>
      </c>
      <c r="P490" s="34" t="str">
        <f t="shared" si="411"/>
        <v>16.3709677419355</v>
      </c>
      <c r="Q490" s="4" t="str">
        <f t="shared" si="412"/>
        <v>1+485.046100207375i</v>
      </c>
      <c r="R490" s="4">
        <f t="shared" si="423"/>
        <v>485.04713103613227</v>
      </c>
      <c r="S490" s="4">
        <f t="shared" si="424"/>
        <v>1.5687346700105982</v>
      </c>
      <c r="T490" s="4" t="str">
        <f t="shared" si="413"/>
        <v>1+0.527594003734338i</v>
      </c>
      <c r="U490" s="4">
        <f t="shared" si="425"/>
        <v>1.1306438133985559</v>
      </c>
      <c r="V490" s="4">
        <f t="shared" si="426"/>
        <v>0.48547834602655904</v>
      </c>
      <c r="W490" t="str">
        <f t="shared" si="414"/>
        <v>1-6.90448275295191i</v>
      </c>
      <c r="X490" s="4">
        <f t="shared" si="427"/>
        <v>6.976523639020396</v>
      </c>
      <c r="Y490" s="4">
        <f t="shared" si="428"/>
        <v>-1.426963037504102</v>
      </c>
      <c r="Z490" t="str">
        <f t="shared" si="415"/>
        <v>0.761667608148131+1.35976235112156i</v>
      </c>
      <c r="AA490" s="4">
        <f t="shared" si="429"/>
        <v>1.5585542007994868</v>
      </c>
      <c r="AB490" s="4">
        <f t="shared" si="430"/>
        <v>1.0601956542400239</v>
      </c>
      <c r="AC490" s="48" t="str">
        <f t="shared" si="431"/>
        <v>-0.155351373028794+0.0710260974891528i</v>
      </c>
      <c r="AD490" s="20">
        <f t="shared" si="432"/>
        <v>-15.349332332129888</v>
      </c>
      <c r="AE490" s="44">
        <f t="shared" si="433"/>
        <v>155.43028848864077</v>
      </c>
      <c r="AF490" t="str">
        <f t="shared" si="434"/>
        <v>45.9520231294187</v>
      </c>
      <c r="AG490" t="str">
        <f t="shared" si="416"/>
        <v>1+232.762060471031i</v>
      </c>
      <c r="AH490">
        <f t="shared" si="435"/>
        <v>232.76420857752137</v>
      </c>
      <c r="AI490">
        <f t="shared" si="436"/>
        <v>1.5665001204221496</v>
      </c>
      <c r="AJ490" t="str">
        <f t="shared" si="417"/>
        <v>1+0.527594003734338i</v>
      </c>
      <c r="AK490">
        <f t="shared" si="437"/>
        <v>1.1306438133985559</v>
      </c>
      <c r="AL490">
        <f t="shared" si="438"/>
        <v>0.48547834602655904</v>
      </c>
      <c r="AM490" t="str">
        <f t="shared" si="418"/>
        <v>1-1.18040076593992i</v>
      </c>
      <c r="AN490">
        <f t="shared" si="439"/>
        <v>1.5470442683490186</v>
      </c>
      <c r="AO490">
        <f t="shared" si="440"/>
        <v>-0.86794757715781656</v>
      </c>
      <c r="AP490" s="42" t="str">
        <f t="shared" si="441"/>
        <v>-0.127498763908404-0.320916441082227i</v>
      </c>
      <c r="AQ490">
        <f t="shared" si="442"/>
        <v>-9.2356602467570319</v>
      </c>
      <c r="AR490" s="44">
        <f t="shared" si="443"/>
        <v>-111.66771824435902</v>
      </c>
      <c r="AS490" t="str">
        <f t="shared" si="419"/>
        <v>-0.000166666666666667</v>
      </c>
      <c r="AT490" t="str">
        <f t="shared" si="420"/>
        <v>0.0416139770445459i</v>
      </c>
      <c r="AU490">
        <f t="shared" si="444"/>
        <v>4.1613977044545898E-2</v>
      </c>
      <c r="AV490">
        <f t="shared" si="445"/>
        <v>1.5707963267948966</v>
      </c>
      <c r="AW490" t="str">
        <f t="shared" si="421"/>
        <v>1+7.58155091737101i</v>
      </c>
      <c r="AX490">
        <f t="shared" si="446"/>
        <v>7.6472161152074944</v>
      </c>
      <c r="AY490">
        <f t="shared" si="447"/>
        <v>1.4396542062400315</v>
      </c>
      <c r="AZ490" t="str">
        <f t="shared" si="422"/>
        <v>1+154.321246092294i</v>
      </c>
      <c r="BA490">
        <f t="shared" si="448"/>
        <v>154.32448605285671</v>
      </c>
      <c r="BB490">
        <f t="shared" si="449"/>
        <v>1.5643164283433155</v>
      </c>
      <c r="BC490" s="42" t="str">
        <f t="shared" si="450"/>
        <v>-0.0100496378400554+0.080196905593697i</v>
      </c>
      <c r="BD490">
        <f t="shared" si="451"/>
        <v>-21.849179962833229</v>
      </c>
      <c r="BE490" s="44">
        <f t="shared" si="452"/>
        <v>97.142619191240655</v>
      </c>
      <c r="BF490" s="42" t="str">
        <f t="shared" si="453"/>
        <v>-0.00413484819813158-0.0131724859535999i</v>
      </c>
      <c r="BG490" s="20">
        <f t="shared" si="454"/>
        <v>-37.198512294963088</v>
      </c>
      <c r="BH490" s="44">
        <f t="shared" si="455"/>
        <v>-107.42709232011852</v>
      </c>
      <c r="BI490" s="42" t="str">
        <f t="shared" si="409"/>
        <v>0.0270178219312708-0.00699991232267948i</v>
      </c>
      <c r="BJ490" s="20">
        <f t="shared" si="456"/>
        <v>-31.084840209590251</v>
      </c>
      <c r="BK490" s="44">
        <f t="shared" si="410"/>
        <v>-14.525099053118348</v>
      </c>
      <c r="BL490">
        <f t="shared" si="457"/>
        <v>-37.198512294963088</v>
      </c>
      <c r="BM490" s="44">
        <f t="shared" si="458"/>
        <v>-107.42709232011852</v>
      </c>
    </row>
    <row r="491" spans="14:65" x14ac:dyDescent="0.35">
      <c r="N491" s="9">
        <v>73</v>
      </c>
      <c r="O491" s="35">
        <f t="shared" si="459"/>
        <v>537031.7963702539</v>
      </c>
      <c r="P491" s="34" t="str">
        <f t="shared" si="411"/>
        <v>16.3709677419355</v>
      </c>
      <c r="Q491" s="4" t="str">
        <f t="shared" si="412"/>
        <v>1+496.344275275316i</v>
      </c>
      <c r="R491" s="4">
        <f t="shared" si="423"/>
        <v>496.3452826395943</v>
      </c>
      <c r="S491" s="4">
        <f t="shared" si="424"/>
        <v>1.5687815989199712</v>
      </c>
      <c r="T491" s="4" t="str">
        <f t="shared" si="413"/>
        <v>1+0.539883246790694i</v>
      </c>
      <c r="U491" s="4">
        <f t="shared" si="425"/>
        <v>1.1364303410967438</v>
      </c>
      <c r="V491" s="4">
        <f t="shared" si="426"/>
        <v>0.49504286480912252</v>
      </c>
      <c r="W491" t="str">
        <f t="shared" si="414"/>
        <v>1-7.06530881641903i</v>
      </c>
      <c r="X491" s="4">
        <f t="shared" si="427"/>
        <v>7.1357262189190296</v>
      </c>
      <c r="Y491" s="4">
        <f t="shared" si="428"/>
        <v>-1.4301936133254356</v>
      </c>
      <c r="Z491" t="str">
        <f t="shared" si="415"/>
        <v>0.750435348566654+1.3914352850699i</v>
      </c>
      <c r="AA491" s="4">
        <f t="shared" si="429"/>
        <v>1.5809001755063188</v>
      </c>
      <c r="AB491" s="4">
        <f t="shared" si="430"/>
        <v>1.0761860893079811</v>
      </c>
      <c r="AC491" s="48" t="str">
        <f t="shared" si="431"/>
        <v>-0.153178295988438+0.0718376830361231i</v>
      </c>
      <c r="AD491" s="20">
        <f t="shared" si="432"/>
        <v>-15.432659889015065</v>
      </c>
      <c r="AE491" s="44">
        <f t="shared" si="433"/>
        <v>154.87432341757952</v>
      </c>
      <c r="AF491" t="str">
        <f t="shared" si="434"/>
        <v>45.9520231294187</v>
      </c>
      <c r="AG491" t="str">
        <f t="shared" si="416"/>
        <v>1+238.183785348835i</v>
      </c>
      <c r="AH491">
        <f t="shared" si="435"/>
        <v>238.18588455888795</v>
      </c>
      <c r="AI491">
        <f t="shared" si="436"/>
        <v>1.5665979128559768</v>
      </c>
      <c r="AJ491" t="str">
        <f t="shared" si="417"/>
        <v>1+0.539883246790694i</v>
      </c>
      <c r="AK491">
        <f t="shared" si="437"/>
        <v>1.1364303410967438</v>
      </c>
      <c r="AL491">
        <f t="shared" si="438"/>
        <v>0.49504286480912252</v>
      </c>
      <c r="AM491" t="str">
        <f t="shared" si="418"/>
        <v>1-1.20789583186916i</v>
      </c>
      <c r="AN491">
        <f t="shared" si="439"/>
        <v>1.5681238282249557</v>
      </c>
      <c r="AO491">
        <f t="shared" si="440"/>
        <v>-0.87928151869929339</v>
      </c>
      <c r="AP491" s="42" t="str">
        <f t="shared" si="441"/>
        <v>-0.127537042855471-0.319274120755691i</v>
      </c>
      <c r="AQ491">
        <f t="shared" si="442"/>
        <v>-9.2737641881399711</v>
      </c>
      <c r="AR491" s="44">
        <f t="shared" si="443"/>
        <v>-111.77470179434572</v>
      </c>
      <c r="AS491" t="str">
        <f t="shared" si="419"/>
        <v>-0.000166666666666667</v>
      </c>
      <c r="AT491" t="str">
        <f t="shared" si="420"/>
        <v>0.042583291090616i</v>
      </c>
      <c r="AU491">
        <f t="shared" si="444"/>
        <v>4.2583291090616003E-2</v>
      </c>
      <c r="AV491">
        <f t="shared" si="445"/>
        <v>1.5707963267948966</v>
      </c>
      <c r="AW491" t="str">
        <f t="shared" si="421"/>
        <v>1+7.75814792436549i</v>
      </c>
      <c r="AX491">
        <f t="shared" si="446"/>
        <v>7.8223308045835394</v>
      </c>
      <c r="AY491">
        <f t="shared" si="447"/>
        <v>1.4426063970747718</v>
      </c>
      <c r="AZ491" t="str">
        <f t="shared" si="422"/>
        <v>1+157.915849686278i</v>
      </c>
      <c r="BA491">
        <f t="shared" si="448"/>
        <v>157.91901589783018</v>
      </c>
      <c r="BB491">
        <f t="shared" si="449"/>
        <v>1.5644639248509957</v>
      </c>
      <c r="BC491" s="42" t="str">
        <f t="shared" si="450"/>
        <v>-0.0096047216321217+0.0784287494017983i</v>
      </c>
      <c r="BD491">
        <f t="shared" si="451"/>
        <v>-22.04584445845807</v>
      </c>
      <c r="BE491" s="44">
        <f t="shared" si="452"/>
        <v>96.981922043475819</v>
      </c>
      <c r="BF491" s="42" t="str">
        <f t="shared" si="453"/>
        <v>-0.00416290474739422-0.0127035631381302i</v>
      </c>
      <c r="BG491" s="20">
        <f t="shared" si="454"/>
        <v>-37.478504347473162</v>
      </c>
      <c r="BH491" s="44">
        <f t="shared" si="455"/>
        <v>-108.14375453894471</v>
      </c>
      <c r="BI491" s="42" t="str">
        <f t="shared" si="409"/>
        <v>0.0262652278016384-0.00693603171935932i</v>
      </c>
      <c r="BJ491" s="20">
        <f t="shared" si="456"/>
        <v>-31.319608646598027</v>
      </c>
      <c r="BK491" s="44">
        <f t="shared" si="410"/>
        <v>-14.792779750869871</v>
      </c>
      <c r="BL491">
        <f t="shared" si="457"/>
        <v>-37.478504347473162</v>
      </c>
      <c r="BM491" s="44">
        <f t="shared" si="458"/>
        <v>-108.14375453894471</v>
      </c>
    </row>
    <row r="492" spans="14:65" x14ac:dyDescent="0.35">
      <c r="N492" s="9">
        <v>74</v>
      </c>
      <c r="O492" s="35">
        <f t="shared" si="459"/>
        <v>549540.87385762564</v>
      </c>
      <c r="P492" s="34" t="str">
        <f t="shared" si="411"/>
        <v>16.3709677419355</v>
      </c>
      <c r="Q492" s="4" t="str">
        <f t="shared" si="412"/>
        <v>1+507.905618647899i</v>
      </c>
      <c r="R492" s="4">
        <f t="shared" si="423"/>
        <v>507.90660308181168</v>
      </c>
      <c r="S492" s="4">
        <f t="shared" si="424"/>
        <v>1.5688274596055243</v>
      </c>
      <c r="T492" s="4" t="str">
        <f t="shared" si="413"/>
        <v>1+0.552458743090698i</v>
      </c>
      <c r="U492" s="4">
        <f t="shared" si="425"/>
        <v>1.1424581667690743</v>
      </c>
      <c r="V492" s="4">
        <f t="shared" si="426"/>
        <v>0.50472896145329704</v>
      </c>
      <c r="W492" t="str">
        <f t="shared" si="414"/>
        <v>1-7.22988100014101i</v>
      </c>
      <c r="X492" s="4">
        <f t="shared" si="427"/>
        <v>7.2987107954898409</v>
      </c>
      <c r="Y492" s="4">
        <f t="shared" si="428"/>
        <v>-1.4333535095520382</v>
      </c>
      <c r="Z492" t="str">
        <f t="shared" si="415"/>
        <v>0.738673728899771+1.4238459764242i</v>
      </c>
      <c r="AA492" s="4">
        <f t="shared" si="429"/>
        <v>1.6040499500782621</v>
      </c>
      <c r="AB492" s="4">
        <f t="shared" si="430"/>
        <v>1.0922318025151829</v>
      </c>
      <c r="AC492" s="48" t="str">
        <f t="shared" si="431"/>
        <v>-0.151013839675249+0.0725928019214525i</v>
      </c>
      <c r="AD492" s="20">
        <f t="shared" si="432"/>
        <v>-15.516818645166389</v>
      </c>
      <c r="AE492" s="44">
        <f t="shared" si="433"/>
        <v>154.32626788798521</v>
      </c>
      <c r="AF492" t="str">
        <f t="shared" si="434"/>
        <v>45.9520231294187</v>
      </c>
      <c r="AG492" t="str">
        <f t="shared" si="416"/>
        <v>1+243.731798422366i</v>
      </c>
      <c r="AH492">
        <f t="shared" si="435"/>
        <v>243.73384984897126</v>
      </c>
      <c r="AI492">
        <f t="shared" si="436"/>
        <v>1.5666934793398357</v>
      </c>
      <c r="AJ492" t="str">
        <f t="shared" si="417"/>
        <v>1+0.552458743090698i</v>
      </c>
      <c r="AK492">
        <f t="shared" si="437"/>
        <v>1.1424581667690743</v>
      </c>
      <c r="AL492">
        <f t="shared" si="438"/>
        <v>0.50472896145329704</v>
      </c>
      <c r="AM492" t="str">
        <f t="shared" si="418"/>
        <v>1-1.23603134015684i</v>
      </c>
      <c r="AN492">
        <f t="shared" si="439"/>
        <v>1.5898973155049712</v>
      </c>
      <c r="AO492">
        <f t="shared" si="440"/>
        <v>-0.89056685625503706</v>
      </c>
      <c r="AP492" s="42" t="str">
        <f t="shared" si="441"/>
        <v>-0.127573599025489-0.317801069324034i</v>
      </c>
      <c r="AQ492">
        <f t="shared" si="442"/>
        <v>-9.3080365789701052</v>
      </c>
      <c r="AR492" s="44">
        <f t="shared" si="443"/>
        <v>-111.87180710519145</v>
      </c>
      <c r="AS492" t="str">
        <f t="shared" si="419"/>
        <v>-0.000166666666666667</v>
      </c>
      <c r="AT492" t="str">
        <f t="shared" si="420"/>
        <v>0.0435751833612788i</v>
      </c>
      <c r="AU492">
        <f t="shared" si="444"/>
        <v>4.3575183361278802E-2</v>
      </c>
      <c r="AV492">
        <f t="shared" si="445"/>
        <v>1.5707963267948966</v>
      </c>
      <c r="AW492" t="str">
        <f t="shared" si="421"/>
        <v>1+7.93885840408067i</v>
      </c>
      <c r="AX492">
        <f t="shared" si="446"/>
        <v>8.0015918891207072</v>
      </c>
      <c r="AY492">
        <f t="shared" si="447"/>
        <v>1.4454935604968799</v>
      </c>
      <c r="AZ492" t="str">
        <f t="shared" si="422"/>
        <v>1+161.594182354029i</v>
      </c>
      <c r="BA492">
        <f t="shared" si="448"/>
        <v>161.59727649520329</v>
      </c>
      <c r="BB492">
        <f t="shared" si="449"/>
        <v>1.5646080641945024</v>
      </c>
      <c r="BC492" s="42" t="str">
        <f t="shared" si="450"/>
        <v>-0.00917918969474252+0.0766970942581047i</v>
      </c>
      <c r="BD492">
        <f t="shared" si="451"/>
        <v>-22.242656671535535</v>
      </c>
      <c r="BE492" s="44">
        <f t="shared" si="452"/>
        <v>96.824758340669206</v>
      </c>
      <c r="BF492" s="42" t="str">
        <f t="shared" si="453"/>
        <v>-0.00418147229051902-0.0122486657951608i</v>
      </c>
      <c r="BG492" s="20">
        <f t="shared" si="454"/>
        <v>-37.759475316701902</v>
      </c>
      <c r="BH492" s="44">
        <f t="shared" si="455"/>
        <v>-108.84897377134553</v>
      </c>
      <c r="BI492" s="42" t="str">
        <f t="shared" si="409"/>
        <v>0.0255454408347679-0.00686736804878626i</v>
      </c>
      <c r="BJ492" s="20">
        <f t="shared" si="456"/>
        <v>-31.550693250505635</v>
      </c>
      <c r="BK492" s="44">
        <f t="shared" si="410"/>
        <v>-15.047048764522239</v>
      </c>
      <c r="BL492">
        <f t="shared" si="457"/>
        <v>-37.759475316701902</v>
      </c>
      <c r="BM492" s="44">
        <f t="shared" si="458"/>
        <v>-108.84897377134553</v>
      </c>
    </row>
    <row r="493" spans="14:65" x14ac:dyDescent="0.35">
      <c r="N493" s="9">
        <v>75</v>
      </c>
      <c r="O493" s="35">
        <f t="shared" si="459"/>
        <v>562341.32519035018</v>
      </c>
      <c r="P493" s="34" t="str">
        <f t="shared" si="411"/>
        <v>16.3709677419355</v>
      </c>
      <c r="Q493" s="4" t="str">
        <f t="shared" si="412"/>
        <v>1+519.736260302418i</v>
      </c>
      <c r="R493" s="4">
        <f t="shared" si="423"/>
        <v>519.73722232792102</v>
      </c>
      <c r="S493" s="4">
        <f t="shared" si="424"/>
        <v>1.5688722763824281</v>
      </c>
      <c r="T493" s="4" t="str">
        <f t="shared" si="413"/>
        <v>1+0.565327160328946i</v>
      </c>
      <c r="U493" s="4">
        <f t="shared" si="425"/>
        <v>1.1487361743261983</v>
      </c>
      <c r="V493" s="4">
        <f t="shared" si="426"/>
        <v>0.51453450085784858</v>
      </c>
      <c r="W493" t="str">
        <f t="shared" si="414"/>
        <v>1-7.39828656246808i</v>
      </c>
      <c r="X493" s="4">
        <f t="shared" si="427"/>
        <v>7.4655638809399889</v>
      </c>
      <c r="Y493" s="4">
        <f t="shared" si="428"/>
        <v>-1.4364441490592197</v>
      </c>
      <c r="Z493" t="str">
        <f t="shared" si="415"/>
        <v>0.726357801175261+1.45701160976203i</v>
      </c>
      <c r="AA493" s="4">
        <f t="shared" si="429"/>
        <v>1.6280290188781961</v>
      </c>
      <c r="AB493" s="4">
        <f t="shared" si="430"/>
        <v>1.1083288155346374</v>
      </c>
      <c r="AC493" s="48" t="str">
        <f t="shared" si="431"/>
        <v>-0.148859696236397+0.0732927701835367i</v>
      </c>
      <c r="AD493" s="20">
        <f t="shared" si="432"/>
        <v>-15.60177393238267</v>
      </c>
      <c r="AE493" s="44">
        <f t="shared" si="433"/>
        <v>153.78614459100751</v>
      </c>
      <c r="AF493" t="str">
        <f t="shared" si="434"/>
        <v>45.9520231294187</v>
      </c>
      <c r="AG493" t="str">
        <f t="shared" si="416"/>
        <v>1+249.409041321593i</v>
      </c>
      <c r="AH493">
        <f t="shared" si="435"/>
        <v>249.41104605240739</v>
      </c>
      <c r="AI493">
        <f t="shared" si="436"/>
        <v>1.5667868705373547</v>
      </c>
      <c r="AJ493" t="str">
        <f t="shared" si="417"/>
        <v>1+0.565327160328946i</v>
      </c>
      <c r="AK493">
        <f t="shared" si="437"/>
        <v>1.1487361743261983</v>
      </c>
      <c r="AL493">
        <f t="shared" si="438"/>
        <v>0.51453450085784858</v>
      </c>
      <c r="AM493" t="str">
        <f t="shared" si="418"/>
        <v>1-1.26482220862189i</v>
      </c>
      <c r="AN493">
        <f t="shared" si="439"/>
        <v>1.6123818466551763</v>
      </c>
      <c r="AO493">
        <f t="shared" si="440"/>
        <v>-0.90179807587776439</v>
      </c>
      <c r="AP493" s="42" t="str">
        <f t="shared" si="441"/>
        <v>-0.127608509950975-0.316496506721671i</v>
      </c>
      <c r="AQ493">
        <f t="shared" si="442"/>
        <v>-9.3384569930516044</v>
      </c>
      <c r="AR493" s="44">
        <f t="shared" si="443"/>
        <v>-111.95884348608971</v>
      </c>
      <c r="AS493" t="str">
        <f t="shared" si="419"/>
        <v>-0.000166666666666667</v>
      </c>
      <c r="AT493" t="str">
        <f t="shared" si="420"/>
        <v>0.0445901797709455i</v>
      </c>
      <c r="AU493">
        <f t="shared" si="444"/>
        <v>4.4590179770945503E-2</v>
      </c>
      <c r="AV493">
        <f t="shared" si="445"/>
        <v>1.5707963267948966</v>
      </c>
      <c r="AW493" t="str">
        <f t="shared" si="421"/>
        <v>1+8.12377817160494i</v>
      </c>
      <c r="AX493">
        <f t="shared" si="446"/>
        <v>8.1850944882417149</v>
      </c>
      <c r="AY493">
        <f t="shared" si="447"/>
        <v>1.4483170346835235</v>
      </c>
      <c r="AZ493" t="str">
        <f t="shared" si="422"/>
        <v>1+165.358194396216i</v>
      </c>
      <c r="BA493">
        <f t="shared" si="448"/>
        <v>165.36121810744126</v>
      </c>
      <c r="BB493">
        <f t="shared" si="449"/>
        <v>1.564748922774452</v>
      </c>
      <c r="BC493" s="42" t="str">
        <f t="shared" si="450"/>
        <v>-0.0087722246364623+0.07500135078866i</v>
      </c>
      <c r="BD493">
        <f t="shared" si="451"/>
        <v>-22.439610162064341</v>
      </c>
      <c r="BE493" s="44">
        <f t="shared" si="452"/>
        <v>96.671055788349705</v>
      </c>
      <c r="BF493" s="42" t="str">
        <f t="shared" si="453"/>
        <v>-0.00419122607210686-0.011807618939998i</v>
      </c>
      <c r="BG493" s="20">
        <f t="shared" si="454"/>
        <v>-38.041384094446997</v>
      </c>
      <c r="BH493" s="44">
        <f t="shared" si="455"/>
        <v>-109.54279962064274</v>
      </c>
      <c r="BI493" s="42" t="str">
        <f t="shared" si="409"/>
        <v>0.0248570760388317-0.00679443216483319i</v>
      </c>
      <c r="BJ493" s="20">
        <f t="shared" si="456"/>
        <v>-31.778067155115952</v>
      </c>
      <c r="BK493" s="44">
        <f t="shared" si="410"/>
        <v>-15.28778769774001</v>
      </c>
      <c r="BL493">
        <f t="shared" si="457"/>
        <v>-38.041384094446997</v>
      </c>
      <c r="BM493" s="44">
        <f t="shared" si="458"/>
        <v>-109.54279962064274</v>
      </c>
    </row>
    <row r="494" spans="14:65" x14ac:dyDescent="0.35">
      <c r="N494" s="9">
        <v>76</v>
      </c>
      <c r="O494" s="35">
        <f t="shared" si="459"/>
        <v>575439.93733715697</v>
      </c>
      <c r="P494" s="34" t="str">
        <f t="shared" si="411"/>
        <v>16.3709677419355</v>
      </c>
      <c r="Q494" s="4" t="str">
        <f t="shared" si="412"/>
        <v>1+531.842473001669i</v>
      </c>
      <c r="R494" s="4">
        <f t="shared" si="423"/>
        <v>531.84341312883726</v>
      </c>
      <c r="S494" s="4">
        <f t="shared" si="424"/>
        <v>1.5689160730124103</v>
      </c>
      <c r="T494" s="4" t="str">
        <f t="shared" si="413"/>
        <v>1+0.578495321510587i</v>
      </c>
      <c r="U494" s="4">
        <f t="shared" si="425"/>
        <v>1.155273490135404</v>
      </c>
      <c r="V494" s="4">
        <f t="shared" si="426"/>
        <v>0.52445713903245894</v>
      </c>
      <c r="W494" t="str">
        <f t="shared" si="414"/>
        <v>1-7.57061479425844i</v>
      </c>
      <c r="X494" s="4">
        <f t="shared" si="427"/>
        <v>7.6363740324217213</v>
      </c>
      <c r="Y494" s="4">
        <f t="shared" si="428"/>
        <v>-1.4394669342449529</v>
      </c>
      <c r="Z494" t="str">
        <f t="shared" si="415"/>
        <v>0.713461441659196+1.49094976994119i</v>
      </c>
      <c r="AA494" s="4">
        <f t="shared" si="429"/>
        <v>1.6528637104196175</v>
      </c>
      <c r="AB494" s="4">
        <f t="shared" si="430"/>
        <v>1.1244732717779036</v>
      </c>
      <c r="AC494" s="48" t="str">
        <f t="shared" si="431"/>
        <v>-0.146717481626719+0.0739389873806043i</v>
      </c>
      <c r="AD494" s="20">
        <f t="shared" si="432"/>
        <v>-15.687489535887813</v>
      </c>
      <c r="AE494" s="44">
        <f t="shared" si="433"/>
        <v>153.25395847920336</v>
      </c>
      <c r="AF494" t="str">
        <f t="shared" si="434"/>
        <v>45.9520231294187</v>
      </c>
      <c r="AG494" t="str">
        <f t="shared" si="416"/>
        <v>1+255.218524195847i</v>
      </c>
      <c r="AH494">
        <f t="shared" si="435"/>
        <v>255.22048329377122</v>
      </c>
      <c r="AI494">
        <f t="shared" si="436"/>
        <v>1.5668781359592623</v>
      </c>
      <c r="AJ494" t="str">
        <f t="shared" si="417"/>
        <v>1+0.578495321510587i</v>
      </c>
      <c r="AK494">
        <f t="shared" si="437"/>
        <v>1.155273490135404</v>
      </c>
      <c r="AL494">
        <f t="shared" si="438"/>
        <v>0.52445713903245894</v>
      </c>
      <c r="AM494" t="str">
        <f t="shared" si="418"/>
        <v>1-1.29428370256384i</v>
      </c>
      <c r="AN494">
        <f t="shared" si="439"/>
        <v>1.6355947856123665</v>
      </c>
      <c r="AO494">
        <f t="shared" si="440"/>
        <v>-0.91296979947239887</v>
      </c>
      <c r="AP494" s="42" t="str">
        <f t="shared" si="441"/>
        <v>-0.127641849675364-0.315359742153563i</v>
      </c>
      <c r="AQ494">
        <f t="shared" si="442"/>
        <v>-9.3650072961127648</v>
      </c>
      <c r="AR494" s="44">
        <f t="shared" si="443"/>
        <v>-112.03563993239904</v>
      </c>
      <c r="AS494" t="str">
        <f t="shared" si="419"/>
        <v>-0.000166666666666667</v>
      </c>
      <c r="AT494" t="str">
        <f t="shared" si="420"/>
        <v>0.0456288184841475i</v>
      </c>
      <c r="AU494">
        <f t="shared" si="444"/>
        <v>4.5628818484147501E-2</v>
      </c>
      <c r="AV494">
        <f t="shared" si="445"/>
        <v>1.5707963267948966</v>
      </c>
      <c r="AW494" t="str">
        <f t="shared" si="421"/>
        <v>1+8.31300527384668i</v>
      </c>
      <c r="AX494">
        <f t="shared" si="446"/>
        <v>8.3729359655381774</v>
      </c>
      <c r="AY494">
        <f t="shared" si="447"/>
        <v>1.4510781365117857</v>
      </c>
      <c r="AZ494" t="str">
        <f t="shared" si="422"/>
        <v>1+169.209881541846i</v>
      </c>
      <c r="BA494">
        <f t="shared" si="448"/>
        <v>169.21283642621663</v>
      </c>
      <c r="BB494">
        <f t="shared" si="449"/>
        <v>1.564886575253557</v>
      </c>
      <c r="BC494" s="42" t="str">
        <f t="shared" si="450"/>
        <v>-0.00838304117456495+0.0733409278300118i</v>
      </c>
      <c r="BD494">
        <f t="shared" si="451"/>
        <v>-22.636698761966763</v>
      </c>
      <c r="BE494" s="44">
        <f t="shared" si="452"/>
        <v>96.520743212876681</v>
      </c>
      <c r="BF494" s="42" t="str">
        <f t="shared" si="453"/>
        <v>-0.00419281524779979-0.0113802298070035i</v>
      </c>
      <c r="BG494" s="20">
        <f t="shared" si="454"/>
        <v>-38.324188297854597</v>
      </c>
      <c r="BH494" s="44">
        <f t="shared" si="455"/>
        <v>-110.22529830791999</v>
      </c>
      <c r="BI494" s="42" t="str">
        <f t="shared" si="409"/>
        <v>0.0241988029712018-0.00671769798185658i</v>
      </c>
      <c r="BJ494" s="20">
        <f t="shared" si="456"/>
        <v>-32.001706058079527</v>
      </c>
      <c r="BK494" s="44">
        <f t="shared" si="410"/>
        <v>-15.514896719522371</v>
      </c>
      <c r="BL494">
        <f t="shared" si="457"/>
        <v>-38.324188297854597</v>
      </c>
      <c r="BM494" s="44">
        <f t="shared" si="458"/>
        <v>-110.22529830791999</v>
      </c>
    </row>
    <row r="495" spans="14:65" x14ac:dyDescent="0.35">
      <c r="N495" s="9">
        <v>77</v>
      </c>
      <c r="O495" s="35">
        <f t="shared" si="459"/>
        <v>588843.65535558888</v>
      </c>
      <c r="P495" s="34" t="str">
        <f t="shared" si="411"/>
        <v>16.3709677419355</v>
      </c>
      <c r="Q495" s="4" t="str">
        <f t="shared" si="412"/>
        <v>1+544.230675619874i</v>
      </c>
      <c r="R495" s="4">
        <f t="shared" si="423"/>
        <v>544.23159434717172</v>
      </c>
      <c r="S495" s="4">
        <f t="shared" si="424"/>
        <v>1.5689588727163513</v>
      </c>
      <c r="T495" s="4" t="str">
        <f t="shared" si="413"/>
        <v>1+0.591970208568986i</v>
      </c>
      <c r="U495" s="4">
        <f t="shared" si="425"/>
        <v>1.1620794843009701</v>
      </c>
      <c r="V495" s="4">
        <f t="shared" si="426"/>
        <v>0.53449432068585145</v>
      </c>
      <c r="W495" t="str">
        <f t="shared" si="414"/>
        <v>1-7.74695706622167i</v>
      </c>
      <c r="X495" s="4">
        <f t="shared" si="427"/>
        <v>7.8112318993793712</v>
      </c>
      <c r="Y495" s="4">
        <f t="shared" si="428"/>
        <v>-1.442423246754043</v>
      </c>
      <c r="Z495" t="str">
        <f t="shared" si="415"/>
        <v>0.699957295443996+1.52567845142342i</v>
      </c>
      <c r="AA495" s="4">
        <f t="shared" si="429"/>
        <v>1.6785812320477786</v>
      </c>
      <c r="AB495" s="4">
        <f t="shared" si="430"/>
        <v>1.1406614465185156</v>
      </c>
      <c r="AC495" s="48" t="str">
        <f t="shared" si="431"/>
        <v>-0.144588729242116+0.0745329301208485i</v>
      </c>
      <c r="AD495" s="20">
        <f t="shared" si="432"/>
        <v>-15.773927904194871</v>
      </c>
      <c r="AE495" s="44">
        <f t="shared" si="433"/>
        <v>152.72969606339845</v>
      </c>
      <c r="AF495" t="str">
        <f t="shared" si="434"/>
        <v>45.9520231294187</v>
      </c>
      <c r="AG495" t="str">
        <f t="shared" si="416"/>
        <v>1+261.163327309846i</v>
      </c>
      <c r="AH495">
        <f t="shared" si="435"/>
        <v>261.16524181358773</v>
      </c>
      <c r="AI495">
        <f t="shared" si="436"/>
        <v>1.5669673239896087</v>
      </c>
      <c r="AJ495" t="str">
        <f t="shared" si="417"/>
        <v>1+0.591970208568986i</v>
      </c>
      <c r="AK495">
        <f t="shared" si="437"/>
        <v>1.1620794843009701</v>
      </c>
      <c r="AL495">
        <f t="shared" si="438"/>
        <v>0.53449432068585145</v>
      </c>
      <c r="AM495" t="str">
        <f t="shared" si="418"/>
        <v>1-1.32443144285677i</v>
      </c>
      <c r="AN495">
        <f t="shared" si="439"/>
        <v>1.659553749303609</v>
      </c>
      <c r="AO495">
        <f t="shared" si="440"/>
        <v>-0.92407679647776608</v>
      </c>
      <c r="AP495" s="42" t="str">
        <f t="shared" si="441"/>
        <v>-0.127673688910014-0.314390173733258i</v>
      </c>
      <c r="AQ495">
        <f t="shared" si="442"/>
        <v>-9.3876716591545009</v>
      </c>
      <c r="AR495" s="44">
        <f t="shared" si="443"/>
        <v>-112.10204593464742</v>
      </c>
      <c r="AS495" t="str">
        <f t="shared" si="419"/>
        <v>-0.000166666666666667</v>
      </c>
      <c r="AT495" t="str">
        <f t="shared" si="420"/>
        <v>0.0466916502008787i</v>
      </c>
      <c r="AU495">
        <f t="shared" si="444"/>
        <v>4.6691650200878697E-2</v>
      </c>
      <c r="AV495">
        <f t="shared" si="445"/>
        <v>1.5707963267948966</v>
      </c>
      <c r="AW495" t="str">
        <f t="shared" si="421"/>
        <v>1+8.50664004152025i</v>
      </c>
      <c r="AX495">
        <f t="shared" si="446"/>
        <v>8.5652159806974879</v>
      </c>
      <c r="AY495">
        <f t="shared" si="447"/>
        <v>1.4537781614659564</v>
      </c>
      <c r="AZ495" t="str">
        <f t="shared" si="422"/>
        <v>1+173.151286006428i</v>
      </c>
      <c r="BA495">
        <f t="shared" si="448"/>
        <v>173.15417363055337</v>
      </c>
      <c r="BB495">
        <f t="shared" si="449"/>
        <v>1.5650210945961063</v>
      </c>
      <c r="BC495" s="42" t="str">
        <f t="shared" si="450"/>
        <v>-0.00801088508118033+0.0717152333889113i</v>
      </c>
      <c r="BD495">
        <f t="shared" si="451"/>
        <v>-22.833916564375357</v>
      </c>
      <c r="BE495" s="44">
        <f t="shared" si="452"/>
        <v>96.373750569013609</v>
      </c>
      <c r="BF495" s="42" t="str">
        <f t="shared" si="453"/>
        <v>-0.00418686278478358-0.0109662892009662i</v>
      </c>
      <c r="BG495" s="20">
        <f t="shared" si="454"/>
        <v>-38.607844468570242</v>
      </c>
      <c r="BH495" s="44">
        <f t="shared" si="455"/>
        <v>-110.89655336758796</v>
      </c>
      <c r="BI495" s="42" t="str">
        <f t="shared" si="409"/>
        <v>0.0235693439342095-0.00663760484537546i</v>
      </c>
      <c r="BJ495" s="20">
        <f t="shared" si="456"/>
        <v>-32.221588223529849</v>
      </c>
      <c r="BK495" s="44">
        <f t="shared" si="410"/>
        <v>-15.728295365633779</v>
      </c>
      <c r="BL495">
        <f t="shared" si="457"/>
        <v>-38.607844468570242</v>
      </c>
      <c r="BM495" s="44">
        <f t="shared" si="458"/>
        <v>-110.89655336758796</v>
      </c>
    </row>
    <row r="496" spans="14:65" x14ac:dyDescent="0.35">
      <c r="N496" s="9">
        <v>78</v>
      </c>
      <c r="O496" s="35">
        <f t="shared" si="459"/>
        <v>602559.58607435878</v>
      </c>
      <c r="P496" s="34" t="str">
        <f t="shared" si="411"/>
        <v>16.3709677419355</v>
      </c>
      <c r="Q496" s="4" t="str">
        <f t="shared" si="412"/>
        <v>1+556.907436546037i</v>
      </c>
      <c r="R496" s="4">
        <f t="shared" si="423"/>
        <v>556.90833436058244</v>
      </c>
      <c r="S496" s="4">
        <f t="shared" si="424"/>
        <v>1.5690006981865932</v>
      </c>
      <c r="T496" s="4" t="str">
        <f t="shared" si="413"/>
        <v>1+0.605758966067619i</v>
      </c>
      <c r="U496" s="4">
        <f t="shared" si="425"/>
        <v>1.1691637716638807</v>
      </c>
      <c r="V496" s="4">
        <f t="shared" si="426"/>
        <v>0.54464327752531172</v>
      </c>
      <c r="W496" t="str">
        <f t="shared" si="414"/>
        <v>1-7.9274068773645i</v>
      </c>
      <c r="X496" s="4">
        <f t="shared" si="427"/>
        <v>7.9902302719812743</v>
      </c>
      <c r="Y496" s="4">
        <f t="shared" si="428"/>
        <v>-1.4453144472525505</v>
      </c>
      <c r="Z496" t="str">
        <f t="shared" si="415"/>
        <v>0.685816718425008+1.56121606781534i</v>
      </c>
      <c r="AA496" s="4">
        <f t="shared" si="429"/>
        <v>1.7052097177989687</v>
      </c>
      <c r="AB496" s="4">
        <f t="shared" si="430"/>
        <v>1.1568897560386222</v>
      </c>
      <c r="AC496" s="48" t="str">
        <f t="shared" si="431"/>
        <v>-0.14247488420041+0.0750761451106797i</v>
      </c>
      <c r="AD496" s="20">
        <f t="shared" si="432"/>
        <v>-15.861050368737855</v>
      </c>
      <c r="AE496" s="44">
        <f t="shared" si="433"/>
        <v>152.21332480341428</v>
      </c>
      <c r="AF496" t="str">
        <f t="shared" si="434"/>
        <v>45.9520231294187</v>
      </c>
      <c r="AG496" t="str">
        <f t="shared" si="416"/>
        <v>1+267.24660267689i</v>
      </c>
      <c r="AH496">
        <f t="shared" si="435"/>
        <v>267.24847360151472</v>
      </c>
      <c r="AI496">
        <f t="shared" si="436"/>
        <v>1.5670544819113892</v>
      </c>
      <c r="AJ496" t="str">
        <f t="shared" si="417"/>
        <v>1+0.605758966067619i</v>
      </c>
      <c r="AK496">
        <f t="shared" si="437"/>
        <v>1.1691637716638807</v>
      </c>
      <c r="AL496">
        <f t="shared" si="438"/>
        <v>0.54464327752531172</v>
      </c>
      <c r="AM496" t="str">
        <f t="shared" si="418"/>
        <v>1-1.35528141423162i</v>
      </c>
      <c r="AN496">
        <f t="shared" si="439"/>
        <v>1.6842766137905198</v>
      </c>
      <c r="AO496">
        <f t="shared" si="440"/>
        <v>-0.93511399468466827</v>
      </c>
      <c r="AP496" s="42" t="str">
        <f t="shared" si="441"/>
        <v>-0.127704095184123-0.313587288167767i</v>
      </c>
      <c r="AQ496">
        <f t="shared" si="442"/>
        <v>-9.4064365692220697</v>
      </c>
      <c r="AR496" s="44">
        <f t="shared" si="443"/>
        <v>-112.15793219726012</v>
      </c>
      <c r="AS496" t="str">
        <f t="shared" si="419"/>
        <v>-0.000166666666666667</v>
      </c>
      <c r="AT496" t="str">
        <f t="shared" si="420"/>
        <v>0.0477792384485835i</v>
      </c>
      <c r="AU496">
        <f t="shared" si="444"/>
        <v>4.7779238448583498E-2</v>
      </c>
      <c r="AV496">
        <f t="shared" si="445"/>
        <v>1.5707963267948966</v>
      </c>
      <c r="AW496" t="str">
        <f t="shared" si="421"/>
        <v>1+8.70478514234254i</v>
      </c>
      <c r="AX496">
        <f t="shared" si="446"/>
        <v>8.7620365426279427</v>
      </c>
      <c r="AY496">
        <f t="shared" si="447"/>
        <v>1.4564183835819182</v>
      </c>
      <c r="AZ496" t="str">
        <f t="shared" si="422"/>
        <v>1+177.184497574778i</v>
      </c>
      <c r="BA496">
        <f t="shared" si="448"/>
        <v>177.18731946961248</v>
      </c>
      <c r="BB496">
        <f t="shared" si="449"/>
        <v>1.5651525521065504</v>
      </c>
      <c r="BC496" s="42" t="str">
        <f t="shared" si="450"/>
        <v>-0.00765503214496273+0.0701236755287715i</v>
      </c>
      <c r="BD496">
        <f t="shared" si="451"/>
        <v>-23.031257913274072</v>
      </c>
      <c r="BE496" s="44">
        <f t="shared" si="452"/>
        <v>96.23000894532565</v>
      </c>
      <c r="BF496" s="42" t="str">
        <f t="shared" si="453"/>
        <v>-0.00417396542128829-0.010565572854811i</v>
      </c>
      <c r="BG496" s="20">
        <f t="shared" si="454"/>
        <v>-38.892308282011911</v>
      </c>
      <c r="BH496" s="44">
        <f t="shared" si="455"/>
        <v>-111.55666625126004</v>
      </c>
      <c r="BI496" s="42" t="str">
        <f t="shared" si="409"/>
        <v>0.0229674721991017-0.00655455976321084i</v>
      </c>
      <c r="BJ496" s="20">
        <f t="shared" si="456"/>
        <v>-32.437694482496141</v>
      </c>
      <c r="BK496" s="44">
        <f t="shared" si="410"/>
        <v>-15.927923251934461</v>
      </c>
      <c r="BL496">
        <f t="shared" si="457"/>
        <v>-38.892308282011911</v>
      </c>
      <c r="BM496" s="44">
        <f t="shared" si="458"/>
        <v>-111.55666625126004</v>
      </c>
    </row>
    <row r="497" spans="14:65" x14ac:dyDescent="0.35">
      <c r="N497" s="9">
        <v>79</v>
      </c>
      <c r="O497" s="35">
        <f t="shared" si="459"/>
        <v>616595.00186148309</v>
      </c>
      <c r="P497" s="34" t="str">
        <f t="shared" si="411"/>
        <v>16.3709677419355</v>
      </c>
      <c r="Q497" s="4" t="str">
        <f t="shared" si="412"/>
        <v>1+569.879477166599i</v>
      </c>
      <c r="R497" s="4">
        <f t="shared" si="423"/>
        <v>569.88035454442206</v>
      </c>
      <c r="S497" s="4">
        <f t="shared" si="424"/>
        <v>1.5690415715989681</v>
      </c>
      <c r="T497" s="4" t="str">
        <f t="shared" si="413"/>
        <v>1+0.61986890498823i</v>
      </c>
      <c r="U497" s="4">
        <f t="shared" si="425"/>
        <v>1.1765362125201704</v>
      </c>
      <c r="V497" s="4">
        <f t="shared" si="426"/>
        <v>0.55490102731800584</v>
      </c>
      <c r="W497" t="str">
        <f t="shared" si="414"/>
        <v>1-8.11205990456536i</v>
      </c>
      <c r="X497" s="4">
        <f t="shared" si="427"/>
        <v>8.1734641306643621</v>
      </c>
      <c r="Y497" s="4">
        <f t="shared" si="428"/>
        <v>-1.4481418752489701</v>
      </c>
      <c r="Z497" t="str">
        <f t="shared" si="415"/>
        <v>0.67100971654251+1.59758146163155i</v>
      </c>
      <c r="AA497" s="4">
        <f t="shared" si="429"/>
        <v>1.7327782795970346</v>
      </c>
      <c r="AB497" s="4">
        <f t="shared" si="430"/>
        <v>1.1731547657388484</v>
      </c>
      <c r="AC497" s="48" t="str">
        <f t="shared" si="431"/>
        <v>-0.140377298305706+0.0755702417915924i</v>
      </c>
      <c r="AD497" s="20">
        <f t="shared" si="432"/>
        <v>-15.948817372081974</v>
      </c>
      <c r="AE497" s="44">
        <f t="shared" si="433"/>
        <v>151.70479259917926</v>
      </c>
      <c r="AF497" t="str">
        <f t="shared" si="434"/>
        <v>45.9520231294187</v>
      </c>
      <c r="AG497" t="str">
        <f t="shared" si="416"/>
        <v>1+273.471575730101i</v>
      </c>
      <c r="AH497">
        <f t="shared" si="435"/>
        <v>273.4734040675699</v>
      </c>
      <c r="AI497">
        <f t="shared" si="436"/>
        <v>1.5671396559315878</v>
      </c>
      <c r="AJ497" t="str">
        <f t="shared" si="417"/>
        <v>1+0.61986890498823i</v>
      </c>
      <c r="AK497">
        <f t="shared" si="437"/>
        <v>1.1765362125201704</v>
      </c>
      <c r="AL497">
        <f t="shared" si="438"/>
        <v>0.55490102731800584</v>
      </c>
      <c r="AM497" t="str">
        <f t="shared" si="418"/>
        <v>1-1.38684997375156i</v>
      </c>
      <c r="AN497">
        <f t="shared" si="439"/>
        <v>1.7097815210414173</v>
      </c>
      <c r="AO497">
        <f t="shared" si="440"/>
        <v>-0.94607649014602824</v>
      </c>
      <c r="AP497" s="42" t="str">
        <f t="shared" si="441"/>
        <v>-0.127733132987922-0.312950660489167i</v>
      </c>
      <c r="AQ497">
        <f t="shared" si="442"/>
        <v>-9.4212908379279963</v>
      </c>
      <c r="AR497" s="44">
        <f t="shared" si="443"/>
        <v>-112.20319126158621</v>
      </c>
      <c r="AS497" t="str">
        <f t="shared" si="419"/>
        <v>-0.000166666666666667</v>
      </c>
      <c r="AT497" t="str">
        <f t="shared" si="420"/>
        <v>0.0488921598809467i</v>
      </c>
      <c r="AU497">
        <f t="shared" si="444"/>
        <v>4.8892159880946702E-2</v>
      </c>
      <c r="AV497">
        <f t="shared" si="445"/>
        <v>1.5707963267948966</v>
      </c>
      <c r="AW497" t="str">
        <f t="shared" si="421"/>
        <v>1+8.90754563546875i</v>
      </c>
      <c r="AX497">
        <f t="shared" si="446"/>
        <v>8.9635020638117986</v>
      </c>
      <c r="AY497">
        <f t="shared" si="447"/>
        <v>1.4590000554258253</v>
      </c>
      <c r="AZ497" t="str">
        <f t="shared" si="422"/>
        <v>1+181.311654709057i</v>
      </c>
      <c r="BA497">
        <f t="shared" si="448"/>
        <v>181.31441237071118</v>
      </c>
      <c r="BB497">
        <f t="shared" si="449"/>
        <v>1.5652810174672176</v>
      </c>
      <c r="BC497" s="42" t="str">
        <f t="shared" si="450"/>
        <v>-0.00731478715012665+0.0685656631869723i</v>
      </c>
      <c r="BD497">
        <f t="shared" si="451"/>
        <v>-23.228717393488033</v>
      </c>
      <c r="BE497" s="44">
        <f t="shared" si="452"/>
        <v>96.089450567561897</v>
      </c>
      <c r="BF497" s="42" t="str">
        <f t="shared" si="453"/>
        <v>-0.00415469368782431-0.0101778427883153i</v>
      </c>
      <c r="BG497" s="20">
        <f t="shared" si="454"/>
        <v>-39.177534765569987</v>
      </c>
      <c r="BH497" s="44">
        <f t="shared" si="455"/>
        <v>-112.20575683325882</v>
      </c>
      <c r="BI497" s="42" t="str">
        <f t="shared" si="409"/>
        <v>0.0223920102610662-0.00646893950429679i</v>
      </c>
      <c r="BJ497" s="20">
        <f t="shared" si="456"/>
        <v>-32.650008231416038</v>
      </c>
      <c r="BK497" s="44">
        <f t="shared" si="410"/>
        <v>-16.113740694024319</v>
      </c>
      <c r="BL497">
        <f t="shared" si="457"/>
        <v>-39.177534765569987</v>
      </c>
      <c r="BM497" s="44">
        <f t="shared" si="458"/>
        <v>-112.20575683325882</v>
      </c>
    </row>
    <row r="498" spans="14:65" x14ac:dyDescent="0.35">
      <c r="N498" s="9">
        <v>80</v>
      </c>
      <c r="O498" s="35">
        <f t="shared" si="459"/>
        <v>630957.34448019415</v>
      </c>
      <c r="P498" s="34" t="str">
        <f t="shared" si="411"/>
        <v>16.3709677419355</v>
      </c>
      <c r="Q498" s="4" t="str">
        <f t="shared" si="412"/>
        <v>1+583.1536754292i</v>
      </c>
      <c r="R498" s="4">
        <f t="shared" si="423"/>
        <v>583.15453283549539</v>
      </c>
      <c r="S498" s="4">
        <f t="shared" si="424"/>
        <v>1.5690815146245536</v>
      </c>
      <c r="T498" s="4" t="str">
        <f t="shared" si="413"/>
        <v>1+0.6343075066072i</v>
      </c>
      <c r="U498" s="4">
        <f t="shared" si="425"/>
        <v>1.1842069130596404</v>
      </c>
      <c r="V498" s="4">
        <f t="shared" si="426"/>
        <v>0.56526437376138661</v>
      </c>
      <c r="W498" t="str">
        <f t="shared" si="414"/>
        <v>1-8.3010140533034i</v>
      </c>
      <c r="X498" s="4">
        <f t="shared" si="427"/>
        <v>8.3610306968184585</v>
      </c>
      <c r="Y498" s="4">
        <f t="shared" si="428"/>
        <v>-1.4509068489588275</v>
      </c>
      <c r="Z498" t="str">
        <f t="shared" si="415"/>
        <v>0.655504882160306+1.63479391428521i</v>
      </c>
      <c r="AA498" s="4">
        <f t="shared" si="429"/>
        <v>1.7613170619510718</v>
      </c>
      <c r="AB498" s="4">
        <f t="shared" si="430"/>
        <v>1.189453197160687</v>
      </c>
      <c r="AC498" s="48" t="str">
        <f t="shared" si="431"/>
        <v>-0.138297225723786+0.0760168846384149i</v>
      </c>
      <c r="AD498" s="20">
        <f t="shared" si="432"/>
        <v>-16.037188703434062</v>
      </c>
      <c r="AE498" s="44">
        <f t="shared" si="433"/>
        <v>151.20402738803585</v>
      </c>
      <c r="AF498" t="str">
        <f t="shared" si="434"/>
        <v>45.9520231294187</v>
      </c>
      <c r="AG498" t="str">
        <f t="shared" si="416"/>
        <v>1+279.841547032588i</v>
      </c>
      <c r="AH498">
        <f t="shared" si="435"/>
        <v>279.84333375228391</v>
      </c>
      <c r="AI498">
        <f t="shared" si="436"/>
        <v>1.5672228912056512</v>
      </c>
      <c r="AJ498" t="str">
        <f t="shared" si="417"/>
        <v>1+0.6343075066072i</v>
      </c>
      <c r="AK498">
        <f t="shared" si="437"/>
        <v>1.1842069130596404</v>
      </c>
      <c r="AL498">
        <f t="shared" si="438"/>
        <v>0.56526437376138661</v>
      </c>
      <c r="AM498" t="str">
        <f t="shared" si="418"/>
        <v>1-1.41915385948472i</v>
      </c>
      <c r="AN498">
        <f t="shared" si="439"/>
        <v>1.736086886330974</v>
      </c>
      <c r="AO498">
        <f t="shared" si="440"/>
        <v>-0.95695955614385564</v>
      </c>
      <c r="AP498" s="42" t="str">
        <f t="shared" si="441"/>
        <v>-0.12776086390943-0.31247995383277i</v>
      </c>
      <c r="AQ498">
        <f t="shared" si="442"/>
        <v>-9.432225608026414</v>
      </c>
      <c r="AR498" s="44">
        <f t="shared" si="443"/>
        <v>-112.23773802849686</v>
      </c>
      <c r="AS498" t="str">
        <f t="shared" si="419"/>
        <v>-0.000166666666666667</v>
      </c>
      <c r="AT498" t="str">
        <f t="shared" si="420"/>
        <v>0.050031004583643i</v>
      </c>
      <c r="AU498">
        <f t="shared" si="444"/>
        <v>5.0031004583642999E-2</v>
      </c>
      <c r="AV498">
        <f t="shared" si="445"/>
        <v>1.5707963267948966</v>
      </c>
      <c r="AW498" t="str">
        <f t="shared" si="421"/>
        <v>1+9.11502902719618i</v>
      </c>
      <c r="AX498">
        <f t="shared" si="446"/>
        <v>9.1697194159161128</v>
      </c>
      <c r="AY498">
        <f t="shared" si="447"/>
        <v>1.4615244081044176</v>
      </c>
      <c r="AZ498" t="str">
        <f t="shared" si="422"/>
        <v>1+185.534945682606i</v>
      </c>
      <c r="BA498">
        <f t="shared" si="448"/>
        <v>185.53764057313967</v>
      </c>
      <c r="BB498">
        <f t="shared" si="449"/>
        <v>1.5654065587751718</v>
      </c>
      <c r="BC498" s="42" t="str">
        <f t="shared" si="450"/>
        <v>-0.00698948287436531+0.067040606926939i</v>
      </c>
      <c r="BD498">
        <f t="shared" si="451"/>
        <v>-23.426289821016709</v>
      </c>
      <c r="BE498" s="44">
        <f t="shared" si="452"/>
        <v>95.952008800176316</v>
      </c>
      <c r="BF498" s="42" t="str">
        <f t="shared" si="453"/>
        <v>-0.00412959199208581-0.0098028486621773i</v>
      </c>
      <c r="BG498" s="20">
        <f t="shared" si="454"/>
        <v>-39.463478524450764</v>
      </c>
      <c r="BH498" s="44">
        <f t="shared" si="455"/>
        <v>-112.84396381178784</v>
      </c>
      <c r="BI498" s="42" t="str">
        <f t="shared" ref="BI498:BI560" si="460">IMPRODUCT(AP498,BC498)</f>
        <v>0.0218418281277599-0.00638109257210164i</v>
      </c>
      <c r="BJ498" s="20">
        <f t="shared" si="456"/>
        <v>-32.858515429043109</v>
      </c>
      <c r="BK498" s="44">
        <f t="shared" ref="BK498:BK560" si="461">(180/PI())*IMARGUMENT(BI498)</f>
        <v>-16.285729228320513</v>
      </c>
      <c r="BL498">
        <f t="shared" si="457"/>
        <v>-39.463478524450764</v>
      </c>
      <c r="BM498" s="44">
        <f t="shared" si="458"/>
        <v>-112.84396381178784</v>
      </c>
    </row>
    <row r="499" spans="14:65" x14ac:dyDescent="0.35">
      <c r="N499" s="9">
        <v>81</v>
      </c>
      <c r="O499" s="35">
        <f t="shared" si="459"/>
        <v>645654.22903465747</v>
      </c>
      <c r="P499" s="34" t="str">
        <f t="shared" si="411"/>
        <v>16.3709677419355</v>
      </c>
      <c r="Q499" s="4" t="str">
        <f t="shared" si="412"/>
        <v>1+596.737069489467i</v>
      </c>
      <c r="R499" s="4">
        <f t="shared" si="423"/>
        <v>596.73790737883996</v>
      </c>
      <c r="S499" s="4">
        <f t="shared" si="424"/>
        <v>1.569120548441161</v>
      </c>
      <c r="T499" s="4" t="str">
        <f t="shared" si="413"/>
        <v>1+0.649082426462227i</v>
      </c>
      <c r="U499" s="4">
        <f t="shared" si="425"/>
        <v>1.1921862255294231</v>
      </c>
      <c r="V499" s="4">
        <f t="shared" si="426"/>
        <v>0.57572990720628359</v>
      </c>
      <c r="W499" t="str">
        <f t="shared" si="414"/>
        <v>1-8.49436950956945i</v>
      </c>
      <c r="X499" s="4">
        <f t="shared" si="427"/>
        <v>8.5530294846389463</v>
      </c>
      <c r="Y499" s="4">
        <f t="shared" si="428"/>
        <v>-1.4536106652095475</v>
      </c>
      <c r="Z499" t="str">
        <f t="shared" si="415"/>
        <v>0.639269327445895+1.67287315631128i</v>
      </c>
      <c r="AA499" s="4">
        <f t="shared" si="429"/>
        <v>1.7908573003229464</v>
      </c>
      <c r="AB499" s="4">
        <f t="shared" si="430"/>
        <v>1.2057819338802342</v>
      </c>
      <c r="AC499" s="48" t="str">
        <f t="shared" si="431"/>
        <v>-0.136235819387562+0.0764177851929528i</v>
      </c>
      <c r="AD499" s="20">
        <f t="shared" si="432"/>
        <v>-16.126123740092165</v>
      </c>
      <c r="AE499" s="44">
        <f t="shared" si="433"/>
        <v>150.71093685327583</v>
      </c>
      <c r="AF499" t="str">
        <f t="shared" si="434"/>
        <v>45.9520231294187</v>
      </c>
      <c r="AG499" t="str">
        <f t="shared" si="416"/>
        <v>1+286.359894027452i</v>
      </c>
      <c r="AH499">
        <f t="shared" si="435"/>
        <v>286.36164007669316</v>
      </c>
      <c r="AI499">
        <f t="shared" si="436"/>
        <v>1.5673042318614077</v>
      </c>
      <c r="AJ499" t="str">
        <f t="shared" si="417"/>
        <v>1+0.649082426462227i</v>
      </c>
      <c r="AK499">
        <f t="shared" si="437"/>
        <v>1.1921862255294231</v>
      </c>
      <c r="AL499">
        <f t="shared" si="438"/>
        <v>0.57572990720628359</v>
      </c>
      <c r="AM499" t="str">
        <f t="shared" si="418"/>
        <v>1-1.4522101993789i</v>
      </c>
      <c r="AN499">
        <f t="shared" si="439"/>
        <v>1.7632114062641793</v>
      </c>
      <c r="AO499">
        <f t="shared" si="440"/>
        <v>-0.96775865118719417</v>
      </c>
      <c r="AP499" s="42" t="str">
        <f t="shared" si="441"/>
        <v>-0.127787346765032-0.312174919261774i</v>
      </c>
      <c r="AQ499">
        <f t="shared" si="442"/>
        <v>-9.4392343582991654</v>
      </c>
      <c r="AR499" s="44">
        <f t="shared" si="443"/>
        <v>-112.26151017657298</v>
      </c>
      <c r="AS499" t="str">
        <f t="shared" si="419"/>
        <v>-0.000166666666666667</v>
      </c>
      <c r="AT499" t="str">
        <f t="shared" si="420"/>
        <v>0.0511963763872082i</v>
      </c>
      <c r="AU499">
        <f t="shared" si="444"/>
        <v>5.1196376387208198E-2</v>
      </c>
      <c r="AV499">
        <f t="shared" si="445"/>
        <v>1.5707963267948966</v>
      </c>
      <c r="AW499" t="str">
        <f t="shared" si="421"/>
        <v>1+9.32734532796553i</v>
      </c>
      <c r="AX499">
        <f t="shared" si="446"/>
        <v>9.3807979866917712</v>
      </c>
      <c r="AY499">
        <f t="shared" si="447"/>
        <v>1.463992651304471</v>
      </c>
      <c r="AZ499" t="str">
        <f t="shared" si="422"/>
        <v>1+189.856609740201i</v>
      </c>
      <c r="BA499">
        <f t="shared" si="448"/>
        <v>189.85924328839769</v>
      </c>
      <c r="BB499">
        <f t="shared" si="449"/>
        <v>1.5655292425782383</v>
      </c>
      <c r="BC499" s="42" t="str">
        <f t="shared" si="450"/>
        <v>-0.00667847910694078+0.0655479196287758i</v>
      </c>
      <c r="BD499">
        <f t="shared" si="451"/>
        <v>-23.623970233703208</v>
      </c>
      <c r="BE499" s="44">
        <f t="shared" si="452"/>
        <v>95.817618146131736</v>
      </c>
      <c r="BF499" s="42" t="str">
        <f t="shared" si="453"/>
        <v>-0.00409917876863993-0.00944032912158615i</v>
      </c>
      <c r="BG499" s="20">
        <f t="shared" si="454"/>
        <v>-39.75009397379538</v>
      </c>
      <c r="BH499" s="44">
        <f t="shared" si="455"/>
        <v>-113.47144500059242</v>
      </c>
      <c r="BI499" s="42" t="str">
        <f t="shared" si="460"/>
        <v>0.021315841643392-0.00629134105932814i</v>
      </c>
      <c r="BJ499" s="20">
        <f t="shared" si="456"/>
        <v>-33.063204592002378</v>
      </c>
      <c r="BK499" s="44">
        <f t="shared" si="461"/>
        <v>-16.443892030441248</v>
      </c>
      <c r="BL499">
        <f t="shared" si="457"/>
        <v>-39.75009397379538</v>
      </c>
      <c r="BM499" s="44">
        <f t="shared" si="458"/>
        <v>-113.47144500059242</v>
      </c>
    </row>
    <row r="500" spans="14:65" x14ac:dyDescent="0.35">
      <c r="N500" s="9">
        <v>82</v>
      </c>
      <c r="O500" s="35">
        <f t="shared" si="459"/>
        <v>660693.44800759677</v>
      </c>
      <c r="P500" s="34" t="str">
        <f t="shared" si="411"/>
        <v>16.3709677419355</v>
      </c>
      <c r="Q500" s="4" t="str">
        <f t="shared" si="412"/>
        <v>1+610.636861442724i</v>
      </c>
      <c r="R500" s="4">
        <f t="shared" si="423"/>
        <v>610.63768025943216</v>
      </c>
      <c r="S500" s="4">
        <f t="shared" si="424"/>
        <v>1.5691586937445599</v>
      </c>
      <c r="T500" s="4" t="str">
        <f t="shared" si="413"/>
        <v>1+0.664201498411384i</v>
      </c>
      <c r="U500" s="4">
        <f t="shared" si="425"/>
        <v>1.2004847481296577</v>
      </c>
      <c r="V500" s="4">
        <f t="shared" si="426"/>
        <v>0.58629400627169048</v>
      </c>
      <c r="W500" t="str">
        <f t="shared" si="414"/>
        <v>1-8.69222879298571i</v>
      </c>
      <c r="X500" s="4">
        <f t="shared" si="427"/>
        <v>8.749562354175767</v>
      </c>
      <c r="Y500" s="4">
        <f t="shared" si="428"/>
        <v>-1.4562545993825973</v>
      </c>
      <c r="Z500" t="str">
        <f t="shared" si="415"/>
        <v>0.622268614610998+1.71183937782792i</v>
      </c>
      <c r="AA500" s="4">
        <f t="shared" si="429"/>
        <v>1.8214313833389859</v>
      </c>
      <c r="AB500" s="4">
        <f t="shared" si="430"/>
        <v>1.222138026241687</v>
      </c>
      <c r="AC500" s="48" t="str">
        <f t="shared" si="431"/>
        <v>-0.134194128143187+0.0767746939070938i</v>
      </c>
      <c r="AD500" s="20">
        <f t="shared" si="432"/>
        <v>-16.215581693406754</v>
      </c>
      <c r="AE500" s="44">
        <f t="shared" si="433"/>
        <v>150.22540824812529</v>
      </c>
      <c r="AF500" t="str">
        <f t="shared" si="434"/>
        <v>45.9520231294187</v>
      </c>
      <c r="AG500" t="str">
        <f t="shared" si="416"/>
        <v>1+293.030072828551i</v>
      </c>
      <c r="AH500">
        <f t="shared" si="435"/>
        <v>293.03177913309315</v>
      </c>
      <c r="AI500">
        <f t="shared" si="436"/>
        <v>1.5673837210224417</v>
      </c>
      <c r="AJ500" t="str">
        <f t="shared" si="417"/>
        <v>1+0.664201498411384i</v>
      </c>
      <c r="AK500">
        <f t="shared" si="437"/>
        <v>1.2004847481296577</v>
      </c>
      <c r="AL500">
        <f t="shared" si="438"/>
        <v>0.58629400627169048</v>
      </c>
      <c r="AM500" t="str">
        <f t="shared" si="418"/>
        <v>1-1.48603652034307i</v>
      </c>
      <c r="AN500">
        <f t="shared" si="439"/>
        <v>1.7911740674187253</v>
      </c>
      <c r="AO500">
        <f t="shared" si="440"/>
        <v>-0.97846942602444831</v>
      </c>
      <c r="AP500" s="42" t="str">
        <f t="shared" si="441"/>
        <v>-0.127812637724205-0.312035395638321i</v>
      </c>
      <c r="AQ500">
        <f t="shared" si="442"/>
        <v>-9.4423129069678229</v>
      </c>
      <c r="AR500" s="44">
        <f t="shared" si="443"/>
        <v>-112.27446847270095</v>
      </c>
      <c r="AS500" t="str">
        <f t="shared" si="419"/>
        <v>-0.000166666666666667</v>
      </c>
      <c r="AT500" t="str">
        <f t="shared" si="420"/>
        <v>0.0523888931871979i</v>
      </c>
      <c r="AU500">
        <f t="shared" si="444"/>
        <v>5.2388893187197902E-2</v>
      </c>
      <c r="AV500">
        <f t="shared" si="445"/>
        <v>1.5707963267948966</v>
      </c>
      <c r="AW500" t="str">
        <f t="shared" si="421"/>
        <v>1+9.54460711068974i</v>
      </c>
      <c r="AX500">
        <f t="shared" si="446"/>
        <v>9.5968497381916489</v>
      </c>
      <c r="AY500">
        <f t="shared" si="447"/>
        <v>1.4664059733590238</v>
      </c>
      <c r="AZ500" t="str">
        <f t="shared" si="422"/>
        <v>1+194.27893828533i</v>
      </c>
      <c r="BA500">
        <f t="shared" si="448"/>
        <v>194.28151188745434</v>
      </c>
      <c r="BB500">
        <f t="shared" si="449"/>
        <v>1.5656491339102128</v>
      </c>
      <c r="BC500" s="42" t="str">
        <f t="shared" si="450"/>
        <v>-0.00638116168801653+0.0640870171220746i</v>
      </c>
      <c r="BD500">
        <f t="shared" si="451"/>
        <v>-23.821753882232489</v>
      </c>
      <c r="BE500" s="44">
        <f t="shared" si="452"/>
        <v>95.686214245122358</v>
      </c>
      <c r="BF500" s="42" t="str">
        <f t="shared" si="453"/>
        <v>-0.00406394669370187-0.00909001312336344i</v>
      </c>
      <c r="BG500" s="20">
        <f t="shared" si="454"/>
        <v>-40.037335575639247</v>
      </c>
      <c r="BH500" s="44">
        <f t="shared" si="455"/>
        <v>-114.08837750675235</v>
      </c>
      <c r="BI500" s="42" t="str">
        <f t="shared" si="460"/>
        <v>0.0208130108500564-0.00619998239029631i</v>
      </c>
      <c r="BJ500" s="20">
        <f t="shared" si="456"/>
        <v>-33.264066789200328</v>
      </c>
      <c r="BK500" s="44">
        <f t="shared" si="461"/>
        <v>-16.588254227578616</v>
      </c>
      <c r="BL500">
        <f t="shared" si="457"/>
        <v>-40.037335575639247</v>
      </c>
      <c r="BM500" s="44">
        <f t="shared" si="458"/>
        <v>-114.08837750675235</v>
      </c>
    </row>
    <row r="501" spans="14:65" x14ac:dyDescent="0.35">
      <c r="N501" s="9">
        <v>83</v>
      </c>
      <c r="O501" s="35">
        <f t="shared" si="459"/>
        <v>676082.97539198259</v>
      </c>
      <c r="P501" s="34" t="str">
        <f t="shared" si="411"/>
        <v>16.3709677419355</v>
      </c>
      <c r="Q501" s="4" t="str">
        <f t="shared" si="412"/>
        <v>1+624.860421142653i</v>
      </c>
      <c r="R501" s="4">
        <f t="shared" si="423"/>
        <v>624.86122132084154</v>
      </c>
      <c r="S501" s="4">
        <f t="shared" si="424"/>
        <v>1.5691959707594509</v>
      </c>
      <c r="T501" s="4" t="str">
        <f t="shared" si="413"/>
        <v>1+0.679672738786746i</v>
      </c>
      <c r="U501" s="4">
        <f t="shared" si="425"/>
        <v>1.20911332465153</v>
      </c>
      <c r="V501" s="4">
        <f t="shared" si="426"/>
        <v>0.59695284038503904</v>
      </c>
      <c r="W501" t="str">
        <f t="shared" si="414"/>
        <v>1-8.89469681116327i</v>
      </c>
      <c r="X501" s="4">
        <f t="shared" si="427"/>
        <v>8.9507335656089122</v>
      </c>
      <c r="Y501" s="4">
        <f t="shared" si="428"/>
        <v>-1.4588399053900967</v>
      </c>
      <c r="Z501" t="str">
        <f t="shared" si="415"/>
        <v>0.604466682864358+1.75171323924155i</v>
      </c>
      <c r="AA501" s="4">
        <f t="shared" si="429"/>
        <v>1.8530729190258985</v>
      </c>
      <c r="AB501" s="4">
        <f t="shared" si="430"/>
        <v>1.2385186949087321</v>
      </c>
      <c r="AC501" s="48" t="str">
        <f t="shared" si="431"/>
        <v>-0.13217309463931+0.0770893918685963i</v>
      </c>
      <c r="AD501" s="20">
        <f t="shared" si="432"/>
        <v>-16.305521857766156</v>
      </c>
      <c r="AE501" s="44">
        <f t="shared" si="433"/>
        <v>149.74730833852072</v>
      </c>
      <c r="AF501" t="str">
        <f t="shared" si="434"/>
        <v>45.9520231294187</v>
      </c>
      <c r="AG501" t="str">
        <f t="shared" si="416"/>
        <v>1+299.855620052975i</v>
      </c>
      <c r="AH501">
        <f t="shared" si="435"/>
        <v>299.85728751750241</v>
      </c>
      <c r="AI501">
        <f t="shared" si="436"/>
        <v>1.5674614008309382</v>
      </c>
      <c r="AJ501" t="str">
        <f t="shared" si="417"/>
        <v>1+0.679672738786746i</v>
      </c>
      <c r="AK501">
        <f t="shared" si="437"/>
        <v>1.20911332465153</v>
      </c>
      <c r="AL501">
        <f t="shared" si="438"/>
        <v>0.59695284038503904</v>
      </c>
      <c r="AM501" t="str">
        <f t="shared" si="418"/>
        <v>1-1.52065075754034i</v>
      </c>
      <c r="AN501">
        <f t="shared" si="439"/>
        <v>1.8199941555972126</v>
      </c>
      <c r="AO501">
        <f t="shared" si="440"/>
        <v>-0.98908772966241831</v>
      </c>
      <c r="AP501" s="42" t="str">
        <f t="shared" si="441"/>
        <v>-0.127836790428623-0.312061309540902i</v>
      </c>
      <c r="AQ501">
        <f t="shared" si="442"/>
        <v>-9.4414594137950179</v>
      </c>
      <c r="AR501" s="44">
        <f t="shared" si="443"/>
        <v>-112.27659697270025</v>
      </c>
      <c r="AS501" t="str">
        <f t="shared" si="419"/>
        <v>-0.000166666666666667</v>
      </c>
      <c r="AT501" t="str">
        <f t="shared" si="420"/>
        <v>0.0536091872718046i</v>
      </c>
      <c r="AU501">
        <f t="shared" si="444"/>
        <v>5.3609187271804602E-2</v>
      </c>
      <c r="AV501">
        <f t="shared" si="445"/>
        <v>1.5707963267948966</v>
      </c>
      <c r="AW501" t="str">
        <f t="shared" si="421"/>
        <v>1+9.76692957044187i</v>
      </c>
      <c r="AX501">
        <f t="shared" si="446"/>
        <v>9.8179892663402235</v>
      </c>
      <c r="AY501">
        <f t="shared" si="447"/>
        <v>1.4687655413381702</v>
      </c>
      <c r="AZ501" t="str">
        <f t="shared" si="422"/>
        <v>1+198.804276095123i</v>
      </c>
      <c r="BA501">
        <f t="shared" si="448"/>
        <v>198.80679111566056</v>
      </c>
      <c r="BB501">
        <f t="shared" si="449"/>
        <v>1.5657662963252714</v>
      </c>
      <c r="BC501" s="42" t="str">
        <f t="shared" si="450"/>
        <v>-0.00609694157010781+0.0626573187643525i</v>
      </c>
      <c r="BD501">
        <f t="shared" si="451"/>
        <v>-24.019636221452359</v>
      </c>
      <c r="BE501" s="44">
        <f t="shared" si="452"/>
        <v>95.557733870343469</v>
      </c>
      <c r="BF501" s="42" t="str">
        <f t="shared" si="453"/>
        <v>-0.00402436296450452-0.00875162124078415i</v>
      </c>
      <c r="BG501" s="20">
        <f t="shared" si="454"/>
        <v>-40.325158079218525</v>
      </c>
      <c r="BH501" s="44">
        <f t="shared" si="455"/>
        <v>-114.69495779113582</v>
      </c>
      <c r="BI501" s="42" t="str">
        <f t="shared" si="460"/>
        <v>0.020332338387679-0.00610729095713575i</v>
      </c>
      <c r="BJ501" s="20">
        <f t="shared" si="456"/>
        <v>-33.461095635247382</v>
      </c>
      <c r="BK501" s="44">
        <f t="shared" si="461"/>
        <v>-16.718863102356778</v>
      </c>
      <c r="BL501">
        <f t="shared" si="457"/>
        <v>-40.325158079218525</v>
      </c>
      <c r="BM501" s="44">
        <f t="shared" si="458"/>
        <v>-114.69495779113582</v>
      </c>
    </row>
    <row r="502" spans="14:65" x14ac:dyDescent="0.35">
      <c r="N502" s="9">
        <v>84</v>
      </c>
      <c r="O502" s="35">
        <f t="shared" si="459"/>
        <v>691830.97091893724</v>
      </c>
      <c r="P502" s="34" t="str">
        <f t="shared" si="411"/>
        <v>16.3709677419355</v>
      </c>
      <c r="Q502" s="4" t="str">
        <f t="shared" si="412"/>
        <v>1+639.415290108877i</v>
      </c>
      <c r="R502" s="4">
        <f t="shared" si="423"/>
        <v>639.41607207280867</v>
      </c>
      <c r="S502" s="4">
        <f t="shared" si="424"/>
        <v>1.5692323992501864</v>
      </c>
      <c r="T502" s="4" t="str">
        <f t="shared" si="413"/>
        <v>1+0.695504350644744i</v>
      </c>
      <c r="U502" s="4">
        <f t="shared" si="425"/>
        <v>1.2180830438708876</v>
      </c>
      <c r="V502" s="4">
        <f t="shared" si="426"/>
        <v>0.60770237327567922</v>
      </c>
      <c r="W502" t="str">
        <f t="shared" si="414"/>
        <v>1-9.10188091532534i</v>
      </c>
      <c r="X502" s="4">
        <f t="shared" si="427"/>
        <v>9.1566498347792926</v>
      </c>
      <c r="Y502" s="4">
        <f t="shared" si="428"/>
        <v>-1.4613678156832233</v>
      </c>
      <c r="Z502" t="str">
        <f t="shared" si="415"/>
        <v>0.585825771922+1.7925158822013i</v>
      </c>
      <c r="AA502" s="4">
        <f t="shared" si="429"/>
        <v>1.8858168052575819</v>
      </c>
      <c r="AB502" s="4">
        <f t="shared" si="430"/>
        <v>1.2549213332213529</v>
      </c>
      <c r="AC502" s="48" t="str">
        <f t="shared" si="431"/>
        <v>-0.130173553954216+0.0773636824808384i</v>
      </c>
      <c r="AD502" s="20">
        <f t="shared" si="432"/>
        <v>-16.395903861077205</v>
      </c>
      <c r="AE502" s="44">
        <f t="shared" si="433"/>
        <v>149.2764834671417</v>
      </c>
      <c r="AF502" t="str">
        <f t="shared" si="434"/>
        <v>45.9520231294187</v>
      </c>
      <c r="AG502" t="str">
        <f t="shared" si="416"/>
        <v>1+306.84015469621i</v>
      </c>
      <c r="AH502">
        <f t="shared" si="435"/>
        <v>306.8417842048147</v>
      </c>
      <c r="AI502">
        <f t="shared" si="436"/>
        <v>1.5675373124700078</v>
      </c>
      <c r="AJ502" t="str">
        <f t="shared" si="417"/>
        <v>1+0.695504350644744i</v>
      </c>
      <c r="AK502">
        <f t="shared" si="437"/>
        <v>1.2180830438708876</v>
      </c>
      <c r="AL502">
        <f t="shared" si="438"/>
        <v>0.60770237327567922</v>
      </c>
      <c r="AM502" t="str">
        <f t="shared" si="418"/>
        <v>1-1.55607126389745i</v>
      </c>
      <c r="AN502">
        <f t="shared" si="439"/>
        <v>1.8496912656785209</v>
      </c>
      <c r="AO502">
        <f t="shared" si="440"/>
        <v>-0.99960961439311868</v>
      </c>
      <c r="AP502" s="42" t="str">
        <f t="shared" si="441"/>
        <v>-0.12785985610591-0.312252675228081i</v>
      </c>
      <c r="AQ502">
        <f t="shared" si="442"/>
        <v>-9.4366743809814277</v>
      </c>
      <c r="AR502" s="44">
        <f t="shared" si="443"/>
        <v>-112.26790311045632</v>
      </c>
      <c r="AS502" t="str">
        <f t="shared" si="419"/>
        <v>-0.000166666666666667</v>
      </c>
      <c r="AT502" t="str">
        <f t="shared" si="420"/>
        <v>0.0548579056571042i</v>
      </c>
      <c r="AU502">
        <f t="shared" si="444"/>
        <v>5.4857905657104203E-2</v>
      </c>
      <c r="AV502">
        <f t="shared" si="445"/>
        <v>1.5707963267948966</v>
      </c>
      <c r="AW502" t="str">
        <f t="shared" si="421"/>
        <v>1+9.99443058553284i</v>
      </c>
      <c r="AX502">
        <f t="shared" si="446"/>
        <v>10.044333861886226</v>
      </c>
      <c r="AY502">
        <f t="shared" si="447"/>
        <v>1.4710725011623245</v>
      </c>
      <c r="AZ502" t="str">
        <f t="shared" si="422"/>
        <v>1+203.435022563587i</v>
      </c>
      <c r="BA502">
        <f t="shared" si="448"/>
        <v>203.43748033596748</v>
      </c>
      <c r="BB502">
        <f t="shared" si="449"/>
        <v>1.565880791931604</v>
      </c>
      <c r="BC502" s="42" t="str">
        <f t="shared" si="450"/>
        <v>-0.00582525390234895+0.0612582479684381i</v>
      </c>
      <c r="BD502">
        <f t="shared" si="451"/>
        <v>-24.217612902008021</v>
      </c>
      <c r="BE502" s="44">
        <f t="shared" si="452"/>
        <v>95.43211492392885</v>
      </c>
      <c r="BF502" s="42" t="str">
        <f t="shared" si="453"/>
        <v>-0.00398086964200828-0.00842486694033181i</v>
      </c>
      <c r="BG502" s="20">
        <f t="shared" si="454"/>
        <v>-40.613516763085222</v>
      </c>
      <c r="BH502" s="44">
        <f t="shared" si="455"/>
        <v>-115.29140160892943</v>
      </c>
      <c r="BI502" s="42" t="str">
        <f t="shared" si="460"/>
        <v>0.0198728679336647-0.00601351965565337i</v>
      </c>
      <c r="BJ502" s="20">
        <f t="shared" si="456"/>
        <v>-33.654287282989443</v>
      </c>
      <c r="BK502" s="44">
        <f t="shared" si="461"/>
        <v>-16.835788186527456</v>
      </c>
      <c r="BL502">
        <f t="shared" si="457"/>
        <v>-40.613516763085222</v>
      </c>
      <c r="BM502" s="44">
        <f t="shared" si="458"/>
        <v>-115.29140160892943</v>
      </c>
    </row>
    <row r="503" spans="14:65" x14ac:dyDescent="0.35">
      <c r="N503" s="9">
        <v>85</v>
      </c>
      <c r="O503" s="35">
        <f t="shared" si="459"/>
        <v>707945.78438413853</v>
      </c>
      <c r="P503" s="34" t="str">
        <f t="shared" si="411"/>
        <v>16.3709677419355</v>
      </c>
      <c r="Q503" s="4" t="str">
        <f t="shared" si="412"/>
        <v>1+654.309185525581i</v>
      </c>
      <c r="R503" s="4">
        <f t="shared" si="423"/>
        <v>654.30994968986158</v>
      </c>
      <c r="S503" s="4">
        <f t="shared" si="424"/>
        <v>1.5692679985312472</v>
      </c>
      <c r="T503" s="4" t="str">
        <f t="shared" si="413"/>
        <v>1+0.711704728115544i</v>
      </c>
      <c r="U503" s="4">
        <f t="shared" si="425"/>
        <v>1.2274052387137755</v>
      </c>
      <c r="V503" s="4">
        <f t="shared" si="426"/>
        <v>0.61853836744264035</v>
      </c>
      <c r="W503" t="str">
        <f t="shared" si="414"/>
        <v>1-9.31389095722637i</v>
      </c>
      <c r="X503" s="4">
        <f t="shared" si="427"/>
        <v>9.3674203900061581</v>
      </c>
      <c r="Y503" s="4">
        <f t="shared" si="428"/>
        <v>-1.4638395412899063</v>
      </c>
      <c r="Z503" t="str">
        <f t="shared" si="415"/>
        <v>0.566306341912581+1.83426894080855i</v>
      </c>
      <c r="AA503" s="4">
        <f t="shared" si="429"/>
        <v>1.9196993046061481</v>
      </c>
      <c r="AB503" s="4">
        <f t="shared" si="430"/>
        <v>1.2713435083549389</v>
      </c>
      <c r="AC503" s="48" t="str">
        <f t="shared" si="431"/>
        <v>-0.128196232948417+0.0775993831651834i</v>
      </c>
      <c r="AD503" s="20">
        <f t="shared" si="432"/>
        <v>-16.486687915175704</v>
      </c>
      <c r="AE503" s="44">
        <f t="shared" si="433"/>
        <v>148.81275974022205</v>
      </c>
      <c r="AF503" t="str">
        <f t="shared" si="434"/>
        <v>45.9520231294187</v>
      </c>
      <c r="AG503" t="str">
        <f t="shared" si="416"/>
        <v>1+313.987380050975i</v>
      </c>
      <c r="AH503">
        <f t="shared" si="435"/>
        <v>313.98897246762567</v>
      </c>
      <c r="AI503">
        <f t="shared" si="436"/>
        <v>1.567611496185505</v>
      </c>
      <c r="AJ503" t="str">
        <f t="shared" si="417"/>
        <v>1+0.711704728115544i</v>
      </c>
      <c r="AK503">
        <f t="shared" si="437"/>
        <v>1.2274052387137755</v>
      </c>
      <c r="AL503">
        <f t="shared" si="438"/>
        <v>0.61853836744264035</v>
      </c>
      <c r="AM503" t="str">
        <f t="shared" si="418"/>
        <v>1-1.59231681983572i</v>
      </c>
      <c r="AN503">
        <f t="shared" si="439"/>
        <v>1.8802853120555243</v>
      </c>
      <c r="AO503">
        <f t="shared" si="440"/>
        <v>-1.01003133983761</v>
      </c>
      <c r="AP503" s="42" t="str">
        <f t="shared" si="441"/>
        <v>-0.127881883678268-0.312609594648532i</v>
      </c>
      <c r="AQ503">
        <f t="shared" si="442"/>
        <v>-9.4279606529060125</v>
      </c>
      <c r="AR503" s="44">
        <f t="shared" si="443"/>
        <v>-112.24841767488121</v>
      </c>
      <c r="AS503" t="str">
        <f t="shared" si="419"/>
        <v>-0.000166666666666667</v>
      </c>
      <c r="AT503" t="str">
        <f t="shared" si="420"/>
        <v>0.0561357104301135i</v>
      </c>
      <c r="AU503">
        <f t="shared" si="444"/>
        <v>5.6135710430113499E-2</v>
      </c>
      <c r="AV503">
        <f t="shared" si="445"/>
        <v>1.5707963267948966</v>
      </c>
      <c r="AW503" t="str">
        <f t="shared" si="421"/>
        <v>1+10.2272307800122i</v>
      </c>
      <c r="AX503">
        <f t="shared" si="446"/>
        <v>10.276003572772295</v>
      </c>
      <c r="AY503">
        <f t="shared" si="447"/>
        <v>1.4733279777360133</v>
      </c>
      <c r="AZ503" t="str">
        <f t="shared" si="422"/>
        <v>1+208.173632973796i</v>
      </c>
      <c r="BA503">
        <f t="shared" si="448"/>
        <v>208.17603480109983</v>
      </c>
      <c r="BB503">
        <f t="shared" si="449"/>
        <v>1.5659926814242822</v>
      </c>
      <c r="BC503" s="42" t="str">
        <f t="shared" si="450"/>
        <v>-0.00556555713811389+0.0598892326819498i</v>
      </c>
      <c r="BD503">
        <f t="shared" si="451"/>
        <v>-24.415679762283588</v>
      </c>
      <c r="BE503" s="44">
        <f t="shared" si="452"/>
        <v>95.30929643116815</v>
      </c>
      <c r="BF503" s="42" t="str">
        <f t="shared" si="453"/>
        <v>-0.00393388405499007-0.00810945782488541i</v>
      </c>
      <c r="BG503" s="20">
        <f t="shared" si="454"/>
        <v>-40.902367677459289</v>
      </c>
      <c r="BH503" s="44">
        <f t="shared" si="455"/>
        <v>-115.87794382860979</v>
      </c>
      <c r="BI503" s="42" t="str">
        <f t="shared" si="460"/>
        <v>0.019433682683057-0.0059189013264748i</v>
      </c>
      <c r="BJ503" s="20">
        <f t="shared" si="456"/>
        <v>-33.84364041518959</v>
      </c>
      <c r="BK503" s="44">
        <f t="shared" si="461"/>
        <v>-16.939121243713046</v>
      </c>
      <c r="BL503">
        <f t="shared" si="457"/>
        <v>-40.902367677459289</v>
      </c>
      <c r="BM503" s="44">
        <f t="shared" si="458"/>
        <v>-115.87794382860979</v>
      </c>
    </row>
    <row r="504" spans="14:65" x14ac:dyDescent="0.35">
      <c r="N504" s="9">
        <v>86</v>
      </c>
      <c r="O504" s="35">
        <f t="shared" si="459"/>
        <v>724435.96007499192</v>
      </c>
      <c r="P504" s="34" t="str">
        <f t="shared" si="411"/>
        <v>16.3709677419355</v>
      </c>
      <c r="Q504" s="4" t="str">
        <f t="shared" si="412"/>
        <v>1+669.550004333256i</v>
      </c>
      <c r="R504" s="4">
        <f t="shared" si="423"/>
        <v>669.55075110305347</v>
      </c>
      <c r="S504" s="4">
        <f t="shared" si="424"/>
        <v>1.5693027874774823</v>
      </c>
      <c r="T504" s="4" t="str">
        <f t="shared" si="413"/>
        <v>1+0.728282460853717i</v>
      </c>
      <c r="U504" s="4">
        <f t="shared" si="425"/>
        <v>1.2370914852132584</v>
      </c>
      <c r="V504" s="4">
        <f t="shared" si="426"/>
        <v>0.62945638961034145</v>
      </c>
      <c r="W504" t="str">
        <f t="shared" si="414"/>
        <v>1-9.53083934739685i</v>
      </c>
      <c r="X504" s="4">
        <f t="shared" si="427"/>
        <v>9.5831570302217219</v>
      </c>
      <c r="Y504" s="4">
        <f t="shared" si="428"/>
        <v>-1.4662562718794432</v>
      </c>
      <c r="Z504" t="str">
        <f t="shared" si="415"/>
        <v>0.545866989508036+1.87699455308763i</v>
      </c>
      <c r="AA504" s="4">
        <f t="shared" si="429"/>
        <v>1.9547581237982357</v>
      </c>
      <c r="AB504" s="4">
        <f t="shared" si="430"/>
        <v>1.2877829612874339</v>
      </c>
      <c r="AC504" s="48" t="str">
        <f t="shared" si="431"/>
        <v>-0.126241750323589+0.0777983171510818i</v>
      </c>
      <c r="AD504" s="20">
        <f t="shared" si="432"/>
        <v>-16.577835064587894</v>
      </c>
      <c r="AE504" s="44">
        <f t="shared" si="433"/>
        <v>148.35594333773184</v>
      </c>
      <c r="AF504" t="str">
        <f t="shared" si="434"/>
        <v>45.9520231294187</v>
      </c>
      <c r="AG504" t="str">
        <f t="shared" si="416"/>
        <v>1+321.301085670757i</v>
      </c>
      <c r="AH504">
        <f t="shared" si="435"/>
        <v>321.30264183975692</v>
      </c>
      <c r="AI504">
        <f t="shared" si="436"/>
        <v>1.5676839913073495</v>
      </c>
      <c r="AJ504" t="str">
        <f t="shared" si="417"/>
        <v>1+0.728282460853717i</v>
      </c>
      <c r="AK504">
        <f t="shared" si="437"/>
        <v>1.2370914852132584</v>
      </c>
      <c r="AL504">
        <f t="shared" si="438"/>
        <v>0.62945638961034145</v>
      </c>
      <c r="AM504" t="str">
        <f t="shared" si="418"/>
        <v>1-1.62940664322867i</v>
      </c>
      <c r="AN504">
        <f t="shared" si="439"/>
        <v>1.9117965396447716</v>
      </c>
      <c r="AO504">
        <f t="shared" si="440"/>
        <v>-1.0203493760238105</v>
      </c>
      <c r="AP504" s="42" t="str">
        <f>(IMDIV(IMPRODUCT(AF504,AJ504,AM504),IMPRODUCT(AG504)))</f>
        <v>-0.127902919866216-0.313132257497399i</v>
      </c>
      <c r="AQ504">
        <f t="shared" si="442"/>
        <v>-9.4153234146963616</v>
      </c>
      <c r="AR504" s="44">
        <f t="shared" si="443"/>
        <v>-112.21819467489127</v>
      </c>
      <c r="AS504" t="str">
        <f t="shared" si="419"/>
        <v>-0.000166666666666667</v>
      </c>
      <c r="AT504" t="str">
        <f t="shared" si="420"/>
        <v>0.0574432790998369i</v>
      </c>
      <c r="AU504">
        <f t="shared" si="444"/>
        <v>5.7443279099836903E-2</v>
      </c>
      <c r="AV504">
        <f t="shared" si="445"/>
        <v>1.5707963267948966</v>
      </c>
      <c r="AW504" t="str">
        <f t="shared" si="421"/>
        <v>1+10.4654535876245i</v>
      </c>
      <c r="AX504">
        <f t="shared" si="446"/>
        <v>10.513121267954752</v>
      </c>
      <c r="AY504">
        <f t="shared" si="447"/>
        <v>1.4755330751003481</v>
      </c>
      <c r="AZ504" t="str">
        <f t="shared" si="422"/>
        <v>1+213.022619799712i</v>
      </c>
      <c r="BA504">
        <f t="shared" si="448"/>
        <v>213.02496695536098</v>
      </c>
      <c r="BB504">
        <f t="shared" si="449"/>
        <v>1.5661020241173833</v>
      </c>
      <c r="BC504" s="42" t="str">
        <f t="shared" si="450"/>
        <v>-0.00531733216638496+0.0585497058218728i</v>
      </c>
      <c r="BD504">
        <f t="shared" si="451"/>
        <v>-24.613832820642433</v>
      </c>
      <c r="BE504" s="44">
        <f t="shared" si="452"/>
        <v>95.189218533611637</v>
      </c>
      <c r="BF504" s="42" t="str">
        <f t="shared" si="453"/>
        <v>-0.00388379926289624-0.00780509683816252i</v>
      </c>
      <c r="BG504" s="20">
        <f t="shared" si="454"/>
        <v>-41.191667885230324</v>
      </c>
      <c r="BH504" s="44">
        <f t="shared" si="455"/>
        <v>-116.45483812865646</v>
      </c>
      <c r="BI504" s="42" t="str">
        <f t="shared" si="460"/>
        <v>0.0190139038697908-0.00582365010680186i</v>
      </c>
      <c r="BJ504" s="20">
        <f t="shared" si="456"/>
        <v>-34.029156235338803</v>
      </c>
      <c r="BK504" s="44">
        <f t="shared" si="461"/>
        <v>-17.028976141279642</v>
      </c>
      <c r="BL504">
        <f t="shared" si="457"/>
        <v>-41.191667885230324</v>
      </c>
      <c r="BM504" s="44">
        <f t="shared" si="458"/>
        <v>-116.45483812865646</v>
      </c>
    </row>
    <row r="505" spans="14:65" x14ac:dyDescent="0.35">
      <c r="N505" s="9">
        <v>87</v>
      </c>
      <c r="O505" s="35">
        <f t="shared" si="459"/>
        <v>741310.24130091805</v>
      </c>
      <c r="P505" s="34" t="str">
        <f t="shared" si="411"/>
        <v>16.3709677419355</v>
      </c>
      <c r="Q505" s="4" t="str">
        <f t="shared" si="412"/>
        <v>1+685.145827415767i</v>
      </c>
      <c r="R505" s="4">
        <f t="shared" si="423"/>
        <v>685.14655718702693</v>
      </c>
      <c r="S505" s="4">
        <f t="shared" si="424"/>
        <v>1.5693367845341142</v>
      </c>
      <c r="T505" s="4" t="str">
        <f t="shared" si="413"/>
        <v>1+0.745246338592589i</v>
      </c>
      <c r="U505" s="4">
        <f t="shared" si="425"/>
        <v>1.2471536012799946</v>
      </c>
      <c r="V505" s="4">
        <f t="shared" si="426"/>
        <v>0.64045181717802679</v>
      </c>
      <c r="W505" t="str">
        <f t="shared" si="414"/>
        <v>1-9.75284111474484i</v>
      </c>
      <c r="X505" s="4">
        <f t="shared" si="427"/>
        <v>9.8039741844548622</v>
      </c>
      <c r="Y505" s="4">
        <f t="shared" si="428"/>
        <v>-1.468619175851811</v>
      </c>
      <c r="Z505" t="str">
        <f t="shared" si="415"/>
        <v>0.524464360101569+1.92071537272371i</v>
      </c>
      <c r="AA505" s="4">
        <f t="shared" si="429"/>
        <v>1.9910324979853868</v>
      </c>
      <c r="AB505" s="4">
        <f t="shared" si="430"/>
        <v>1.3042376055887965</v>
      </c>
      <c r="AC505" s="48" t="str">
        <f t="shared" si="431"/>
        <v>-0.124310617362881+0.0779623054149813i</v>
      </c>
      <c r="AD505" s="20">
        <f t="shared" si="432"/>
        <v>-16.669307432055039</v>
      </c>
      <c r="AE505" s="44">
        <f t="shared" si="433"/>
        <v>147.90582094657299</v>
      </c>
      <c r="AF505" t="str">
        <f t="shared" si="434"/>
        <v>45.9520231294187</v>
      </c>
      <c r="AG505" t="str">
        <f t="shared" si="416"/>
        <v>1+328.785149379082i</v>
      </c>
      <c r="AH505">
        <f t="shared" si="435"/>
        <v>328.78667012551659</v>
      </c>
      <c r="AI505">
        <f t="shared" si="436"/>
        <v>1.5677548362703648</v>
      </c>
      <c r="AJ505" t="str">
        <f t="shared" si="417"/>
        <v>1+0.745246338592589i</v>
      </c>
      <c r="AK505">
        <f t="shared" si="437"/>
        <v>1.2471536012799946</v>
      </c>
      <c r="AL505">
        <f t="shared" si="438"/>
        <v>0.64045181717802679</v>
      </c>
      <c r="AM505" t="str">
        <f t="shared" si="418"/>
        <v>1-1.6673603995916i</v>
      </c>
      <c r="AN505">
        <f t="shared" si="439"/>
        <v>1.9442455354523154</v>
      </c>
      <c r="AO505">
        <f t="shared" si="440"/>
        <v>-1.0305604055223223</v>
      </c>
      <c r="AP505" s="42" t="str">
        <f t="shared" si="441"/>
        <v>-0.127923009287674-0.31382094131904i</v>
      </c>
      <c r="AQ505">
        <f t="shared" si="442"/>
        <v>-9.398770189555286</v>
      </c>
      <c r="AR505" s="44">
        <f t="shared" si="443"/>
        <v>-112.17731109344987</v>
      </c>
      <c r="AS505" t="str">
        <f t="shared" si="419"/>
        <v>-0.000166666666666667</v>
      </c>
      <c r="AT505" t="str">
        <f t="shared" si="420"/>
        <v>0.0587813049564905i</v>
      </c>
      <c r="AU505">
        <f t="shared" si="444"/>
        <v>5.8781304956490497E-2</v>
      </c>
      <c r="AV505">
        <f t="shared" si="445"/>
        <v>1.5707963267948966</v>
      </c>
      <c r="AW505" t="str">
        <f t="shared" si="421"/>
        <v>1+10.7092253172556i</v>
      </c>
      <c r="AX505">
        <f t="shared" si="446"/>
        <v>10.755812702708628</v>
      </c>
      <c r="AY505">
        <f t="shared" si="447"/>
        <v>1.4776888766024647</v>
      </c>
      <c r="AZ505" t="str">
        <f t="shared" si="422"/>
        <v>1+217.984554038332i</v>
      </c>
      <c r="BA505">
        <f t="shared" si="448"/>
        <v>217.98684776676433</v>
      </c>
      <c r="BB505">
        <f t="shared" si="449"/>
        <v>1.5662088779753864</v>
      </c>
      <c r="BC505" s="42" t="str">
        <f t="shared" si="450"/>
        <v>-0.00508008146713373+0.0572391056670956i</v>
      </c>
      <c r="BD505">
        <f t="shared" si="451"/>
        <v>-24.812068267957521</v>
      </c>
      <c r="BE505" s="44">
        <f t="shared" si="452"/>
        <v>95.071822481160666</v>
      </c>
      <c r="BF505" s="42" t="str">
        <f t="shared" si="453"/>
        <v>-0.00383098457426537-0.0075114834256495i</v>
      </c>
      <c r="BG505" s="20">
        <f t="shared" si="454"/>
        <v>-41.481375700012563</v>
      </c>
      <c r="BH505" s="44">
        <f t="shared" si="455"/>
        <v>-117.02235657226636</v>
      </c>
      <c r="BI505" s="42" t="str">
        <f t="shared" si="460"/>
        <v>0.0186126893294102-0.00572796269787671i</v>
      </c>
      <c r="BJ505" s="20">
        <f t="shared" si="456"/>
        <v>-34.210838457512821</v>
      </c>
      <c r="BK505" s="44">
        <f t="shared" si="461"/>
        <v>-17.105488612289236</v>
      </c>
      <c r="BL505">
        <f t="shared" si="457"/>
        <v>-41.481375700012563</v>
      </c>
      <c r="BM505" s="44">
        <f t="shared" si="458"/>
        <v>-117.02235657226636</v>
      </c>
    </row>
    <row r="506" spans="14:65" x14ac:dyDescent="0.35">
      <c r="N506" s="9">
        <v>88</v>
      </c>
      <c r="O506" s="35">
        <f t="shared" si="459"/>
        <v>758577.57502918423</v>
      </c>
      <c r="P506" s="34" t="str">
        <f t="shared" si="411"/>
        <v>16.3709677419355</v>
      </c>
      <c r="Q506" s="4" t="str">
        <f t="shared" si="412"/>
        <v>1+701.104923884953i</v>
      </c>
      <c r="R506" s="4">
        <f t="shared" si="423"/>
        <v>701.1056370446081</v>
      </c>
      <c r="S506" s="4">
        <f t="shared" si="424"/>
        <v>1.569370007726518</v>
      </c>
      <c r="T506" s="4" t="str">
        <f t="shared" si="413"/>
        <v>1+0.762605355804686i</v>
      </c>
      <c r="U506" s="4">
        <f t="shared" si="425"/>
        <v>1.2576036453119845</v>
      </c>
      <c r="V506" s="4">
        <f t="shared" si="426"/>
        <v>0.65151984566026588</v>
      </c>
      <c r="W506" t="str">
        <f t="shared" si="414"/>
        <v>1-9.98001396754602i</v>
      </c>
      <c r="X506" s="4">
        <f t="shared" si="427"/>
        <v>10.029988972696513</v>
      </c>
      <c r="Y506" s="4">
        <f t="shared" si="428"/>
        <v>-1.470929400449587</v>
      </c>
      <c r="Z506" t="str">
        <f t="shared" si="415"/>
        <v>0.5020530558467+1.96545458107409i</v>
      </c>
      <c r="AA506" s="4">
        <f t="shared" si="429"/>
        <v>2.0285632800457902</v>
      </c>
      <c r="AB506" s="4">
        <f t="shared" si="430"/>
        <v>1.320705525055039</v>
      </c>
      <c r="AC506" s="48" t="str">
        <f t="shared" si="431"/>
        <v>-0.1224032393224+0.0780931588245291i</v>
      </c>
      <c r="AD506" s="20">
        <f t="shared" si="432"/>
        <v>-16.761068459242328</v>
      </c>
      <c r="AE506" s="44">
        <f t="shared" si="433"/>
        <v>147.46216031547206</v>
      </c>
      <c r="AF506" t="str">
        <f t="shared" si="434"/>
        <v>45.9520231294187</v>
      </c>
      <c r="AG506" t="str">
        <f t="shared" si="416"/>
        <v>1+336.443539325596i</v>
      </c>
      <c r="AH506">
        <f t="shared" si="435"/>
        <v>336.44502545577024</v>
      </c>
      <c r="AI506">
        <f t="shared" si="436"/>
        <v>1.5678240686346421</v>
      </c>
      <c r="AJ506" t="str">
        <f t="shared" si="417"/>
        <v>1+0.762605355804686i</v>
      </c>
      <c r="AK506">
        <f t="shared" si="437"/>
        <v>1.2576036453119845</v>
      </c>
      <c r="AL506">
        <f t="shared" si="438"/>
        <v>0.65151984566026588</v>
      </c>
      <c r="AM506" t="str">
        <f t="shared" si="418"/>
        <v>1-1.70619821250852i</v>
      </c>
      <c r="AN506">
        <f t="shared" si="439"/>
        <v>1.9776532406787772</v>
      </c>
      <c r="AO506">
        <f t="shared" si="440"/>
        <v>-1.0406613246707068</v>
      </c>
      <c r="AP506" s="42" t="str">
        <f t="shared" si="441"/>
        <v>-0.127942194552576-0.314676011656186i</v>
      </c>
      <c r="AQ506">
        <f t="shared" si="442"/>
        <v>-9.3783108347131883</v>
      </c>
      <c r="AR506" s="44">
        <f t="shared" si="443"/>
        <v>-112.12586653257111</v>
      </c>
      <c r="AS506" t="str">
        <f t="shared" si="419"/>
        <v>-0.000166666666666667</v>
      </c>
      <c r="AT506" t="str">
        <f t="shared" si="420"/>
        <v>0.0601504974390947i</v>
      </c>
      <c r="AU506">
        <f t="shared" si="444"/>
        <v>6.0150497439094702E-2</v>
      </c>
      <c r="AV506">
        <f t="shared" si="445"/>
        <v>1.5707963267948966</v>
      </c>
      <c r="AW506" t="str">
        <f t="shared" si="421"/>
        <v>1+10.9586752199033i</v>
      </c>
      <c r="AX506">
        <f t="shared" si="446"/>
        <v>11.004206585452796</v>
      </c>
      <c r="AY506">
        <f t="shared" si="447"/>
        <v>1.4797964450803149</v>
      </c>
      <c r="AZ506" t="str">
        <f t="shared" si="422"/>
        <v>1+223.06206657287i</v>
      </c>
      <c r="BA506">
        <f t="shared" si="448"/>
        <v>223.06430809019963</v>
      </c>
      <c r="BB506">
        <f t="shared" si="449"/>
        <v>1.5663132996438554</v>
      </c>
      <c r="BC506" s="42" t="str">
        <f t="shared" si="450"/>
        <v>-0.00485332829086369+0.0559568762116128i</v>
      </c>
      <c r="BD506">
        <f t="shared" si="451"/>
        <v>-25.010382460424594</v>
      </c>
      <c r="BE506" s="44">
        <f t="shared" si="452"/>
        <v>94.957050623238018</v>
      </c>
      <c r="BF506" s="42" t="str">
        <f t="shared" si="453"/>
        <v>-0.00377578611702123-0.00722831464770995i</v>
      </c>
      <c r="BG506" s="20">
        <f t="shared" si="454"/>
        <v>-41.771450919666925</v>
      </c>
      <c r="BH506" s="44">
        <f t="shared" si="455"/>
        <v>-117.58078906128991</v>
      </c>
      <c r="BI506" s="42" t="str">
        <f t="shared" si="460"/>
        <v>0.0182292321034264-0.00563201955299346i</v>
      </c>
      <c r="BJ506" s="20">
        <f t="shared" si="456"/>
        <v>-34.388693295137799</v>
      </c>
      <c r="BK506" s="44">
        <f t="shared" si="461"/>
        <v>-17.168815909333116</v>
      </c>
      <c r="BL506">
        <f t="shared" si="457"/>
        <v>-41.771450919666925</v>
      </c>
      <c r="BM506" s="44">
        <f t="shared" si="458"/>
        <v>-117.58078906128991</v>
      </c>
    </row>
    <row r="507" spans="14:65" x14ac:dyDescent="0.35">
      <c r="N507" s="9">
        <v>89</v>
      </c>
      <c r="O507" s="35">
        <f t="shared" si="459"/>
        <v>776247.11662869214</v>
      </c>
      <c r="P507" s="34" t="str">
        <f t="shared" si="411"/>
        <v>16.3709677419355</v>
      </c>
      <c r="Q507" s="4" t="str">
        <f t="shared" si="412"/>
        <v>1+717.435755465005i</v>
      </c>
      <c r="R507" s="4">
        <f t="shared" si="423"/>
        <v>717.4364523911803</v>
      </c>
      <c r="S507" s="4">
        <f t="shared" si="424"/>
        <v>1.5694024746697766</v>
      </c>
      <c r="T507" s="4" t="str">
        <f t="shared" si="413"/>
        <v>1+0.780368716470707i</v>
      </c>
      <c r="U507" s="4">
        <f t="shared" si="425"/>
        <v>1.2684539146717704</v>
      </c>
      <c r="V507" s="4">
        <f t="shared" si="426"/>
        <v>0.66265549710699656</v>
      </c>
      <c r="W507" t="str">
        <f t="shared" si="414"/>
        <v>1-10.2124783558539i</v>
      </c>
      <c r="X507" s="4">
        <f t="shared" si="427"/>
        <v>10.261321268179081</v>
      </c>
      <c r="Y507" s="4">
        <f t="shared" si="428"/>
        <v>-1.4731880718905035</v>
      </c>
      <c r="Z507" t="str">
        <f t="shared" si="415"/>
        <v>0.478585539362372+2.01123589945922i</v>
      </c>
      <c r="AA507" s="4">
        <f t="shared" si="429"/>
        <v>2.0673930351436107</v>
      </c>
      <c r="AB507" s="4">
        <f t="shared" si="430"/>
        <v>1.3371849702165266</v>
      </c>
      <c r="AC507" s="48" t="str">
        <f t="shared" si="431"/>
        <v>-0.120519917439266+0.0781926705395289i</v>
      </c>
      <c r="AD507" s="20">
        <f t="shared" si="432"/>
        <v>-16.853083141075189</v>
      </c>
      <c r="AE507" s="44">
        <f t="shared" si="433"/>
        <v>147.02471092933422</v>
      </c>
      <c r="AF507" t="str">
        <f t="shared" si="434"/>
        <v>45.9520231294187</v>
      </c>
      <c r="AG507" t="str">
        <f t="shared" si="416"/>
        <v>1+344.280316090017i</v>
      </c>
      <c r="AH507">
        <f t="shared" si="435"/>
        <v>344.28176839188279</v>
      </c>
      <c r="AI507">
        <f t="shared" si="436"/>
        <v>1.5678917251054409</v>
      </c>
      <c r="AJ507" t="str">
        <f t="shared" si="417"/>
        <v>1+0.780368716470707i</v>
      </c>
      <c r="AK507">
        <f t="shared" si="437"/>
        <v>1.2684539146717704</v>
      </c>
      <c r="AL507">
        <f t="shared" si="438"/>
        <v>0.66265549710699656</v>
      </c>
      <c r="AM507" t="str">
        <f t="shared" si="418"/>
        <v>1-1.74594067430192i</v>
      </c>
      <c r="AN507">
        <f t="shared" si="439"/>
        <v>2.0120409633458864</v>
      </c>
      <c r="AO507">
        <f t="shared" si="440"/>
        <v>-1.0506492439223392</v>
      </c>
      <c r="AP507" s="42" t="str">
        <f t="shared" si="441"/>
        <v>-0.127960516353232-0.315697922245645i</v>
      </c>
      <c r="AQ507">
        <f t="shared" si="442"/>
        <v>-9.3539575358190401</v>
      </c>
      <c r="AR507" s="44">
        <f t="shared" si="443"/>
        <v>-112.06398275201414</v>
      </c>
      <c r="AS507" t="str">
        <f t="shared" si="419"/>
        <v>-0.000166666666666667</v>
      </c>
      <c r="AT507" t="str">
        <f t="shared" si="420"/>
        <v>0.061551582511627i</v>
      </c>
      <c r="AU507">
        <f t="shared" si="444"/>
        <v>6.1551582511626998E-2</v>
      </c>
      <c r="AV507">
        <f t="shared" si="445"/>
        <v>1.5707963267948966</v>
      </c>
      <c r="AW507" t="str">
        <f t="shared" si="421"/>
        <v>1+11.2139355572078i</v>
      </c>
      <c r="AX507">
        <f t="shared" si="446"/>
        <v>11.25843464613129</v>
      </c>
      <c r="AY507">
        <f t="shared" si="447"/>
        <v>1.481856823061303</v>
      </c>
      <c r="AZ507" t="str">
        <f t="shared" si="422"/>
        <v>1+228.257849567682i</v>
      </c>
      <c r="BA507">
        <f t="shared" si="448"/>
        <v>228.26004006234325</v>
      </c>
      <c r="BB507">
        <f t="shared" si="449"/>
        <v>1.5664153444794271</v>
      </c>
      <c r="BC507" s="42" t="str">
        <f t="shared" si="450"/>
        <v>-0.00463661586236068+0.0547024674809746i</v>
      </c>
      <c r="BD507">
        <f t="shared" si="451"/>
        <v>-25.208771912649052</v>
      </c>
      <c r="BE507" s="44">
        <f t="shared" si="452"/>
        <v>94.844846399125089</v>
      </c>
      <c r="BF507" s="42" t="str">
        <f t="shared" si="453"/>
        <v>-0.00371852745650984-0.00695528624107511i</v>
      </c>
      <c r="BG507" s="20">
        <f t="shared" si="454"/>
        <v>-42.061855053724244</v>
      </c>
      <c r="BH507" s="44">
        <f t="shared" si="455"/>
        <v>-118.13044267154068</v>
      </c>
      <c r="BI507" s="42" t="str">
        <f t="shared" si="460"/>
        <v>0.0178627590853329-0.00553598599066293i</v>
      </c>
      <c r="BJ507" s="20">
        <f t="shared" si="456"/>
        <v>-34.562729448468097</v>
      </c>
      <c r="BK507" s="44">
        <f t="shared" si="461"/>
        <v>-17.219136352889073</v>
      </c>
      <c r="BL507">
        <f t="shared" si="457"/>
        <v>-42.061855053724244</v>
      </c>
      <c r="BM507" s="44">
        <f t="shared" si="458"/>
        <v>-118.13044267154068</v>
      </c>
    </row>
    <row r="508" spans="14:65" x14ac:dyDescent="0.35">
      <c r="N508" s="9">
        <v>90</v>
      </c>
      <c r="O508" s="35">
        <f t="shared" si="459"/>
        <v>794328.23472428333</v>
      </c>
      <c r="P508" s="34" t="str">
        <f t="shared" si="411"/>
        <v>16.3709677419355</v>
      </c>
      <c r="Q508" s="4" t="str">
        <f t="shared" si="412"/>
        <v>1+734.14698097899i</v>
      </c>
      <c r="R508" s="4">
        <f t="shared" si="423"/>
        <v>734.14766204120383</v>
      </c>
      <c r="S508" s="4">
        <f t="shared" si="424"/>
        <v>1.569434202578019</v>
      </c>
      <c r="T508" s="4" t="str">
        <f t="shared" si="413"/>
        <v>1+0.798545838959603i</v>
      </c>
      <c r="U508" s="4">
        <f t="shared" si="425"/>
        <v>1.2797169440621219</v>
      </c>
      <c r="V508" s="4">
        <f t="shared" si="426"/>
        <v>0.67385362948254046</v>
      </c>
      <c r="W508" t="str">
        <f t="shared" si="414"/>
        <v>1-10.4503575353642i</v>
      </c>
      <c r="X508" s="4">
        <f t="shared" si="427"/>
        <v>10.498093761104599</v>
      </c>
      <c r="Y508" s="4">
        <f t="shared" si="428"/>
        <v>-1.4753962955188042</v>
      </c>
      <c r="Z508" t="str">
        <f t="shared" si="415"/>
        <v>0.454012032899777+2.05808360174011i</v>
      </c>
      <c r="AA508" s="4">
        <f t="shared" si="429"/>
        <v>2.1075661407816675</v>
      </c>
      <c r="AB508" s="4">
        <f t="shared" si="430"/>
        <v>1.3536743537572005</v>
      </c>
      <c r="AC508" s="48" t="str">
        <f t="shared" si="431"/>
        <v>-0.118660851517933+0.0782626087159209i</v>
      </c>
      <c r="AD508" s="20">
        <f t="shared" si="432"/>
        <v>-16.945318252181249</v>
      </c>
      <c r="AE508" s="44">
        <f t="shared" si="433"/>
        <v>146.59320479987102</v>
      </c>
      <c r="AF508" t="str">
        <f t="shared" si="434"/>
        <v>45.9520231294187</v>
      </c>
      <c r="AG508" t="str">
        <f t="shared" si="416"/>
        <v>1+352.299634835118i</v>
      </c>
      <c r="AH508">
        <f t="shared" si="435"/>
        <v>352.30105407869206</v>
      </c>
      <c r="AI508">
        <f t="shared" si="436"/>
        <v>1.5679578415526385</v>
      </c>
      <c r="AJ508" t="str">
        <f t="shared" si="417"/>
        <v>1+0.798545838959603i</v>
      </c>
      <c r="AK508">
        <f t="shared" si="437"/>
        <v>1.2797169440621219</v>
      </c>
      <c r="AL508">
        <f t="shared" si="438"/>
        <v>0.67385362948254046</v>
      </c>
      <c r="AM508" t="str">
        <f t="shared" si="418"/>
        <v>1-1.78660885695109i</v>
      </c>
      <c r="AN508">
        <f t="shared" si="439"/>
        <v>2.0474303914263068</v>
      </c>
      <c r="AO508">
        <f t="shared" si="440"/>
        <v>-1.0605214873609454</v>
      </c>
      <c r="AP508" s="42" t="str">
        <f t="shared" si="441"/>
        <v>-0.127978013550621-0.316887215260619i</v>
      </c>
      <c r="AQ508">
        <f t="shared" si="442"/>
        <v>-9.3257247995357648</v>
      </c>
      <c r="AR508" s="44">
        <f t="shared" si="443"/>
        <v>-111.99180310520545</v>
      </c>
      <c r="AS508" t="str">
        <f t="shared" si="419"/>
        <v>-0.000166666666666667</v>
      </c>
      <c r="AT508" t="str">
        <f t="shared" si="420"/>
        <v>0.0629853030479386i</v>
      </c>
      <c r="AU508">
        <f t="shared" si="444"/>
        <v>6.2985303047938604E-2</v>
      </c>
      <c r="AV508">
        <f t="shared" si="445"/>
        <v>1.5707963267948966</v>
      </c>
      <c r="AW508" t="str">
        <f t="shared" si="421"/>
        <v>1+11.4751416715788i</v>
      </c>
      <c r="AX508">
        <f t="shared" si="446"/>
        <v>11.518631706188209</v>
      </c>
      <c r="AY508">
        <f t="shared" si="447"/>
        <v>1.4838710329733635</v>
      </c>
      <c r="AZ508" t="str">
        <f t="shared" si="422"/>
        <v>1+233.574657895684i</v>
      </c>
      <c r="BA508">
        <f t="shared" si="448"/>
        <v>233.57679852906153</v>
      </c>
      <c r="BB508">
        <f t="shared" si="449"/>
        <v>1.5665150665791181</v>
      </c>
      <c r="BC508" s="42" t="str">
        <f t="shared" si="450"/>
        <v>-0.00442950660860561+0.0534753358144146i</v>
      </c>
      <c r="BD508">
        <f t="shared" si="451"/>
        <v>-25.407233290999585</v>
      </c>
      <c r="BE508" s="44">
        <f t="shared" si="452"/>
        <v>94.735154327547079</v>
      </c>
      <c r="BF508" s="42" t="str">
        <f t="shared" si="453"/>
        <v>-0.00365951025681455-0.00669209362545974i</v>
      </c>
      <c r="BG508" s="20">
        <f t="shared" si="454"/>
        <v>-42.35255154318083</v>
      </c>
      <c r="BH508" s="44">
        <f t="shared" si="455"/>
        <v>-118.67164087258189</v>
      </c>
      <c r="BI508" s="42" t="str">
        <f t="shared" si="460"/>
        <v>0.017512529708135-0.00544001323730162i</v>
      </c>
      <c r="BJ508" s="20">
        <f t="shared" si="456"/>
        <v>-34.732958090535341</v>
      </c>
      <c r="BK508" s="44">
        <f t="shared" si="461"/>
        <v>-17.256648777658338</v>
      </c>
      <c r="BL508">
        <f t="shared" si="457"/>
        <v>-42.35255154318083</v>
      </c>
      <c r="BM508" s="44">
        <f t="shared" si="458"/>
        <v>-118.67164087258189</v>
      </c>
    </row>
    <row r="509" spans="14:65" x14ac:dyDescent="0.35">
      <c r="N509" s="9">
        <v>91</v>
      </c>
      <c r="O509" s="35">
        <f t="shared" si="459"/>
        <v>812830.51616410096</v>
      </c>
      <c r="P509" s="34" t="str">
        <f t="shared" si="411"/>
        <v>16.3709677419355</v>
      </c>
      <c r="Q509" s="4" t="str">
        <f t="shared" si="412"/>
        <v>1+751.247460939872i</v>
      </c>
      <c r="R509" s="4">
        <f t="shared" si="423"/>
        <v>751.24812649923103</v>
      </c>
      <c r="S509" s="4">
        <f t="shared" si="424"/>
        <v>1.5694652082735463</v>
      </c>
      <c r="T509" s="4" t="str">
        <f t="shared" si="413"/>
        <v>1+0.817146361022317i</v>
      </c>
      <c r="U509" s="4">
        <f t="shared" si="425"/>
        <v>1.2914055038337164</v>
      </c>
      <c r="V509" s="4">
        <f t="shared" si="426"/>
        <v>0.68510894697368285</v>
      </c>
      <c r="W509" t="str">
        <f t="shared" si="414"/>
        <v>1-10.6937776327665i</v>
      </c>
      <c r="X509" s="4">
        <f t="shared" si="427"/>
        <v>10.74043202385533</v>
      </c>
      <c r="Y509" s="4">
        <f t="shared" si="428"/>
        <v>-1.4775551559736664</v>
      </c>
      <c r="Z509" t="str">
        <f t="shared" si="415"/>
        <v>0.428280412757081+2.10602252718859i</v>
      </c>
      <c r="AA509" s="4">
        <f t="shared" si="429"/>
        <v>2.1491288925928083</v>
      </c>
      <c r="AB509" s="4">
        <f t="shared" si="430"/>
        <v>1.3701722448875377</v>
      </c>
      <c r="AC509" s="48" t="str">
        <f t="shared" si="431"/>
        <v>-0.116826143053647+0.0783047095536319i</v>
      </c>
      <c r="AD509" s="20">
        <f t="shared" si="432"/>
        <v>-17.037742563961732</v>
      </c>
      <c r="AE509" s="44">
        <f t="shared" si="433"/>
        <v>146.16735736844277</v>
      </c>
      <c r="AF509" t="str">
        <f t="shared" si="434"/>
        <v>45.9520231294187</v>
      </c>
      <c r="AG509" t="str">
        <f t="shared" si="416"/>
        <v>1+360.505747509845i</v>
      </c>
      <c r="AH509">
        <f t="shared" si="435"/>
        <v>360.50713444761686</v>
      </c>
      <c r="AI509">
        <f t="shared" si="436"/>
        <v>1.5680224530297371</v>
      </c>
      <c r="AJ509" t="str">
        <f t="shared" si="417"/>
        <v>1+0.817146361022317i</v>
      </c>
      <c r="AK509">
        <f t="shared" si="437"/>
        <v>1.2914055038337164</v>
      </c>
      <c r="AL509">
        <f t="shared" si="438"/>
        <v>0.68510894697368285</v>
      </c>
      <c r="AM509" t="str">
        <f t="shared" si="418"/>
        <v>1-1.82822432326478i</v>
      </c>
      <c r="AN509">
        <f t="shared" si="439"/>
        <v>2.0838436064582586</v>
      </c>
      <c r="AO509">
        <f t="shared" si="440"/>
        <v>-1.0702755914261148</v>
      </c>
      <c r="AP509" s="42" t="str">
        <f t="shared" si="441"/>
        <v>-0.127994723256808-0.318244521599827i</v>
      </c>
      <c r="AQ509">
        <f t="shared" si="442"/>
        <v>-9.2936294440603646</v>
      </c>
      <c r="AR509" s="44">
        <f t="shared" si="443"/>
        <v>-111.90949187669455</v>
      </c>
      <c r="AS509" t="str">
        <f t="shared" si="419"/>
        <v>-0.000166666666666667</v>
      </c>
      <c r="AT509" t="str">
        <f t="shared" si="420"/>
        <v>0.0644524192256352i</v>
      </c>
      <c r="AU509">
        <f t="shared" si="444"/>
        <v>6.4452419225635202E-2</v>
      </c>
      <c r="AV509">
        <f t="shared" si="445"/>
        <v>1.5707963267948966</v>
      </c>
      <c r="AW509" t="str">
        <f t="shared" si="421"/>
        <v>1+11.7424320579554i</v>
      </c>
      <c r="AX509">
        <f t="shared" si="446"/>
        <v>11.784935750172703</v>
      </c>
      <c r="AY509">
        <f t="shared" si="447"/>
        <v>1.4858400773671545</v>
      </c>
      <c r="AZ509" t="str">
        <f t="shared" si="422"/>
        <v>1+239.015310599027i</v>
      </c>
      <c r="BA509">
        <f t="shared" si="448"/>
        <v>239.01740250607139</v>
      </c>
      <c r="BB509">
        <f t="shared" si="449"/>
        <v>1.5666125188089679</v>
      </c>
      <c r="BC509" s="42" t="str">
        <f t="shared" si="450"/>
        <v>-0.00423158141072538+0.0522749441149774i</v>
      </c>
      <c r="BD509">
        <f t="shared" si="451"/>
        <v>-25.605763407218419</v>
      </c>
      <c r="BE509" s="44">
        <f t="shared" si="452"/>
        <v>94.627919995583497</v>
      </c>
      <c r="BF509" s="42" t="str">
        <f t="shared" si="453"/>
        <v>-0.00359901498062309-0.00643843285261715i</v>
      </c>
      <c r="BG509" s="20">
        <f t="shared" si="454"/>
        <v>-42.643505971180147</v>
      </c>
      <c r="BH509" s="44">
        <f t="shared" si="455"/>
        <v>-119.20472263597378</v>
      </c>
      <c r="BI509" s="42" t="str">
        <f t="shared" si="460"/>
        <v>0.0171778346731331-0.00534423940359462i</v>
      </c>
      <c r="BJ509" s="20">
        <f t="shared" si="456"/>
        <v>-34.89939285127879</v>
      </c>
      <c r="BK509" s="44">
        <f t="shared" si="461"/>
        <v>-17.281571881111098</v>
      </c>
      <c r="BL509">
        <f t="shared" si="457"/>
        <v>-42.643505971180147</v>
      </c>
      <c r="BM509" s="44">
        <f t="shared" si="458"/>
        <v>-119.20472263597378</v>
      </c>
    </row>
    <row r="510" spans="14:65" x14ac:dyDescent="0.35">
      <c r="N510" s="9">
        <v>92</v>
      </c>
      <c r="O510" s="35">
        <f t="shared" si="459"/>
        <v>831763.77110267128</v>
      </c>
      <c r="P510" s="34" t="str">
        <f t="shared" si="411"/>
        <v>16.3709677419355</v>
      </c>
      <c r="Q510" s="4" t="str">
        <f t="shared" si="412"/>
        <v>1+768.746262248479i</v>
      </c>
      <c r="R510" s="4">
        <f t="shared" si="423"/>
        <v>768.74691265787021</v>
      </c>
      <c r="S510" s="4">
        <f t="shared" si="424"/>
        <v>1.5694955081957505</v>
      </c>
      <c r="T510" s="4" t="str">
        <f t="shared" si="413"/>
        <v>1+0.836180144901854i</v>
      </c>
      <c r="U510" s="4">
        <f t="shared" si="425"/>
        <v>1.303532598260621</v>
      </c>
      <c r="V510" s="4">
        <f t="shared" si="426"/>
        <v>0.69641601118763785</v>
      </c>
      <c r="W510" t="str">
        <f t="shared" si="414"/>
        <v>1-10.9428677126186i</v>
      </c>
      <c r="X510" s="4">
        <f t="shared" si="427"/>
        <v>10.988464577722887</v>
      </c>
      <c r="Y510" s="4">
        <f t="shared" si="428"/>
        <v>-1.4796657173730783</v>
      </c>
      <c r="Z510" t="str">
        <f t="shared" si="415"/>
        <v>0.401336098718064+2.15507809365748i</v>
      </c>
      <c r="AA510" s="4">
        <f t="shared" si="429"/>
        <v>2.1921296161259702</v>
      </c>
      <c r="AB510" s="4">
        <f t="shared" si="430"/>
        <v>1.3866773627198101</v>
      </c>
      <c r="AC510" s="48" t="str">
        <f t="shared" si="431"/>
        <v>-0.115015798849714+0.0783206707237195i</v>
      </c>
      <c r="AD510" s="20">
        <f t="shared" si="432"/>
        <v>-17.130327050878378</v>
      </c>
      <c r="AE510" s="44">
        <f t="shared" si="433"/>
        <v>145.74686851617886</v>
      </c>
      <c r="AF510" t="str">
        <f t="shared" si="434"/>
        <v>45.9520231294187</v>
      </c>
      <c r="AG510" t="str">
        <f t="shared" si="416"/>
        <v>1+368.903005103758i</v>
      </c>
      <c r="AH510">
        <f t="shared" si="435"/>
        <v>368.90436047108915</v>
      </c>
      <c r="AI510">
        <f t="shared" si="436"/>
        <v>1.5680855937924378</v>
      </c>
      <c r="AJ510" t="str">
        <f t="shared" si="417"/>
        <v>1+0.836180144901854i</v>
      </c>
      <c r="AK510">
        <f t="shared" si="437"/>
        <v>1.303532598260621</v>
      </c>
      <c r="AL510">
        <f t="shared" si="438"/>
        <v>0.69641601118763785</v>
      </c>
      <c r="AM510" t="str">
        <f t="shared" si="418"/>
        <v>1-1.87080913831407i</v>
      </c>
      <c r="AN510">
        <f t="shared" si="439"/>
        <v>2.1213030976264173</v>
      </c>
      <c r="AO510">
        <f t="shared" si="440"/>
        <v>-1.0799093028985005</v>
      </c>
      <c r="AP510" s="42" t="str">
        <f t="shared" si="441"/>
        <v>-0.128010680913645-0.319770561223522i</v>
      </c>
      <c r="AQ510">
        <f t="shared" si="442"/>
        <v>-9.2576905872573043</v>
      </c>
      <c r="AR510" s="44">
        <f t="shared" si="443"/>
        <v>-111.81723352618407</v>
      </c>
      <c r="AS510" t="str">
        <f t="shared" si="419"/>
        <v>-0.000166666666666667</v>
      </c>
      <c r="AT510" t="str">
        <f t="shared" si="420"/>
        <v>0.0659537089291338i</v>
      </c>
      <c r="AU510">
        <f t="shared" si="444"/>
        <v>6.5953708929133797E-2</v>
      </c>
      <c r="AV510">
        <f t="shared" si="445"/>
        <v>1.5707963267948966</v>
      </c>
      <c r="AW510" t="str">
        <f t="shared" si="421"/>
        <v>1+12.0159484372386i</v>
      </c>
      <c r="AX510">
        <f t="shared" si="446"/>
        <v>12.057487999014421</v>
      </c>
      <c r="AY510">
        <f t="shared" si="447"/>
        <v>1.4877649391481556</v>
      </c>
      <c r="AZ510" t="str">
        <f t="shared" si="422"/>
        <v>1+244.582692383792i</v>
      </c>
      <c r="BA510">
        <f t="shared" si="448"/>
        <v>244.58473667362119</v>
      </c>
      <c r="BB510">
        <f t="shared" si="449"/>
        <v>1.5667077528320303</v>
      </c>
      <c r="BC510" s="42" t="str">
        <f t="shared" si="450"/>
        <v>-0.00404243887978339+0.0511007620698138i</v>
      </c>
      <c r="BD510">
        <f t="shared" si="451"/>
        <v>-25.804359212282634</v>
      </c>
      <c r="BE510" s="44">
        <f t="shared" si="452"/>
        <v>94.523090046973621</v>
      </c>
      <c r="BF510" s="42" t="str">
        <f t="shared" si="453"/>
        <v>-0.00353730162274159-0.00619400149571307i</v>
      </c>
      <c r="BG510" s="20">
        <f t="shared" si="454"/>
        <v>-42.934686263161019</v>
      </c>
      <c r="BH510" s="44">
        <f t="shared" si="455"/>
        <v>-119.73004143684753</v>
      </c>
      <c r="BI510" s="42" t="str">
        <f t="shared" si="460"/>
        <v>0.0168579947195669-0.00524879039846291i</v>
      </c>
      <c r="BJ510" s="20">
        <f t="shared" si="456"/>
        <v>-35.062049799539928</v>
      </c>
      <c r="BK510" s="44">
        <f t="shared" si="461"/>
        <v>-17.294143479210451</v>
      </c>
      <c r="BL510">
        <f t="shared" si="457"/>
        <v>-42.934686263161019</v>
      </c>
      <c r="BM510" s="44">
        <f t="shared" si="458"/>
        <v>-119.73004143684753</v>
      </c>
    </row>
    <row r="511" spans="14:65" x14ac:dyDescent="0.35">
      <c r="N511" s="9">
        <v>93</v>
      </c>
      <c r="O511" s="35">
        <f t="shared" si="459"/>
        <v>851138.03820237669</v>
      </c>
      <c r="P511" s="34" t="str">
        <f t="shared" si="411"/>
        <v>16.3709677419355</v>
      </c>
      <c r="Q511" s="4" t="str">
        <f t="shared" si="412"/>
        <v>1+786.652663000891i</v>
      </c>
      <c r="R511" s="4">
        <f t="shared" si="423"/>
        <v>786.65329860516908</v>
      </c>
      <c r="S511" s="4">
        <f t="shared" si="424"/>
        <v>1.5695251184098284</v>
      </c>
      <c r="T511" s="4" t="str">
        <f t="shared" si="413"/>
        <v>1+0.855657282562373i</v>
      </c>
      <c r="U511" s="4">
        <f t="shared" si="425"/>
        <v>1.3161114638213682</v>
      </c>
      <c r="V511" s="4">
        <f t="shared" si="426"/>
        <v>0.70776925319149453</v>
      </c>
      <c r="W511" t="str">
        <f t="shared" si="414"/>
        <v>1-11.197759845778i</v>
      </c>
      <c r="X511" s="4">
        <f t="shared" si="427"/>
        <v>11.242322961190812</v>
      </c>
      <c r="Y511" s="4">
        <f t="shared" si="428"/>
        <v>-1.4817290235116483</v>
      </c>
      <c r="Z511" t="str">
        <f t="shared" si="415"/>
        <v>0.37312193828016+2.20527631105747i</v>
      </c>
      <c r="AA511" s="4">
        <f t="shared" si="429"/>
        <v>2.2366187848932118</v>
      </c>
      <c r="AB511" s="4">
        <f t="shared" si="430"/>
        <v>1.4031885686991954</v>
      </c>
      <c r="AC511" s="48" t="str">
        <f t="shared" si="431"/>
        <v>-0.113229735083848+0.0783121452048852i</v>
      </c>
      <c r="AD511" s="20">
        <f t="shared" si="432"/>
        <v>-17.223045084611577</v>
      </c>
      <c r="AE511" s="44">
        <f t="shared" si="433"/>
        <v>145.3314236756199</v>
      </c>
      <c r="AF511" t="str">
        <f t="shared" si="434"/>
        <v>45.9520231294187</v>
      </c>
      <c r="AG511" t="str">
        <f t="shared" si="416"/>
        <v>1+377.495859953987i</v>
      </c>
      <c r="AH511">
        <f t="shared" si="435"/>
        <v>377.49718446950061</v>
      </c>
      <c r="AI511">
        <f t="shared" si="436"/>
        <v>1.5681472973167938</v>
      </c>
      <c r="AJ511" t="str">
        <f t="shared" si="417"/>
        <v>1+0.855657282562373i</v>
      </c>
      <c r="AK511">
        <f t="shared" si="437"/>
        <v>1.3161114638213682</v>
      </c>
      <c r="AL511">
        <f t="shared" si="438"/>
        <v>0.70776925319149453</v>
      </c>
      <c r="AM511" t="str">
        <f t="shared" si="418"/>
        <v>1-1.91438588113158i</v>
      </c>
      <c r="AN511">
        <f t="shared" si="439"/>
        <v>2.1598317762909072</v>
      </c>
      <c r="AO511">
        <f t="shared" si="440"/>
        <v>-1.0894205761961577</v>
      </c>
      <c r="AP511" s="42" t="str">
        <f t="shared" si="441"/>
        <v>-0.12802592036793-0.321466143536659i</v>
      </c>
      <c r="AQ511">
        <f t="shared" si="442"/>
        <v>-9.2179296320635746</v>
      </c>
      <c r="AR511" s="44">
        <f t="shared" si="443"/>
        <v>-111.71523184485029</v>
      </c>
      <c r="AS511" t="str">
        <f t="shared" si="419"/>
        <v>-0.000166666666666667</v>
      </c>
      <c r="AT511" t="str">
        <f t="shared" si="420"/>
        <v>0.0674899681621072i</v>
      </c>
      <c r="AU511">
        <f t="shared" si="444"/>
        <v>6.74899681621072E-2</v>
      </c>
      <c r="AV511">
        <f t="shared" si="445"/>
        <v>1.5707963267948966</v>
      </c>
      <c r="AW511" t="str">
        <f t="shared" si="421"/>
        <v>1+12.2958358314332i</v>
      </c>
      <c r="AX511">
        <f t="shared" si="446"/>
        <v>12.336432985006507</v>
      </c>
      <c r="AY511">
        <f t="shared" si="447"/>
        <v>1.4896465818175086</v>
      </c>
      <c r="AZ511" t="str">
        <f t="shared" si="422"/>
        <v>1+250.279755149494i</v>
      </c>
      <c r="BA511">
        <f t="shared" si="448"/>
        <v>250.28175290598128</v>
      </c>
      <c r="BB511">
        <f t="shared" si="449"/>
        <v>1.5668008191357312</v>
      </c>
      <c r="BC511" s="42" t="str">
        <f t="shared" si="450"/>
        <v>-0.00386169465615336+0.0499522663427199i</v>
      </c>
      <c r="BD511">
        <f t="shared" si="451"/>
        <v>-26.003017790506348</v>
      </c>
      <c r="BE511" s="44">
        <f t="shared" si="452"/>
        <v>94.420612169884905</v>
      </c>
      <c r="BF511" s="42" t="str">
        <f t="shared" si="453"/>
        <v>-0.00347461047225323-0.0059584994774736i</v>
      </c>
      <c r="BG511" s="20">
        <f t="shared" si="454"/>
        <v>-43.226062875117925</v>
      </c>
      <c r="BH511" s="44">
        <f t="shared" si="455"/>
        <v>-120.24796415449521</v>
      </c>
      <c r="BI511" s="42" t="str">
        <f t="shared" si="460"/>
        <v>0.0165523594346442-0.00515378078436094i</v>
      </c>
      <c r="BJ511" s="20">
        <f t="shared" si="456"/>
        <v>-35.220947422569907</v>
      </c>
      <c r="BK511" s="44">
        <f t="shared" si="461"/>
        <v>-17.294619674965343</v>
      </c>
      <c r="BL511">
        <f t="shared" si="457"/>
        <v>-43.226062875117925</v>
      </c>
      <c r="BM511" s="44">
        <f t="shared" si="458"/>
        <v>-120.24796415449521</v>
      </c>
    </row>
    <row r="512" spans="14:65" x14ac:dyDescent="0.35">
      <c r="N512" s="9">
        <v>94</v>
      </c>
      <c r="O512" s="35">
        <f t="shared" si="459"/>
        <v>870963.58995608077</v>
      </c>
      <c r="P512" s="34" t="str">
        <f t="shared" si="411"/>
        <v>16.3709677419355</v>
      </c>
      <c r="Q512" s="4" t="str">
        <f t="shared" si="412"/>
        <v>1+804.976157407805i</v>
      </c>
      <c r="R512" s="4">
        <f t="shared" si="423"/>
        <v>804.97677854397466</v>
      </c>
      <c r="S512" s="4">
        <f t="shared" si="424"/>
        <v>1.5695540546152997</v>
      </c>
      <c r="T512" s="4" t="str">
        <f t="shared" si="413"/>
        <v>1+0.875588101040069i</v>
      </c>
      <c r="U512" s="4">
        <f t="shared" si="425"/>
        <v>1.3291555675250939</v>
      </c>
      <c r="V512" s="4">
        <f t="shared" si="426"/>
        <v>0.71916298633580722</v>
      </c>
      <c r="W512" t="str">
        <f t="shared" si="414"/>
        <v>1-11.4585891794274i</v>
      </c>
      <c r="X512" s="4">
        <f t="shared" si="427"/>
        <v>11.502141799808014</v>
      </c>
      <c r="Y512" s="4">
        <f t="shared" si="428"/>
        <v>-1.4837460980709398</v>
      </c>
      <c r="Z512" t="str">
        <f t="shared" si="415"/>
        <v>0.343578085426342+2.25664379514786i</v>
      </c>
      <c r="AA512" s="4">
        <f t="shared" si="429"/>
        <v>2.2826491449551694</v>
      </c>
      <c r="AB512" s="4">
        <f t="shared" si="430"/>
        <v>1.419704858148759</v>
      </c>
      <c r="AC512" s="48" t="str">
        <f t="shared" si="431"/>
        <v>-0.111467781778053+0.0782807355541943i</v>
      </c>
      <c r="AD512" s="20">
        <f t="shared" si="432"/>
        <v>-17.315872614830788</v>
      </c>
      <c r="AE512" s="44">
        <f t="shared" si="433"/>
        <v>144.92069503735163</v>
      </c>
      <c r="AF512" t="str">
        <f t="shared" si="434"/>
        <v>45.9520231294187</v>
      </c>
      <c r="AG512" t="str">
        <f t="shared" si="416"/>
        <v>1+386.288868105912i</v>
      </c>
      <c r="AH512">
        <f t="shared" si="435"/>
        <v>386.29016247187388</v>
      </c>
      <c r="AI512">
        <f t="shared" si="436"/>
        <v>1.5682075963169502</v>
      </c>
      <c r="AJ512" t="str">
        <f t="shared" si="417"/>
        <v>1+0.875588101040069i</v>
      </c>
      <c r="AK512">
        <f t="shared" si="437"/>
        <v>1.3291555675250939</v>
      </c>
      <c r="AL512">
        <f t="shared" si="438"/>
        <v>0.71916298633580722</v>
      </c>
      <c r="AM512" t="str">
        <f t="shared" si="418"/>
        <v>1-1.95897765668316i</v>
      </c>
      <c r="AN512">
        <f t="shared" si="439"/>
        <v>2.1994529909465776</v>
      </c>
      <c r="AO512">
        <f t="shared" si="440"/>
        <v>-1.0988075700354074</v>
      </c>
      <c r="AP512" s="42" t="str">
        <f t="shared" si="441"/>
        <v>-0.128040473943198-0.323332167819383i</v>
      </c>
      <c r="AQ512">
        <f t="shared" si="442"/>
        <v>-9.174370248809474</v>
      </c>
      <c r="AR512" s="44">
        <f t="shared" si="443"/>
        <v>-111.603709030305</v>
      </c>
      <c r="AS512" t="str">
        <f t="shared" si="419"/>
        <v>-0.000166666666666667</v>
      </c>
      <c r="AT512" t="str">
        <f t="shared" si="420"/>
        <v>0.0690620114695355i</v>
      </c>
      <c r="AU512">
        <f t="shared" si="444"/>
        <v>6.90620114695355E-2</v>
      </c>
      <c r="AV512">
        <f t="shared" si="445"/>
        <v>1.5707963267948966</v>
      </c>
      <c r="AW512" t="str">
        <f t="shared" si="421"/>
        <v>1+12.5822426405401i</v>
      </c>
      <c r="AX512">
        <f t="shared" si="446"/>
        <v>12.621918628537639</v>
      </c>
      <c r="AY512">
        <f t="shared" si="447"/>
        <v>1.4914859497205486</v>
      </c>
      <c r="AZ512" t="str">
        <f t="shared" si="422"/>
        <v>1+256.10951955422i</v>
      </c>
      <c r="BA512">
        <f t="shared" si="448"/>
        <v>256.11147183656851</v>
      </c>
      <c r="BB512">
        <f t="shared" si="449"/>
        <v>1.5668917670586042</v>
      </c>
      <c r="BC512" s="42" t="str">
        <f t="shared" si="450"/>
        <v>-0.00368898073216351+0.0488289407408636i</v>
      </c>
      <c r="BD512">
        <f t="shared" si="451"/>
        <v>-26.20173635387637</v>
      </c>
      <c r="BE512" s="44">
        <f t="shared" si="452"/>
        <v>94.320435084205002</v>
      </c>
      <c r="BF512" s="42" t="str">
        <f t="shared" si="453"/>
        <v>-0.00341116289829072-0.00573162983611508i</v>
      </c>
      <c r="BG512" s="20">
        <f t="shared" si="454"/>
        <v>-43.517608968707151</v>
      </c>
      <c r="BH512" s="44">
        <f t="shared" si="455"/>
        <v>-120.75886987844331</v>
      </c>
      <c r="BI512" s="42" t="str">
        <f t="shared" si="460"/>
        <v>0.0162603061033812-0.00505931457743014i</v>
      </c>
      <c r="BJ512" s="20">
        <f t="shared" si="456"/>
        <v>-35.376106602685823</v>
      </c>
      <c r="BK512" s="44">
        <f t="shared" si="461"/>
        <v>-17.28327394609995</v>
      </c>
      <c r="BL512">
        <f t="shared" si="457"/>
        <v>-43.517608968707151</v>
      </c>
      <c r="BM512" s="44">
        <f t="shared" si="458"/>
        <v>-120.75886987844331</v>
      </c>
    </row>
    <row r="513" spans="14:65" x14ac:dyDescent="0.35">
      <c r="N513" s="9">
        <v>95</v>
      </c>
      <c r="O513" s="35">
        <f t="shared" si="459"/>
        <v>891250.93813374708</v>
      </c>
      <c r="P513" s="34" t="str">
        <f t="shared" si="411"/>
        <v>16.3709677419355</v>
      </c>
      <c r="Q513" s="4" t="str">
        <f t="shared" si="412"/>
        <v>1+823.726460828497i</v>
      </c>
      <c r="R513" s="4">
        <f t="shared" si="423"/>
        <v>823.72706782589182</v>
      </c>
      <c r="S513" s="4">
        <f t="shared" si="424"/>
        <v>1.5695823321543296</v>
      </c>
      <c r="T513" s="4" t="str">
        <f t="shared" si="413"/>
        <v>1+0.895983167918717i</v>
      </c>
      <c r="U513" s="4">
        <f t="shared" si="425"/>
        <v>1.3426786053235749</v>
      </c>
      <c r="V513" s="4">
        <f t="shared" si="426"/>
        <v>0.73059141979647213</v>
      </c>
      <c r="W513" t="str">
        <f t="shared" si="414"/>
        <v>1-11.7254940087322i</v>
      </c>
      <c r="X513" s="4">
        <f t="shared" si="427"/>
        <v>11.768058877691542</v>
      </c>
      <c r="Y513" s="4">
        <f t="shared" si="428"/>
        <v>-1.4857179448410123</v>
      </c>
      <c r="Z513" t="str">
        <f t="shared" si="415"/>
        <v>0.312641873683693+2.30920778164865i</v>
      </c>
      <c r="AA513" s="4">
        <f t="shared" si="429"/>
        <v>2.3302758463338904</v>
      </c>
      <c r="AB513" s="4">
        <f t="shared" si="430"/>
        <v>1.436225350990237</v>
      </c>
      <c r="AC513" s="48" t="str">
        <f t="shared" si="431"/>
        <v>-0.109729687626359+0.0782279886318796i</v>
      </c>
      <c r="AD513" s="20">
        <f t="shared" si="432"/>
        <v>-17.408788335407422</v>
      </c>
      <c r="AE513" s="44">
        <f t="shared" si="433"/>
        <v>144.5143428443881</v>
      </c>
      <c r="AF513" t="str">
        <f t="shared" si="434"/>
        <v>45.9520231294187</v>
      </c>
      <c r="AG513" t="str">
        <f t="shared" si="416"/>
        <v>1+395.286691728845i</v>
      </c>
      <c r="AH513">
        <f t="shared" si="435"/>
        <v>395.28795663153585</v>
      </c>
      <c r="AI513">
        <f t="shared" si="436"/>
        <v>1.5682665227624799</v>
      </c>
      <c r="AJ513" t="str">
        <f t="shared" si="417"/>
        <v>1+0.895983167918717i</v>
      </c>
      <c r="AK513">
        <f t="shared" si="437"/>
        <v>1.3426786053235749</v>
      </c>
      <c r="AL513">
        <f t="shared" si="438"/>
        <v>0.73059141979647213</v>
      </c>
      <c r="AM513" t="str">
        <f t="shared" si="418"/>
        <v>1-2.00460810811846i</v>
      </c>
      <c r="AN513">
        <f t="shared" si="439"/>
        <v>2.2401905425954891</v>
      </c>
      <c r="AO513">
        <f t="shared" si="440"/>
        <v>-1.1080686435109386</v>
      </c>
      <c r="AP513" s="42" t="str">
        <f t="shared" si="441"/>
        <v>-0.128054372508262-0.325369623705075i</v>
      </c>
      <c r="AQ513">
        <f t="shared" si="442"/>
        <v>-9.1270383540915194</v>
      </c>
      <c r="AR513" s="44">
        <f t="shared" si="443"/>
        <v>-111.48290468710188</v>
      </c>
      <c r="AS513" t="str">
        <f t="shared" si="419"/>
        <v>-0.000166666666666667</v>
      </c>
      <c r="AT513" t="str">
        <f t="shared" si="420"/>
        <v>0.0706706723695888i</v>
      </c>
      <c r="AU513">
        <f t="shared" si="444"/>
        <v>7.0670672369588794E-2</v>
      </c>
      <c r="AV513">
        <f t="shared" si="445"/>
        <v>1.5707963267948966</v>
      </c>
      <c r="AW513" t="str">
        <f t="shared" si="421"/>
        <v>1+12.8753207212408i</v>
      </c>
      <c r="AX513">
        <f t="shared" si="446"/>
        <v>12.91409631661514</v>
      </c>
      <c r="AY513">
        <f t="shared" si="447"/>
        <v>1.4932839683020394</v>
      </c>
      <c r="AZ513" t="str">
        <f t="shared" si="422"/>
        <v>1+262.075076616224i</v>
      </c>
      <c r="BA513">
        <f t="shared" si="448"/>
        <v>262.07698445952803</v>
      </c>
      <c r="BB513">
        <f t="shared" si="449"/>
        <v>1.5669806448164203</v>
      </c>
      <c r="BC513" s="42" t="str">
        <f t="shared" si="450"/>
        <v>-0.00352394479765152+0.0477302763575266i</v>
      </c>
      <c r="BD513">
        <f t="shared" si="451"/>
        <v>-26.400512236614929</v>
      </c>
      <c r="BE513" s="44">
        <f t="shared" si="452"/>
        <v>94.222508528414906</v>
      </c>
      <c r="BF513" s="42" t="str">
        <f t="shared" si="453"/>
        <v>-0.00334716215443423-0.00551309942860124i</v>
      </c>
      <c r="BG513" s="20">
        <f t="shared" si="454"/>
        <v>-43.809300572022352</v>
      </c>
      <c r="BH513" s="44">
        <f t="shared" si="455"/>
        <v>-121.26314862719701</v>
      </c>
      <c r="BI513" s="42" t="str">
        <f t="shared" si="460"/>
        <v>0.0159812385976047-0.00496548599583967i</v>
      </c>
      <c r="BJ513" s="20">
        <f t="shared" si="456"/>
        <v>-35.527550590706447</v>
      </c>
      <c r="BK513" s="44">
        <f t="shared" si="461"/>
        <v>-17.260396158686948</v>
      </c>
      <c r="BL513">
        <f t="shared" si="457"/>
        <v>-43.809300572022352</v>
      </c>
      <c r="BM513" s="44">
        <f t="shared" si="458"/>
        <v>-121.26314862719701</v>
      </c>
    </row>
    <row r="514" spans="14:65" x14ac:dyDescent="0.35">
      <c r="N514" s="9">
        <v>96</v>
      </c>
      <c r="O514" s="35">
        <f t="shared" si="459"/>
        <v>912010.83935591124</v>
      </c>
      <c r="P514" s="34" t="str">
        <f t="shared" si="411"/>
        <v>16.3709677419355</v>
      </c>
      <c r="Q514" s="4" t="str">
        <f t="shared" si="412"/>
        <v>1+842.913514922028i</v>
      </c>
      <c r="R514" s="4">
        <f t="shared" si="423"/>
        <v>842.9141081024851</v>
      </c>
      <c r="S514" s="4">
        <f t="shared" si="424"/>
        <v>1.5696099660198628</v>
      </c>
      <c r="T514" s="4" t="str">
        <f t="shared" si="413"/>
        <v>1+0.916853296932733i</v>
      </c>
      <c r="U514" s="4">
        <f t="shared" si="425"/>
        <v>1.3566945006509101</v>
      </c>
      <c r="V514" s="4">
        <f t="shared" si="426"/>
        <v>0.74204867276099484</v>
      </c>
      <c r="W514" t="str">
        <f t="shared" si="414"/>
        <v>1-11.9986158501656i</v>
      </c>
      <c r="X514" s="4">
        <f t="shared" si="427"/>
        <v>12.040215210694745</v>
      </c>
      <c r="Y514" s="4">
        <f t="shared" si="428"/>
        <v>-1.4876455479519219</v>
      </c>
      <c r="Z514" t="str">
        <f t="shared" si="415"/>
        <v>0.280247683199418+2.36299614068125i</v>
      </c>
      <c r="AA514" s="4">
        <f t="shared" si="429"/>
        <v>2.3795565815531945</v>
      </c>
      <c r="AB514" s="4">
        <f t="shared" si="430"/>
        <v>1.4527492817058365</v>
      </c>
      <c r="AC514" s="48" t="str">
        <f t="shared" si="431"/>
        <v>-0.108015125134983+0.0781553907953637i</v>
      </c>
      <c r="AD514" s="20">
        <f t="shared" si="432"/>
        <v>-17.501773835009441</v>
      </c>
      <c r="AE514" s="44">
        <f t="shared" si="433"/>
        <v>144.11201676640059</v>
      </c>
      <c r="AF514" t="str">
        <f t="shared" si="434"/>
        <v>45.9520231294187</v>
      </c>
      <c r="AG514" t="str">
        <f t="shared" si="416"/>
        <v>1+404.494101587969i</v>
      </c>
      <c r="AH514">
        <f t="shared" si="435"/>
        <v>404.49533769804833</v>
      </c>
      <c r="AI514">
        <f t="shared" si="436"/>
        <v>1.5683241078953265</v>
      </c>
      <c r="AJ514" t="str">
        <f t="shared" si="417"/>
        <v>1+0.916853296932733i</v>
      </c>
      <c r="AK514">
        <f t="shared" si="437"/>
        <v>1.3566945006509101</v>
      </c>
      <c r="AL514">
        <f t="shared" si="438"/>
        <v>0.74204867276099484</v>
      </c>
      <c r="AM514" t="str">
        <f t="shared" si="418"/>
        <v>1-2.0513014293068i</v>
      </c>
      <c r="AN514">
        <f t="shared" si="439"/>
        <v>2.2820687005162927</v>
      </c>
      <c r="AO514">
        <f t="shared" si="440"/>
        <v>-1.1172023516504723</v>
      </c>
      <c r="AP514" s="42" t="str">
        <f t="shared" si="441"/>
        <v>-0.12806764554268-0.327579591706224i</v>
      </c>
      <c r="AQ514">
        <f t="shared" si="442"/>
        <v>-9.0759620858363554</v>
      </c>
      <c r="AR514" s="44">
        <f t="shared" si="443"/>
        <v>-111.35307476019535</v>
      </c>
      <c r="AS514" t="str">
        <f t="shared" si="419"/>
        <v>-0.000166666666666667</v>
      </c>
      <c r="AT514" t="str">
        <f t="shared" si="420"/>
        <v>0.0723168037955693i</v>
      </c>
      <c r="AU514">
        <f t="shared" si="444"/>
        <v>7.2316803795569304E-2</v>
      </c>
      <c r="AV514">
        <f t="shared" si="445"/>
        <v>1.5707963267948966</v>
      </c>
      <c r="AW514" t="str">
        <f t="shared" si="421"/>
        <v>1+13.1752254674129i</v>
      </c>
      <c r="AX514">
        <f t="shared" si="446"/>
        <v>13.213120983218367</v>
      </c>
      <c r="AY514">
        <f t="shared" si="447"/>
        <v>1.4950415443671736</v>
      </c>
      <c r="AZ514" t="str">
        <f t="shared" si="422"/>
        <v>1+268.179589352824i</v>
      </c>
      <c r="BA514">
        <f t="shared" si="448"/>
        <v>268.18145376861781</v>
      </c>
      <c r="BB514">
        <f t="shared" si="449"/>
        <v>1.5670674995277234</v>
      </c>
      <c r="BC514" s="42" t="str">
        <f t="shared" si="450"/>
        <v>-0.00336624960803449+0.0466557716926063i</v>
      </c>
      <c r="BD514">
        <f t="shared" si="451"/>
        <v>-26.599342889959221</v>
      </c>
      <c r="BE514" s="44">
        <f t="shared" si="452"/>
        <v>94.126783246098015</v>
      </c>
      <c r="BF514" s="42" t="str">
        <f t="shared" si="453"/>
        <v>-0.00328279419684748-0.00530261957127674i</v>
      </c>
      <c r="BG514" s="20">
        <f t="shared" si="454"/>
        <v>-44.101116724968669</v>
      </c>
      <c r="BH514" s="44">
        <f t="shared" si="455"/>
        <v>-121.76119998750141</v>
      </c>
      <c r="BI514" s="42" t="str">
        <f t="shared" si="460"/>
        <v>0.0157145863034127-0.00487238015946773i</v>
      </c>
      <c r="BJ514" s="20">
        <f t="shared" si="456"/>
        <v>-35.675304975795591</v>
      </c>
      <c r="BK514" s="44">
        <f t="shared" si="461"/>
        <v>-17.226291514097351</v>
      </c>
      <c r="BL514">
        <f t="shared" si="457"/>
        <v>-44.101116724968669</v>
      </c>
      <c r="BM514" s="44">
        <f t="shared" si="458"/>
        <v>-121.76119998750141</v>
      </c>
    </row>
    <row r="515" spans="14:65" x14ac:dyDescent="0.35">
      <c r="N515" s="9">
        <v>97</v>
      </c>
      <c r="O515" s="35">
        <f t="shared" si="459"/>
        <v>933254.30079699249</v>
      </c>
      <c r="P515" s="34" t="str">
        <f t="shared" si="411"/>
        <v>16.3709677419355</v>
      </c>
      <c r="Q515" s="4" t="str">
        <f t="shared" si="412"/>
        <v>1+862.547492918451i</v>
      </c>
      <c r="R515" s="4">
        <f t="shared" si="423"/>
        <v>862.54807259648146</v>
      </c>
      <c r="S515" s="4">
        <f t="shared" si="424"/>
        <v>1.5696369708635716</v>
      </c>
      <c r="T515" s="4" t="str">
        <f t="shared" si="413"/>
        <v>1+0.938209553700771i</v>
      </c>
      <c r="U515" s="4">
        <f t="shared" si="425"/>
        <v>1.3712174031332158</v>
      </c>
      <c r="V515" s="4">
        <f t="shared" si="426"/>
        <v>0.75352878917800326</v>
      </c>
      <c r="W515" t="str">
        <f t="shared" si="414"/>
        <v>1-12.2780995165432i</v>
      </c>
      <c r="X515" s="4">
        <f t="shared" si="427"/>
        <v>12.31875512128309</v>
      </c>
      <c r="Y515" s="4">
        <f t="shared" si="428"/>
        <v>-1.4895298721140553</v>
      </c>
      <c r="Z515" t="str">
        <f t="shared" si="415"/>
        <v>0.246326801552335+2.41803739154559i</v>
      </c>
      <c r="AA515" s="4">
        <f t="shared" si="429"/>
        <v>2.4305517316188943</v>
      </c>
      <c r="AB515" s="4">
        <f t="shared" si="430"/>
        <v>1.4692759886091711</v>
      </c>
      <c r="AC515" s="48" t="str">
        <f t="shared" si="431"/>
        <v>-0.106323696030364+0.0780643635733171i</v>
      </c>
      <c r="AD515" s="20">
        <f t="shared" si="432"/>
        <v>-17.594813731121249</v>
      </c>
      <c r="AE515" s="44">
        <f t="shared" si="433"/>
        <v>143.71335734530729</v>
      </c>
      <c r="AF515" t="str">
        <f t="shared" si="434"/>
        <v>45.9520231294187</v>
      </c>
      <c r="AG515" t="str">
        <f t="shared" si="416"/>
        <v>1+413.915979573869i</v>
      </c>
      <c r="AH515">
        <f t="shared" si="435"/>
        <v>413.91718754673082</v>
      </c>
      <c r="AI515">
        <f t="shared" si="436"/>
        <v>1.5683803822463611</v>
      </c>
      <c r="AJ515" t="str">
        <f t="shared" si="417"/>
        <v>1+0.938209553700771i</v>
      </c>
      <c r="AK515">
        <f t="shared" si="437"/>
        <v>1.3712174031332158</v>
      </c>
      <c r="AL515">
        <f t="shared" si="438"/>
        <v>0.75352878917800326</v>
      </c>
      <c r="AM515" t="str">
        <f t="shared" si="418"/>
        <v>1-2.09908237766514i</v>
      </c>
      <c r="AN515">
        <f t="shared" si="439"/>
        <v>2.3251122184153474</v>
      </c>
      <c r="AO515">
        <f t="shared" si="440"/>
        <v>-1.12620744049941</v>
      </c>
      <c r="AP515" s="42" t="str">
        <f t="shared" si="441"/>
        <v>-0.12808032119928-0.329963243788418i</v>
      </c>
      <c r="AQ515">
        <f t="shared" si="442"/>
        <v>-9.0211717742082165</v>
      </c>
      <c r="AR515" s="44">
        <f t="shared" si="443"/>
        <v>-111.21449040917544</v>
      </c>
      <c r="AS515" t="str">
        <f t="shared" si="419"/>
        <v>-0.000166666666666667</v>
      </c>
      <c r="AT515" t="str">
        <f t="shared" si="420"/>
        <v>0.0740012785481483i</v>
      </c>
      <c r="AU515">
        <f t="shared" si="444"/>
        <v>7.4001278548148294E-2</v>
      </c>
      <c r="AV515">
        <f t="shared" si="445"/>
        <v>1.5707963267948966</v>
      </c>
      <c r="AW515" t="str">
        <f t="shared" si="421"/>
        <v>1+13.4821158925226i</v>
      </c>
      <c r="AX515">
        <f t="shared" si="446"/>
        <v>13.519151191528648</v>
      </c>
      <c r="AY515">
        <f t="shared" si="447"/>
        <v>1.4967595663475091</v>
      </c>
      <c r="AZ515" t="str">
        <f t="shared" si="422"/>
        <v>1+274.426294457475i</v>
      </c>
      <c r="BA515">
        <f t="shared" si="448"/>
        <v>274.4281164342691</v>
      </c>
      <c r="BB515">
        <f t="shared" si="449"/>
        <v>1.5671523772387863</v>
      </c>
      <c r="BC515" s="42" t="str">
        <f t="shared" si="450"/>
        <v>-0.00321557237445946+0.0456049327524926i</v>
      </c>
      <c r="BD515">
        <f t="shared" si="451"/>
        <v>-26.798225877152568</v>
      </c>
      <c r="BE515" s="44">
        <f t="shared" si="452"/>
        <v>94.033210972132736</v>
      </c>
      <c r="BF515" s="42" t="str">
        <f t="shared" si="453"/>
        <v>-0.0032182285114216-0.00509990661839733i</v>
      </c>
      <c r="BG515" s="20">
        <f t="shared" si="454"/>
        <v>-44.393039608273817</v>
      </c>
      <c r="BH515" s="44">
        <f t="shared" si="455"/>
        <v>-122.25343168256002</v>
      </c>
      <c r="BI515" s="42" t="str">
        <f t="shared" si="460"/>
        <v>0.0154598030863254-0.00478007374389775i</v>
      </c>
      <c r="BJ515" s="20">
        <f t="shared" si="456"/>
        <v>-35.819397651360795</v>
      </c>
      <c r="BK515" s="44">
        <f t="shared" si="461"/>
        <v>-17.18127943704275</v>
      </c>
      <c r="BL515">
        <f t="shared" si="457"/>
        <v>-44.393039608273817</v>
      </c>
      <c r="BM515" s="44">
        <f t="shared" si="458"/>
        <v>-122.25343168256002</v>
      </c>
    </row>
    <row r="516" spans="14:65" x14ac:dyDescent="0.35">
      <c r="N516" s="9">
        <v>98</v>
      </c>
      <c r="O516" s="35">
        <f t="shared" si="459"/>
        <v>954992.58602143743</v>
      </c>
      <c r="P516" s="34" t="str">
        <f t="shared" si="411"/>
        <v>16.3709677419355</v>
      </c>
      <c r="Q516" s="4" t="str">
        <f t="shared" si="412"/>
        <v>1+882.638805012784i</v>
      </c>
      <c r="R516" s="4">
        <f t="shared" si="423"/>
        <v>882.63937149574031</v>
      </c>
      <c r="S516" s="4">
        <f t="shared" si="424"/>
        <v>1.5696633610036237</v>
      </c>
      <c r="T516" s="4" t="str">
        <f t="shared" si="413"/>
        <v>1+0.960063261592853i</v>
      </c>
      <c r="U516" s="4">
        <f t="shared" si="425"/>
        <v>1.3862616875108058</v>
      </c>
      <c r="V516" s="4">
        <f t="shared" si="426"/>
        <v>0.765025752982322</v>
      </c>
      <c r="W516" t="str">
        <f t="shared" si="414"/>
        <v>1-12.5640931938044i</v>
      </c>
      <c r="X516" s="4">
        <f t="shared" si="427"/>
        <v>12.603826315155331</v>
      </c>
      <c r="Y516" s="4">
        <f t="shared" si="428"/>
        <v>-1.4913718628662063</v>
      </c>
      <c r="Z516" t="str">
        <f t="shared" si="415"/>
        <v>0.210807278004621+2.47436071784144i</v>
      </c>
      <c r="AA516" s="4">
        <f t="shared" si="429"/>
        <v>2.4833245197630784</v>
      </c>
      <c r="AB516" s="4">
        <f t="shared" si="430"/>
        <v>1.4858049024957982</v>
      </c>
      <c r="AC516" s="48" t="str">
        <f t="shared" si="431"/>
        <v>-0.104654936891625+0.0779562598265372i</v>
      </c>
      <c r="AD516" s="20">
        <f t="shared" si="432"/>
        <v>-17.687895786656064</v>
      </c>
      <c r="AE516" s="44">
        <f t="shared" si="433"/>
        <v>143.31799750322466</v>
      </c>
      <c r="AF516" t="str">
        <f t="shared" si="434"/>
        <v>45.9520231294187</v>
      </c>
      <c r="AG516" t="str">
        <f t="shared" si="416"/>
        <v>1+423.557321290963i</v>
      </c>
      <c r="AH516">
        <f t="shared" si="435"/>
        <v>423.55850176708304</v>
      </c>
      <c r="AI516">
        <f t="shared" si="436"/>
        <v>1.568435375651563</v>
      </c>
      <c r="AJ516" t="str">
        <f t="shared" si="417"/>
        <v>1+0.960063261592853i</v>
      </c>
      <c r="AK516">
        <f t="shared" si="437"/>
        <v>1.3862616875108058</v>
      </c>
      <c r="AL516">
        <f t="shared" si="438"/>
        <v>0.765025752982322</v>
      </c>
      <c r="AM516" t="str">
        <f t="shared" si="418"/>
        <v>1-2.14797628728476i</v>
      </c>
      <c r="AN516">
        <f t="shared" si="439"/>
        <v>2.3693463509452606</v>
      </c>
      <c r="AO516">
        <f t="shared" si="440"/>
        <v>-1.1350828417903187</v>
      </c>
      <c r="AP516" s="42" t="str">
        <f t="shared" si="441"/>
        <v>-0.128092426363867-0.332521843992743i</v>
      </c>
      <c r="AQ516">
        <f t="shared" si="442"/>
        <v>-8.9626999080364804</v>
      </c>
      <c r="AR516" s="44">
        <f t="shared" si="443"/>
        <v>-111.06743683144653</v>
      </c>
      <c r="AS516" t="str">
        <f t="shared" si="419"/>
        <v>-0.000166666666666667</v>
      </c>
      <c r="AT516" t="str">
        <f t="shared" si="420"/>
        <v>0.0757249897581363i</v>
      </c>
      <c r="AU516">
        <f t="shared" si="444"/>
        <v>7.5724989758136296E-2</v>
      </c>
      <c r="AV516">
        <f t="shared" si="445"/>
        <v>1.5707963267948966</v>
      </c>
      <c r="AW516" t="str">
        <f t="shared" si="421"/>
        <v>1+13.7961547139353i</v>
      </c>
      <c r="AX516">
        <f t="shared" si="446"/>
        <v>13.832349218077137</v>
      </c>
      <c r="AY516">
        <f t="shared" si="447"/>
        <v>1.49843890457103</v>
      </c>
      <c r="AZ516" t="str">
        <f t="shared" si="422"/>
        <v>1+280.818504015909i</v>
      </c>
      <c r="BA516">
        <f t="shared" si="448"/>
        <v>280.82028451971399</v>
      </c>
      <c r="BB516">
        <f t="shared" si="449"/>
        <v>1.5672353229480005</v>
      </c>
      <c r="BC516" s="42" t="str">
        <f t="shared" si="450"/>
        <v>-0.00307160417557664+0.0445772731308596i</v>
      </c>
      <c r="BD516">
        <f t="shared" si="451"/>
        <v>-26.997158868638358</v>
      </c>
      <c r="BE516" s="44">
        <f t="shared" si="452"/>
        <v>93.941744418616665</v>
      </c>
      <c r="BF516" s="42" t="str">
        <f t="shared" si="453"/>
        <v>-0.00315361894539678-0.00490468247950637i</v>
      </c>
      <c r="BG516" s="20">
        <f t="shared" si="454"/>
        <v>-44.685054655294429</v>
      </c>
      <c r="BH516" s="44">
        <f t="shared" si="455"/>
        <v>-122.74025807815865</v>
      </c>
      <c r="BI516" s="42" t="str">
        <f t="shared" si="460"/>
        <v>0.0152163662933206-0.00468863559153807i</v>
      </c>
      <c r="BJ516" s="20">
        <f t="shared" si="456"/>
        <v>-35.959858776674835</v>
      </c>
      <c r="BK516" s="44">
        <f t="shared" si="461"/>
        <v>-17.12569241282986</v>
      </c>
      <c r="BL516">
        <f t="shared" si="457"/>
        <v>-44.685054655294429</v>
      </c>
      <c r="BM516" s="44">
        <f t="shared" si="458"/>
        <v>-122.74025807815865</v>
      </c>
    </row>
    <row r="517" spans="14:65" x14ac:dyDescent="0.35">
      <c r="N517" s="9">
        <v>99</v>
      </c>
      <c r="O517" s="35">
        <f t="shared" si="459"/>
        <v>977237.22095581202</v>
      </c>
      <c r="P517" s="34" t="str">
        <f t="shared" si="411"/>
        <v>16.3709677419355</v>
      </c>
      <c r="Q517" s="4" t="str">
        <f t="shared" si="412"/>
        <v>1+903.198103884641i</v>
      </c>
      <c r="R517" s="4">
        <f t="shared" si="423"/>
        <v>903.19865747287884</v>
      </c>
      <c r="S517" s="4">
        <f t="shared" si="424"/>
        <v>1.5696891504322739</v>
      </c>
      <c r="T517" s="4" t="str">
        <f t="shared" si="413"/>
        <v>1+0.982426007734171i</v>
      </c>
      <c r="U517" s="4">
        <f t="shared" si="425"/>
        <v>1.4018419528151171</v>
      </c>
      <c r="V517" s="4">
        <f t="shared" si="426"/>
        <v>0.77653350370241736</v>
      </c>
      <c r="W517" t="str">
        <f t="shared" si="414"/>
        <v>1-12.8567485195824i</v>
      </c>
      <c r="X517" s="4">
        <f t="shared" si="427"/>
        <v>12.895579959652229</v>
      </c>
      <c r="Y517" s="4">
        <f t="shared" si="428"/>
        <v>-1.4931724468304135</v>
      </c>
      <c r="Z517" t="str">
        <f t="shared" si="415"/>
        <v>0.17361377088464+2.53199598294192i</v>
      </c>
      <c r="AA517" s="4">
        <f t="shared" si="429"/>
        <v>2.5379411732888539</v>
      </c>
      <c r="AB517" s="4">
        <f t="shared" si="430"/>
        <v>1.5023355347458294</v>
      </c>
      <c r="AC517" s="48" t="str">
        <f t="shared" si="431"/>
        <v>-0.10300832496549+0.0778323603988563i</v>
      </c>
      <c r="AD517" s="20">
        <f t="shared" si="432"/>
        <v>-17.781011008450978</v>
      </c>
      <c r="AE517" s="44">
        <f t="shared" si="433"/>
        <v>142.92556410333924</v>
      </c>
      <c r="AF517" t="str">
        <f t="shared" si="434"/>
        <v>45.9520231294187</v>
      </c>
      <c r="AG517" t="str">
        <f t="shared" si="416"/>
        <v>1+433.423238706251i</v>
      </c>
      <c r="AH517">
        <f t="shared" si="435"/>
        <v>433.42439231152628</v>
      </c>
      <c r="AI517">
        <f t="shared" si="436"/>
        <v>1.5684891172678324</v>
      </c>
      <c r="AJ517" t="str">
        <f t="shared" si="417"/>
        <v>1+0.982426007734171i</v>
      </c>
      <c r="AK517">
        <f t="shared" si="437"/>
        <v>1.4018419528151171</v>
      </c>
      <c r="AL517">
        <f t="shared" si="438"/>
        <v>0.77653350370241736</v>
      </c>
      <c r="AM517" t="str">
        <f t="shared" si="418"/>
        <v>1-2.19800908236373i</v>
      </c>
      <c r="AN517">
        <f t="shared" si="439"/>
        <v>2.4147968705780296</v>
      </c>
      <c r="AO517">
        <f t="shared" si="440"/>
        <v>-1.1438276672511805</v>
      </c>
      <c r="AP517" s="42" t="str">
        <f t="shared" si="441"/>
        <v>-0.128103986712237-0.335256749106931i</v>
      </c>
      <c r="AQ517">
        <f t="shared" si="442"/>
        <v>-8.9005810964717362</v>
      </c>
      <c r="AR517" s="44">
        <f t="shared" si="443"/>
        <v>-110.91221204277872</v>
      </c>
      <c r="AS517" t="str">
        <f t="shared" si="419"/>
        <v>-0.000166666666666667</v>
      </c>
      <c r="AT517" t="str">
        <f t="shared" si="420"/>
        <v>0.0774888513600328i</v>
      </c>
      <c r="AU517">
        <f t="shared" si="444"/>
        <v>7.7488851360032807E-2</v>
      </c>
      <c r="AV517">
        <f t="shared" si="445"/>
        <v>1.5707963267948966</v>
      </c>
      <c r="AW517" t="str">
        <f t="shared" si="421"/>
        <v>1+14.1175084391911i</v>
      </c>
      <c r="AX517">
        <f t="shared" si="446"/>
        <v>14.152881138857627</v>
      </c>
      <c r="AY517">
        <f t="shared" si="447"/>
        <v>1.5000804115356134</v>
      </c>
      <c r="AZ517" t="str">
        <f t="shared" si="422"/>
        <v>1+287.359607262245i</v>
      </c>
      <c r="BA517">
        <f t="shared" si="448"/>
        <v>287.36134723708352</v>
      </c>
      <c r="BB517">
        <f t="shared" si="449"/>
        <v>1.5673163806297106</v>
      </c>
      <c r="BC517" s="42" t="str">
        <f t="shared" si="450"/>
        <v>-0.00293404939045112+0.0435723140718064i</v>
      </c>
      <c r="BD517">
        <f t="shared" si="451"/>
        <v>-27.196139637450539</v>
      </c>
      <c r="BE517" s="44">
        <f t="shared" si="452"/>
        <v>93.852337260563786</v>
      </c>
      <c r="BF517" s="42" t="str">
        <f t="shared" si="453"/>
        <v>-0.00308910453917261-0.00471667507699266i</v>
      </c>
      <c r="BG517" s="20">
        <f t="shared" si="454"/>
        <v>-44.977150645901517</v>
      </c>
      <c r="BH517" s="44">
        <f t="shared" si="455"/>
        <v>-123.22209863609702</v>
      </c>
      <c r="BI517" s="42" t="str">
        <f t="shared" si="460"/>
        <v>0.0149837757909074-0.00459812728251429i</v>
      </c>
      <c r="BJ517" s="20">
        <f t="shared" si="456"/>
        <v>-36.096720733922268</v>
      </c>
      <c r="BK517" s="44">
        <f t="shared" si="461"/>
        <v>-17.05987478221493</v>
      </c>
      <c r="BL517">
        <f t="shared" si="457"/>
        <v>-44.977150645901517</v>
      </c>
      <c r="BM517" s="44">
        <f t="shared" si="458"/>
        <v>-123.22209863609702</v>
      </c>
    </row>
    <row r="518" spans="14:65" x14ac:dyDescent="0.35">
      <c r="N518" s="9">
        <v>100</v>
      </c>
      <c r="O518" s="35">
        <f t="shared" si="459"/>
        <v>1000000</v>
      </c>
      <c r="P518" s="34" t="str">
        <f t="shared" si="411"/>
        <v>16.3709677419355</v>
      </c>
      <c r="Q518" s="4" t="str">
        <f t="shared" si="412"/>
        <v>1+924.236290346417i</v>
      </c>
      <c r="R518" s="4">
        <f t="shared" si="423"/>
        <v>924.2368313334556</v>
      </c>
      <c r="S518" s="4">
        <f t="shared" si="424"/>
        <v>1.5697143528232811</v>
      </c>
      <c r="T518" s="4" t="str">
        <f t="shared" si="413"/>
        <v>1+1.00530964914873i</v>
      </c>
      <c r="U518" s="4">
        <f t="shared" si="425"/>
        <v>1.4179730218419329</v>
      </c>
      <c r="V518" s="4">
        <f t="shared" si="426"/>
        <v>0.78804595235248887</v>
      </c>
      <c r="W518" t="str">
        <f t="shared" si="414"/>
        <v>1-13.1562206636046i</v>
      </c>
      <c r="X518" s="4">
        <f t="shared" si="427"/>
        <v>13.194170763994856</v>
      </c>
      <c r="Y518" s="4">
        <f t="shared" si="428"/>
        <v>-1.4949325319726321</v>
      </c>
      <c r="Z518" t="str">
        <f t="shared" si="415"/>
        <v>0.134667387777176+2.59097374582748i</v>
      </c>
      <c r="AA518" s="4">
        <f t="shared" si="429"/>
        <v>2.5944710938644149</v>
      </c>
      <c r="AB518" s="4">
        <f t="shared" si="430"/>
        <v>1.5188674649526737</v>
      </c>
      <c r="AC518" s="48" t="str">
        <f t="shared" si="431"/>
        <v>-0.101383284123421+0.077693871258071i</v>
      </c>
      <c r="AD518" s="20">
        <f t="shared" si="432"/>
        <v>-17.874153727063121</v>
      </c>
      <c r="AE518" s="44">
        <f t="shared" si="433"/>
        <v>142.5356795539212</v>
      </c>
      <c r="AF518" t="str">
        <f t="shared" si="434"/>
        <v>45.9520231294187</v>
      </c>
      <c r="AG518" t="str">
        <f t="shared" si="416"/>
        <v>1+443.518962859735i</v>
      </c>
      <c r="AH518">
        <f t="shared" si="435"/>
        <v>443.52009020581579</v>
      </c>
      <c r="AI518">
        <f t="shared" si="436"/>
        <v>1.568541635588443</v>
      </c>
      <c r="AJ518" t="str">
        <f t="shared" si="417"/>
        <v>1+1.00530964914873i</v>
      </c>
      <c r="AK518">
        <f t="shared" si="437"/>
        <v>1.4179730218419329</v>
      </c>
      <c r="AL518">
        <f t="shared" si="438"/>
        <v>0.78804595235248887</v>
      </c>
      <c r="AM518" t="str">
        <f t="shared" si="418"/>
        <v>1-2.24920729095225i</v>
      </c>
      <c r="AN518">
        <f t="shared" si="439"/>
        <v>2.4614900848211354</v>
      </c>
      <c r="AO518">
        <f t="shared" si="440"/>
        <v>-1.1524412026048816</v>
      </c>
      <c r="AP518" s="42" t="str">
        <f t="shared" si="441"/>
        <v>-0.128115026764637-0.338169409385623i</v>
      </c>
      <c r="AQ518">
        <f t="shared" si="442"/>
        <v>-8.8348520256198793</v>
      </c>
      <c r="AR518" s="44">
        <f t="shared" si="443"/>
        <v>-110.74912562384048</v>
      </c>
      <c r="AS518" t="str">
        <f t="shared" si="419"/>
        <v>-0.000166666666666667</v>
      </c>
      <c r="AT518" t="str">
        <f t="shared" si="420"/>
        <v>0.0792937985766064i</v>
      </c>
      <c r="AU518">
        <f t="shared" si="444"/>
        <v>7.92937985766064E-2</v>
      </c>
      <c r="AV518">
        <f t="shared" si="445"/>
        <v>1.5707963267948966</v>
      </c>
      <c r="AW518" t="str">
        <f t="shared" si="421"/>
        <v>1+14.4463474542887i</v>
      </c>
      <c r="AX518">
        <f t="shared" si="446"/>
        <v>14.480916917448067</v>
      </c>
      <c r="AY518">
        <f t="shared" si="447"/>
        <v>1.5016849221852118</v>
      </c>
      <c r="AZ518" t="str">
        <f t="shared" si="422"/>
        <v>1+294.053072376004i</v>
      </c>
      <c r="BA518">
        <f t="shared" si="448"/>
        <v>294.05477274441142</v>
      </c>
      <c r="BB518">
        <f t="shared" si="449"/>
        <v>1.5673955932575094</v>
      </c>
      <c r="BC518" s="42" t="str">
        <f t="shared" si="450"/>
        <v>-0.00280262515211299+0.0425895845167074i</v>
      </c>
      <c r="BD518">
        <f t="shared" si="451"/>
        <v>-27.395166054791872</v>
      </c>
      <c r="BE518" s="44">
        <f t="shared" si="452"/>
        <v>93.764944121415041</v>
      </c>
      <c r="BF518" s="42" t="str">
        <f t="shared" si="453"/>
        <v>-0.00302481035428768-0.0045356187455087i</v>
      </c>
      <c r="BG518" s="20">
        <f t="shared" si="454"/>
        <v>-45.269319781854989</v>
      </c>
      <c r="BH518" s="44">
        <f t="shared" si="455"/>
        <v>-123.6993763246637</v>
      </c>
      <c r="BI518" s="42" t="str">
        <f t="shared" si="460"/>
        <v>0.0147615530383682-0.0045086036678334i</v>
      </c>
      <c r="BJ518" s="20">
        <f t="shared" si="456"/>
        <v>-36.23001808041176</v>
      </c>
      <c r="BK518" s="44">
        <f t="shared" si="461"/>
        <v>-16.984181502425468</v>
      </c>
      <c r="BL518">
        <f t="shared" si="457"/>
        <v>-45.269319781854989</v>
      </c>
      <c r="BM518" s="44">
        <f t="shared" si="458"/>
        <v>-123.6993763246637</v>
      </c>
    </row>
    <row r="519" spans="14:65" x14ac:dyDescent="0.35">
      <c r="N519" s="9">
        <v>1</v>
      </c>
      <c r="O519" s="35">
        <f>10^(6+(N519/100))</f>
        <v>1023292.9922807553</v>
      </c>
      <c r="P519" s="34" t="str">
        <f t="shared" si="411"/>
        <v>16.3709677419355</v>
      </c>
      <c r="Q519" s="4" t="str">
        <f t="shared" si="412"/>
        <v>1+945.76451912305i</v>
      </c>
      <c r="R519" s="4">
        <f t="shared" si="423"/>
        <v>945.76504779572724</v>
      </c>
      <c r="S519" s="4">
        <f t="shared" si="424"/>
        <v>1.5697389815391585</v>
      </c>
      <c r="T519" s="4" t="str">
        <f t="shared" si="413"/>
        <v>1+1.02872631904612i</v>
      </c>
      <c r="U519" s="4">
        <f t="shared" si="425"/>
        <v>1.4346699409613974</v>
      </c>
      <c r="V519" s="4">
        <f t="shared" si="426"/>
        <v>0.79955699750812326</v>
      </c>
      <c r="W519" t="str">
        <f t="shared" si="414"/>
        <v>1-13.4626684099659i</v>
      </c>
      <c r="X519" s="4">
        <f t="shared" si="427"/>
        <v>13.499757061395355</v>
      </c>
      <c r="Y519" s="4">
        <f t="shared" si="428"/>
        <v>-1.4966530078683806</v>
      </c>
      <c r="Z519" t="str">
        <f t="shared" si="415"/>
        <v>0.093885518182021+2.65132527728868i</v>
      </c>
      <c r="AA519" s="4">
        <f t="shared" si="429"/>
        <v>2.6529870366276205</v>
      </c>
      <c r="AB519" s="4">
        <f t="shared" si="430"/>
        <v>1.5354003281533</v>
      </c>
      <c r="AC519" s="48" t="str">
        <f t="shared" si="431"/>
        <v>-0.0997791909225182+0.077541921124102i</v>
      </c>
      <c r="AD519" s="20">
        <f t="shared" si="432"/>
        <v>-17.967321657421603</v>
      </c>
      <c r="AE519" s="44">
        <f t="shared" si="433"/>
        <v>142.14796344540557</v>
      </c>
      <c r="AF519" t="str">
        <f t="shared" si="434"/>
        <v>45.9520231294187</v>
      </c>
      <c r="AG519" t="str">
        <f t="shared" si="416"/>
        <v>1+453.849846637995i</v>
      </c>
      <c r="AH519">
        <f t="shared" si="435"/>
        <v>453.8509483226091</v>
      </c>
      <c r="AI519">
        <f t="shared" si="436"/>
        <v>1.5685929584581442</v>
      </c>
      <c r="AJ519" t="str">
        <f t="shared" si="417"/>
        <v>1+1.02872631904612i</v>
      </c>
      <c r="AK519">
        <f t="shared" si="437"/>
        <v>1.4346699409613974</v>
      </c>
      <c r="AL519">
        <f t="shared" si="438"/>
        <v>0.79955699750812326</v>
      </c>
      <c r="AM519" t="str">
        <f t="shared" si="418"/>
        <v>1-2.30159805901822i</v>
      </c>
      <c r="AN519">
        <f t="shared" si="439"/>
        <v>2.5094528537664216</v>
      </c>
      <c r="AO519">
        <f t="shared" si="440"/>
        <v>-1.1609229013106406</v>
      </c>
      <c r="AP519" s="42" t="str">
        <f t="shared" si="441"/>
        <v>-0.128125569937767-0.341261369320149i</v>
      </c>
      <c r="AQ519">
        <f t="shared" si="442"/>
        <v>-8.7655514099526872</v>
      </c>
      <c r="AR519" s="44">
        <f t="shared" si="443"/>
        <v>-110.57849744140601</v>
      </c>
      <c r="AS519" t="str">
        <f t="shared" si="419"/>
        <v>-0.000166666666666667</v>
      </c>
      <c r="AT519" t="str">
        <f t="shared" si="420"/>
        <v>0.081140788414763i</v>
      </c>
      <c r="AU519">
        <f t="shared" si="444"/>
        <v>8.1140788414762993E-2</v>
      </c>
      <c r="AV519">
        <f t="shared" si="445"/>
        <v>1.5707963267948966</v>
      </c>
      <c r="AW519" t="str">
        <f t="shared" si="421"/>
        <v>1+14.7828461140265i</v>
      </c>
      <c r="AX519">
        <f t="shared" si="446"/>
        <v>14.816630495189802</v>
      </c>
      <c r="AY519">
        <f t="shared" si="447"/>
        <v>1.5032532541881332</v>
      </c>
      <c r="AZ519" t="str">
        <f t="shared" si="422"/>
        <v>1+300.902448320991i</v>
      </c>
      <c r="BA519">
        <f t="shared" si="448"/>
        <v>300.90410998450432</v>
      </c>
      <c r="BB519">
        <f t="shared" si="449"/>
        <v>1.5674730028270023</v>
      </c>
      <c r="BC519" s="42" t="str">
        <f t="shared" si="450"/>
        <v>-0.00267706082122807+0.0416286211360294i</v>
      </c>
      <c r="BD519">
        <f t="shared" si="451"/>
        <v>-27.594236085795501</v>
      </c>
      <c r="BE519" s="44">
        <f t="shared" si="452"/>
        <v>93.679520558398195</v>
      </c>
      <c r="BF519" s="42" t="str">
        <f t="shared" si="453"/>
        <v>-0.00296084829384261-0.00436125457521714i</v>
      </c>
      <c r="BG519" s="20">
        <f t="shared" si="454"/>
        <v>-45.561557743217108</v>
      </c>
      <c r="BH519" s="44">
        <f t="shared" si="455"/>
        <v>-124.17251599619627</v>
      </c>
      <c r="BI519" s="42" t="str">
        <f t="shared" si="460"/>
        <v>0.014549240195269-0.00442011336717153i</v>
      </c>
      <c r="BJ519" s="20">
        <f t="shared" si="456"/>
        <v>-36.359787495748193</v>
      </c>
      <c r="BK519" s="44">
        <f t="shared" si="461"/>
        <v>-16.898976883007844</v>
      </c>
      <c r="BL519">
        <f t="shared" si="457"/>
        <v>-45.561557743217108</v>
      </c>
      <c r="BM519" s="44">
        <f t="shared" si="458"/>
        <v>-124.17251599619627</v>
      </c>
    </row>
    <row r="520" spans="14:65" x14ac:dyDescent="0.35">
      <c r="N520" s="9">
        <v>2</v>
      </c>
      <c r="O520" s="35">
        <f t="shared" ref="O520:O560" si="462">10^(6+(N520/100))</f>
        <v>1047128.5480509007</v>
      </c>
      <c r="P520" s="34" t="str">
        <f t="shared" si="411"/>
        <v>16.3709677419355</v>
      </c>
      <c r="Q520" s="4" t="str">
        <f t="shared" si="412"/>
        <v>1+967.794204766393i</v>
      </c>
      <c r="R520" s="4">
        <f t="shared" si="423"/>
        <v>967.7947214050173</v>
      </c>
      <c r="S520" s="4">
        <f t="shared" si="424"/>
        <v>1.5697630496382575</v>
      </c>
      <c r="T520" s="4" t="str">
        <f t="shared" si="413"/>
        <v>1+1.05268843325467i</v>
      </c>
      <c r="U520" s="4">
        <f t="shared" si="425"/>
        <v>1.4519479803037614</v>
      </c>
      <c r="V520" s="4">
        <f t="shared" si="426"/>
        <v>0.81106054146217932</v>
      </c>
      <c r="W520" t="str">
        <f t="shared" si="414"/>
        <v>1-13.7762542413175i</v>
      </c>
      <c r="X520" s="4">
        <f t="shared" si="427"/>
        <v>13.812500893082991</v>
      </c>
      <c r="Y520" s="4">
        <f t="shared" si="428"/>
        <v>-1.4983347459725658</v>
      </c>
      <c r="Z520" t="str">
        <f t="shared" si="415"/>
        <v>0.051181658286047+2.71308257650633i</v>
      </c>
      <c r="AA520" s="4">
        <f t="shared" si="429"/>
        <v>2.7135652984748928</v>
      </c>
      <c r="AB520" s="4">
        <f t="shared" si="430"/>
        <v>1.551933801736362</v>
      </c>
      <c r="AC520" s="48" t="str">
        <f t="shared" si="431"/>
        <v>-0.09819538073372+0.07737755957916i</v>
      </c>
      <c r="AD520" s="20">
        <f t="shared" si="432"/>
        <v>-18.060515940023361</v>
      </c>
      <c r="AE520" s="44">
        <f t="shared" si="433"/>
        <v>141.76203421030033</v>
      </c>
      <c r="AF520" t="str">
        <f t="shared" si="434"/>
        <v>45.9520231294187</v>
      </c>
      <c r="AG520" t="str">
        <f t="shared" si="416"/>
        <v>1+464.421367612355i</v>
      </c>
      <c r="AH520">
        <f t="shared" si="435"/>
        <v>464.42244421962448</v>
      </c>
      <c r="AI520">
        <f t="shared" si="436"/>
        <v>1.5686431130879186</v>
      </c>
      <c r="AJ520" t="str">
        <f t="shared" si="417"/>
        <v>1+1.05268843325467i</v>
      </c>
      <c r="AK520">
        <f t="shared" si="437"/>
        <v>1.4519479803037614</v>
      </c>
      <c r="AL520">
        <f t="shared" si="438"/>
        <v>0.81106054146217932</v>
      </c>
      <c r="AM520" t="str">
        <f t="shared" si="418"/>
        <v>1-2.35520916484033i</v>
      </c>
      <c r="AN520">
        <f t="shared" si="439"/>
        <v>2.5587126079628182</v>
      </c>
      <c r="AO520">
        <f t="shared" si="440"/>
        <v>-1.1692723780959269</v>
      </c>
      <c r="AP520" s="42" t="str">
        <f t="shared" si="441"/>
        <v>-0.128135638594442-0.344534268458176i</v>
      </c>
      <c r="AQ520">
        <f t="shared" si="442"/>
        <v>-8.6927199383501694</v>
      </c>
      <c r="AR520" s="44">
        <f t="shared" si="443"/>
        <v>-110.40065635294388</v>
      </c>
      <c r="AS520" t="str">
        <f t="shared" si="419"/>
        <v>-0.000166666666666667</v>
      </c>
      <c r="AT520" t="str">
        <f t="shared" si="420"/>
        <v>0.0830308001729624i</v>
      </c>
      <c r="AU520">
        <f t="shared" si="444"/>
        <v>8.3030800172962396E-2</v>
      </c>
      <c r="AV520">
        <f t="shared" si="445"/>
        <v>1.5707963267948966</v>
      </c>
      <c r="AW520" t="str">
        <f t="shared" si="421"/>
        <v>1+15.1271828344481i</v>
      </c>
      <c r="AX520">
        <f t="shared" si="446"/>
        <v>15.160199883471893</v>
      </c>
      <c r="AY520">
        <f t="shared" si="447"/>
        <v>1.5047862082168422</v>
      </c>
      <c r="AZ520" t="str">
        <f t="shared" si="422"/>
        <v>1+307.911366726992i</v>
      </c>
      <c r="BA520">
        <f t="shared" si="448"/>
        <v>307.91299056662774</v>
      </c>
      <c r="BB520">
        <f t="shared" si="449"/>
        <v>1.5675486503780547</v>
      </c>
      <c r="BC520" s="42" t="str">
        <f t="shared" si="450"/>
        <v>-0.00255709747936382+0.0406889683473146i</v>
      </c>
      <c r="BD520">
        <f t="shared" si="451"/>
        <v>-27.79334778546108</v>
      </c>
      <c r="BE520" s="44">
        <f t="shared" si="452"/>
        <v>93.596023047771382</v>
      </c>
      <c r="BF520" s="42" t="str">
        <f t="shared" si="453"/>
        <v>-0.00289731791194952-0.00419333070108603i</v>
      </c>
      <c r="BG520" s="20">
        <f t="shared" si="454"/>
        <v>-45.853863725484452</v>
      </c>
      <c r="BH520" s="44">
        <f t="shared" si="455"/>
        <v>-124.64194274192825</v>
      </c>
      <c r="BI520" s="42" t="str">
        <f t="shared" si="460"/>
        <v>0.0143463992623264-0.00433269923350333i</v>
      </c>
      <c r="BJ520" s="20">
        <f t="shared" si="456"/>
        <v>-36.486067723811274</v>
      </c>
      <c r="BK520" s="44">
        <f t="shared" si="461"/>
        <v>-16.804633305172516</v>
      </c>
      <c r="BL520">
        <f t="shared" si="457"/>
        <v>-45.853863725484452</v>
      </c>
      <c r="BM520" s="44">
        <f t="shared" si="458"/>
        <v>-124.64194274192825</v>
      </c>
    </row>
    <row r="521" spans="14:65" x14ac:dyDescent="0.35">
      <c r="N521" s="9">
        <v>3</v>
      </c>
      <c r="O521" s="35">
        <f t="shared" si="462"/>
        <v>1071519.3052376076</v>
      </c>
      <c r="P521" s="34" t="str">
        <f t="shared" si="411"/>
        <v>16.3709677419355</v>
      </c>
      <c r="Q521" s="4" t="str">
        <f t="shared" si="412"/>
        <v>1+990.337027707375i</v>
      </c>
      <c r="R521" s="4">
        <f t="shared" si="423"/>
        <v>990.33753258587444</v>
      </c>
      <c r="S521" s="4">
        <f t="shared" si="424"/>
        <v>1.5697865698816917</v>
      </c>
      <c r="T521" s="4" t="str">
        <f t="shared" si="413"/>
        <v>1+1.07720869680451i</v>
      </c>
      <c r="U521" s="4">
        <f t="shared" si="425"/>
        <v>1.4698226343580612</v>
      </c>
      <c r="V521" s="4">
        <f t="shared" si="426"/>
        <v>0.82255050635670524</v>
      </c>
      <c r="W521" t="str">
        <f t="shared" si="414"/>
        <v>1-14.0971444250182i</v>
      </c>
      <c r="X521" s="4">
        <f t="shared" si="427"/>
        <v>14.132568094292761</v>
      </c>
      <c r="Y521" s="4">
        <f t="shared" si="428"/>
        <v>-1.4999785998927575</v>
      </c>
      <c r="Z521" t="str">
        <f t="shared" si="415"/>
        <v>0.00646522747700795+2.77627838801794i</v>
      </c>
      <c r="AA521" s="4">
        <f t="shared" si="429"/>
        <v>2.7762859159210924</v>
      </c>
      <c r="AB521" s="4">
        <f t="shared" si="430"/>
        <v>1.5684675921053499</v>
      </c>
      <c r="AC521" s="48" t="str">
        <f t="shared" si="431"/>
        <v>-0.0966311539027905+0.0772017556526647i</v>
      </c>
      <c r="AD521" s="20">
        <f t="shared" si="432"/>
        <v>-18.153741162497731</v>
      </c>
      <c r="AE521" s="44">
        <f t="shared" si="433"/>
        <v>141.37751079556821</v>
      </c>
      <c r="AF521" t="str">
        <f t="shared" si="434"/>
        <v>45.9520231294187</v>
      </c>
      <c r="AG521" t="str">
        <f t="shared" si="416"/>
        <v>1+475.239130943167i</v>
      </c>
      <c r="AH521">
        <f t="shared" si="435"/>
        <v>475.24018304391802</v>
      </c>
      <c r="AI521">
        <f t="shared" si="436"/>
        <v>1.5686921260694049</v>
      </c>
      <c r="AJ521" t="str">
        <f t="shared" si="417"/>
        <v>1+1.07720869680451i</v>
      </c>
      <c r="AK521">
        <f t="shared" si="437"/>
        <v>1.4698226343580612</v>
      </c>
      <c r="AL521">
        <f t="shared" si="438"/>
        <v>0.82255050635670524</v>
      </c>
      <c r="AM521" t="str">
        <f t="shared" si="418"/>
        <v>1-2.41006903373652i</v>
      </c>
      <c r="AN521">
        <f t="shared" si="439"/>
        <v>2.609297366605746</v>
      </c>
      <c r="AO521">
        <f t="shared" si="440"/>
        <v>-1.1774894023251088</v>
      </c>
      <c r="AP521" s="42" t="str">
        <f t="shared" si="441"/>
        <v>-0.128145254091026-0.347989842273761i</v>
      </c>
      <c r="AQ521">
        <f t="shared" si="442"/>
        <v>-8.6164002146869496</v>
      </c>
      <c r="AR521" s="44">
        <f t="shared" si="443"/>
        <v>-110.21593890320345</v>
      </c>
      <c r="AS521" t="str">
        <f t="shared" si="419"/>
        <v>-0.000166666666666667</v>
      </c>
      <c r="AT521" t="str">
        <f t="shared" si="420"/>
        <v>0.0849648359604561i</v>
      </c>
      <c r="AU521">
        <f t="shared" si="444"/>
        <v>8.4964835960456106E-2</v>
      </c>
      <c r="AV521">
        <f t="shared" si="445"/>
        <v>1.5707963267948966</v>
      </c>
      <c r="AW521" t="str">
        <f t="shared" si="421"/>
        <v>1+15.4795401874405i</v>
      </c>
      <c r="AX521">
        <f t="shared" si="446"/>
        <v>15.511807258169032</v>
      </c>
      <c r="AY521">
        <f t="shared" si="447"/>
        <v>1.5062845682287394</v>
      </c>
      <c r="AZ521" t="str">
        <f t="shared" si="422"/>
        <v>1+315.08354381532i</v>
      </c>
      <c r="BA521">
        <f t="shared" si="448"/>
        <v>315.08513069204122</v>
      </c>
      <c r="BB521">
        <f t="shared" si="449"/>
        <v>1.5676225760165341</v>
      </c>
      <c r="BC521" s="42" t="str">
        <f t="shared" si="450"/>
        <v>-0.00244248744131494+0.0397701783204414i</v>
      </c>
      <c r="BD521">
        <f t="shared" si="451"/>
        <v>-27.992499294759693</v>
      </c>
      <c r="BE521" s="44">
        <f t="shared" si="452"/>
        <v>93.514408969981218</v>
      </c>
      <c r="BF521" s="42" t="str">
        <f t="shared" si="453"/>
        <v>-0.00283430720911028-0.00403160254065309i</v>
      </c>
      <c r="BG521" s="20">
        <f t="shared" si="454"/>
        <v>-46.146240457257434</v>
      </c>
      <c r="BH521" s="44">
        <f t="shared" si="455"/>
        <v>-125.10808023445058</v>
      </c>
      <c r="BI521" s="42" t="str">
        <f t="shared" si="460"/>
        <v>0.0141526112547112-0.00424639878665955i</v>
      </c>
      <c r="BJ521" s="20">
        <f t="shared" si="456"/>
        <v>-36.608899509446637</v>
      </c>
      <c r="BK521" s="44">
        <f t="shared" si="461"/>
        <v>-16.701529933222236</v>
      </c>
      <c r="BL521">
        <f t="shared" si="457"/>
        <v>-46.146240457257434</v>
      </c>
      <c r="BM521" s="44">
        <f t="shared" si="458"/>
        <v>-125.10808023445058</v>
      </c>
    </row>
    <row r="522" spans="14:65" x14ac:dyDescent="0.35">
      <c r="N522" s="9">
        <v>4</v>
      </c>
      <c r="O522" s="35">
        <f t="shared" si="462"/>
        <v>1096478.196143186</v>
      </c>
      <c r="P522" s="34" t="str">
        <f t="shared" si="411"/>
        <v>16.3709677419355</v>
      </c>
      <c r="Q522" s="4" t="str">
        <f t="shared" si="412"/>
        <v>1+1013.40494044911i</v>
      </c>
      <c r="R522" s="4">
        <f t="shared" si="423"/>
        <v>1013.4054338351774</v>
      </c>
      <c r="S522" s="4">
        <f t="shared" si="424"/>
        <v>1.569809554740101</v>
      </c>
      <c r="T522" s="4" t="str">
        <f t="shared" si="413"/>
        <v>1+1.10230011066394i</v>
      </c>
      <c r="U522" s="4">
        <f t="shared" si="425"/>
        <v>1.488309623018589</v>
      </c>
      <c r="V522" s="4">
        <f t="shared" si="426"/>
        <v>0.83402085018687611</v>
      </c>
      <c r="W522" t="str">
        <f t="shared" si="414"/>
        <v>1-14.4255091012909i</v>
      </c>
      <c r="X522" s="4">
        <f t="shared" si="427"/>
        <v>14.460128382259496</v>
      </c>
      <c r="Y522" s="4">
        <f t="shared" si="428"/>
        <v>-1.5015854056652185</v>
      </c>
      <c r="Z522" t="str">
        <f t="shared" si="415"/>
        <v>-0.0403586237900799+2.84094621907927i</v>
      </c>
      <c r="AA522" s="4">
        <f t="shared" si="429"/>
        <v>2.8412328729294667</v>
      </c>
      <c r="AB522" s="4">
        <f t="shared" si="430"/>
        <v>1.5850014211744343</v>
      </c>
      <c r="AC522" s="48" t="str">
        <f t="shared" si="431"/>
        <v>-0.0950857819115092+0.0770153968719248i</v>
      </c>
      <c r="AD522" s="20">
        <f t="shared" si="432"/>
        <v>-18.247005361502811</v>
      </c>
      <c r="AE522" s="44">
        <f t="shared" si="433"/>
        <v>140.99401433711276</v>
      </c>
      <c r="AF522" t="str">
        <f t="shared" si="434"/>
        <v>45.9520231294187</v>
      </c>
      <c r="AG522" t="str">
        <f t="shared" si="416"/>
        <v>1+486.308872351738i</v>
      </c>
      <c r="AH522">
        <f t="shared" si="435"/>
        <v>486.30990050380325</v>
      </c>
      <c r="AI522">
        <f t="shared" si="436"/>
        <v>1.5687400233889923</v>
      </c>
      <c r="AJ522" t="str">
        <f t="shared" si="417"/>
        <v>1+1.10230011066394i</v>
      </c>
      <c r="AK522">
        <f t="shared" si="437"/>
        <v>1.488309623018589</v>
      </c>
      <c r="AL522">
        <f t="shared" si="438"/>
        <v>0.83402085018687611</v>
      </c>
      <c r="AM522" t="str">
        <f t="shared" si="418"/>
        <v>1-2.46620675313543i</v>
      </c>
      <c r="AN522">
        <f t="shared" si="439"/>
        <v>2.6612357560371835</v>
      </c>
      <c r="AO522">
        <f t="shared" si="440"/>
        <v>-1.1855738912484317</v>
      </c>
      <c r="AP522" s="42" t="str">
        <f t="shared" si="441"/>
        <v>-0.128154436822721-0.351629923088169i</v>
      </c>
      <c r="AQ522">
        <f t="shared" si="442"/>
        <v>-8.5366366929440414</v>
      </c>
      <c r="AR522" s="44">
        <f t="shared" si="443"/>
        <v>-110.02468802125978</v>
      </c>
      <c r="AS522" t="str">
        <f t="shared" si="419"/>
        <v>-0.000166666666666667</v>
      </c>
      <c r="AT522" t="str">
        <f t="shared" si="420"/>
        <v>0.0869439212286185i</v>
      </c>
      <c r="AU522">
        <f t="shared" si="444"/>
        <v>8.6943921228618506E-2</v>
      </c>
      <c r="AV522">
        <f t="shared" si="445"/>
        <v>1.5707963267948966</v>
      </c>
      <c r="AW522" t="str">
        <f t="shared" si="421"/>
        <v>1+15.8401049975361i</v>
      </c>
      <c r="AX522">
        <f t="shared" si="446"/>
        <v>15.871639056284266</v>
      </c>
      <c r="AY522">
        <f t="shared" si="447"/>
        <v>1.5077491017474396</v>
      </c>
      <c r="AZ522" t="str">
        <f t="shared" si="422"/>
        <v>1+322.422782369203i</v>
      </c>
      <c r="BA522">
        <f t="shared" si="448"/>
        <v>322.42433312437572</v>
      </c>
      <c r="BB522">
        <f t="shared" si="449"/>
        <v>1.5676948189355588</v>
      </c>
      <c r="BC522" s="42" t="str">
        <f t="shared" si="450"/>
        <v>-0.00233299378594937+0.0388718109712081i</v>
      </c>
      <c r="BD522">
        <f t="shared" si="451"/>
        <v>-28.191688836900969</v>
      </c>
      <c r="BE522" s="44">
        <f t="shared" si="452"/>
        <v>93.434636594764058</v>
      </c>
      <c r="BF522" s="42" t="str">
        <f t="shared" si="453"/>
        <v>-0.00277189341074634-0.00387583298283833i</v>
      </c>
      <c r="BG522" s="20">
        <f t="shared" si="454"/>
        <v>-46.438694198403788</v>
      </c>
      <c r="BH522" s="44">
        <f t="shared" si="455"/>
        <v>-125.57134906812313</v>
      </c>
      <c r="BI522" s="42" t="str">
        <f t="shared" si="460"/>
        <v>0.013967475406853-0.00416124461777589i</v>
      </c>
      <c r="BJ522" s="20">
        <f t="shared" si="456"/>
        <v>-36.728325529845009</v>
      </c>
      <c r="BK522" s="44">
        <f t="shared" si="461"/>
        <v>-16.590051426495727</v>
      </c>
      <c r="BL522">
        <f t="shared" si="457"/>
        <v>-46.438694198403788</v>
      </c>
      <c r="BM522" s="44">
        <f t="shared" si="458"/>
        <v>-125.57134906812313</v>
      </c>
    </row>
    <row r="523" spans="14:65" x14ac:dyDescent="0.35">
      <c r="N523" s="9">
        <v>5</v>
      </c>
      <c r="O523" s="35">
        <f t="shared" si="462"/>
        <v>1122018.4543019643</v>
      </c>
      <c r="P523" s="34" t="str">
        <f t="shared" si="411"/>
        <v>16.3709677419355</v>
      </c>
      <c r="Q523" s="4" t="str">
        <f t="shared" si="412"/>
        <v>1+1037.01017390427i</v>
      </c>
      <c r="R523" s="4">
        <f t="shared" si="423"/>
        <v>1037.0106560595048</v>
      </c>
      <c r="S523" s="4">
        <f t="shared" si="424"/>
        <v>1.5698320164002646</v>
      </c>
      <c r="T523" s="4" t="str">
        <f t="shared" si="413"/>
        <v>1+1.12797597863271i</v>
      </c>
      <c r="U523" s="4">
        <f t="shared" si="425"/>
        <v>1.507424893111567</v>
      </c>
      <c r="V523" s="4">
        <f t="shared" si="426"/>
        <v>0.84546558257453364</v>
      </c>
      <c r="W523" t="str">
        <f t="shared" si="414"/>
        <v>1-14.7615223734332i</v>
      </c>
      <c r="X523" s="4">
        <f t="shared" si="427"/>
        <v>14.795355446266539</v>
      </c>
      <c r="Y523" s="4">
        <f t="shared" si="428"/>
        <v>-1.5031559820330718</v>
      </c>
      <c r="Z523" t="str">
        <f t="shared" si="415"/>
        <v>-0.0893892151815401+2.90712035743032i</v>
      </c>
      <c r="AA523" s="4">
        <f t="shared" si="429"/>
        <v>2.9084943191239971</v>
      </c>
      <c r="AB523" s="4">
        <f t="shared" si="430"/>
        <v>1.6015350127750561</v>
      </c>
      <c r="AC523" s="48" t="str">
        <f t="shared" si="431"/>
        <v>-0.0935585135083861+0.0768192887681952i</v>
      </c>
      <c r="AD523" s="20">
        <f t="shared" si="432"/>
        <v>-18.340320005048611</v>
      </c>
      <c r="AE523" s="44">
        <f t="shared" si="433"/>
        <v>140.61116982606444</v>
      </c>
      <c r="AF523" t="str">
        <f t="shared" si="434"/>
        <v>45.9520231294187</v>
      </c>
      <c r="AG523" t="str">
        <f t="shared" si="416"/>
        <v>1+497.636461161489i</v>
      </c>
      <c r="AH523">
        <f t="shared" si="435"/>
        <v>497.63746591000375</v>
      </c>
      <c r="AI523">
        <f t="shared" si="436"/>
        <v>1.5687868304415939</v>
      </c>
      <c r="AJ523" t="str">
        <f t="shared" si="417"/>
        <v>1+1.12797597863271i</v>
      </c>
      <c r="AK523">
        <f t="shared" si="437"/>
        <v>1.507424893111567</v>
      </c>
      <c r="AL523">
        <f t="shared" si="438"/>
        <v>0.84546558257453364</v>
      </c>
      <c r="AM523" t="str">
        <f t="shared" si="418"/>
        <v>1-2.52365208799895i</v>
      </c>
      <c r="AN523">
        <f t="shared" si="439"/>
        <v>2.7145570285520733</v>
      </c>
      <c r="AO523">
        <f t="shared" si="440"/>
        <v>-1.1935259031722365</v>
      </c>
      <c r="AP523" s="42" t="str">
        <f t="shared" si="441"/>
        <v>-0.128163206266825-0.355456441042019i</v>
      </c>
      <c r="AQ523">
        <f t="shared" si="442"/>
        <v>-8.453475606889878</v>
      </c>
      <c r="AR523" s="44">
        <f t="shared" si="443"/>
        <v>-109.82725172622764</v>
      </c>
      <c r="AS523" t="str">
        <f t="shared" si="419"/>
        <v>-0.000166666666666667</v>
      </c>
      <c r="AT523" t="str">
        <f t="shared" si="420"/>
        <v>0.0889691053146552i</v>
      </c>
      <c r="AU523">
        <f t="shared" si="444"/>
        <v>8.8969105314655197E-2</v>
      </c>
      <c r="AV523">
        <f t="shared" si="445"/>
        <v>1.5707963267948966</v>
      </c>
      <c r="AW523" t="str">
        <f t="shared" si="421"/>
        <v>1+16.2090684409701i</v>
      </c>
      <c r="AX523">
        <f t="shared" si="446"/>
        <v>16.239886074848332</v>
      </c>
      <c r="AY523">
        <f t="shared" si="447"/>
        <v>1.5091805601440973</v>
      </c>
      <c r="AZ523" t="str">
        <f t="shared" si="422"/>
        <v>1+329.932973750068i</v>
      </c>
      <c r="BA523">
        <f t="shared" si="448"/>
        <v>329.93448920590748</v>
      </c>
      <c r="BB523">
        <f t="shared" si="449"/>
        <v>1.567765417436263</v>
      </c>
      <c r="BC523" s="42" t="str">
        <f t="shared" si="450"/>
        <v>-0.00222838990503275+0.0379934339442134i</v>
      </c>
      <c r="BD523">
        <f t="shared" si="451"/>
        <v>-28.390914713756889</v>
      </c>
      <c r="BE523" s="44">
        <f t="shared" si="452"/>
        <v>93.356665066217317</v>
      </c>
      <c r="BF523" s="42" t="str">
        <f t="shared" si="453"/>
        <v>-0.00271014372642392-0.00372579253050251i</v>
      </c>
      <c r="BG523" s="20">
        <f t="shared" si="454"/>
        <v>-46.731234718805503</v>
      </c>
      <c r="BH523" s="44">
        <f t="shared" si="455"/>
        <v>-126.0321651077182</v>
      </c>
      <c r="BI523" s="42" t="str">
        <f t="shared" si="460"/>
        <v>0.0137906084078168-0.00407726476648031i</v>
      </c>
      <c r="BJ523" s="20">
        <f t="shared" si="456"/>
        <v>-36.844390320646745</v>
      </c>
      <c r="BK523" s="44">
        <f t="shared" si="461"/>
        <v>-16.470586660010287</v>
      </c>
      <c r="BL523">
        <f t="shared" si="457"/>
        <v>-46.731234718805503</v>
      </c>
      <c r="BM523" s="44">
        <f t="shared" si="458"/>
        <v>-126.0321651077182</v>
      </c>
    </row>
    <row r="524" spans="14:65" x14ac:dyDescent="0.35">
      <c r="N524" s="9">
        <v>6</v>
      </c>
      <c r="O524" s="35">
        <f t="shared" si="462"/>
        <v>1148153.6214968837</v>
      </c>
      <c r="P524" s="34" t="str">
        <f t="shared" si="411"/>
        <v>16.3709677419355</v>
      </c>
      <c r="Q524" s="4" t="str">
        <f t="shared" si="412"/>
        <v>1+1061.16524388008i</v>
      </c>
      <c r="R524" s="4">
        <f t="shared" si="423"/>
        <v>1061.1657150601266</v>
      </c>
      <c r="S524" s="4">
        <f t="shared" si="424"/>
        <v>1.569853966771561</v>
      </c>
      <c r="T524" s="4" t="str">
        <f t="shared" si="413"/>
        <v>1+1.15424991439588i</v>
      </c>
      <c r="U524" s="4">
        <f t="shared" si="425"/>
        <v>1.5271846204316282</v>
      </c>
      <c r="V524" s="4">
        <f t="shared" si="426"/>
        <v>0.85687878021164698</v>
      </c>
      <c r="W524" t="str">
        <f t="shared" si="414"/>
        <v>1-15.1053624001297i</v>
      </c>
      <c r="X524" s="4">
        <f t="shared" si="427"/>
        <v>15.138427039796836</v>
      </c>
      <c r="Y524" s="4">
        <f t="shared" si="428"/>
        <v>-1.5046911307260202</v>
      </c>
      <c r="Z524" t="str">
        <f t="shared" si="415"/>
        <v>-0.14073054715535+2.97483588947517i</v>
      </c>
      <c r="AA524" s="4">
        <f t="shared" si="429"/>
        <v>2.9781627988093886</v>
      </c>
      <c r="AB524" s="4">
        <f t="shared" si="430"/>
        <v>1.6180680790514876</v>
      </c>
      <c r="AC524" s="48" t="str">
        <f t="shared" si="431"/>
        <v>-0.0920485807799729+0.0766141548265492i</v>
      </c>
      <c r="AD524" s="20">
        <f t="shared" si="432"/>
        <v>-18.433699955476065</v>
      </c>
      <c r="AE524" s="44">
        <f t="shared" si="433"/>
        <v>140.22860775670517</v>
      </c>
      <c r="AF524" t="str">
        <f t="shared" si="434"/>
        <v>45.9520231294187</v>
      </c>
      <c r="AG524" t="str">
        <f t="shared" si="416"/>
        <v>1+509.227903409946i</v>
      </c>
      <c r="AH524">
        <f t="shared" si="435"/>
        <v>509.2288852876369</v>
      </c>
      <c r="AI524">
        <f t="shared" si="436"/>
        <v>1.5688325720441079</v>
      </c>
      <c r="AJ524" t="str">
        <f t="shared" si="417"/>
        <v>1+1.15424991439588i</v>
      </c>
      <c r="AK524">
        <f t="shared" si="437"/>
        <v>1.5271846204316282</v>
      </c>
      <c r="AL524">
        <f t="shared" si="438"/>
        <v>0.85687878021164698</v>
      </c>
      <c r="AM524" t="str">
        <f t="shared" si="418"/>
        <v>1-2.58243549660402i</v>
      </c>
      <c r="AN524">
        <f t="shared" si="439"/>
        <v>2.7692910815081269</v>
      </c>
      <c r="AO524">
        <f t="shared" si="440"/>
        <v>-1.2013456305884689</v>
      </c>
      <c r="AP524" s="42" t="str">
        <f t="shared" si="441"/>
        <v>-0.128171581024043-0.35947142511926i</v>
      </c>
      <c r="AQ524">
        <f t="shared" si="442"/>
        <v>-8.3669648944442869</v>
      </c>
      <c r="AR524" s="44">
        <f t="shared" si="443"/>
        <v>-109.62398184953736</v>
      </c>
      <c r="AS524" t="str">
        <f t="shared" si="419"/>
        <v>-0.000166666666666667</v>
      </c>
      <c r="AT524" t="str">
        <f t="shared" si="420"/>
        <v>0.0910414619979751i</v>
      </c>
      <c r="AU524">
        <f t="shared" si="444"/>
        <v>9.1041461997975096E-2</v>
      </c>
      <c r="AV524">
        <f t="shared" si="445"/>
        <v>1.5707963267948966</v>
      </c>
      <c r="AW524" t="str">
        <f t="shared" si="421"/>
        <v>1+16.5866261470438i</v>
      </c>
      <c r="AX524">
        <f t="shared" si="446"/>
        <v>16.61674357212619</v>
      </c>
      <c r="AY524">
        <f t="shared" si="447"/>
        <v>1.510579678918357</v>
      </c>
      <c r="AZ524" t="str">
        <f t="shared" si="422"/>
        <v>1+337.618099960794i</v>
      </c>
      <c r="BA524">
        <f t="shared" si="448"/>
        <v>337.61958092080005</v>
      </c>
      <c r="BB524">
        <f t="shared" si="449"/>
        <v>1.5678344089480889</v>
      </c>
      <c r="BC524" s="42" t="str">
        <f t="shared" si="450"/>
        <v>-0.00212845906948967+0.0371346225859531i</v>
      </c>
      <c r="BD524">
        <f t="shared" si="451"/>
        <v>-28.590175302435085</v>
      </c>
      <c r="BE524" s="44">
        <f t="shared" si="452"/>
        <v>93.280454387864552</v>
      </c>
      <c r="BF524" s="42" t="str">
        <f t="shared" si="453"/>
        <v>-0.0026491160876309-0.00358125939952876i</v>
      </c>
      <c r="BG524" s="20">
        <f t="shared" si="454"/>
        <v>-47.023875257911158</v>
      </c>
      <c r="BH524" s="44">
        <f t="shared" si="455"/>
        <v>-126.49093785543035</v>
      </c>
      <c r="BI524" s="42" t="str">
        <f t="shared" si="460"/>
        <v>0.0136216436663199-0.00399448307255528i</v>
      </c>
      <c r="BJ524" s="20">
        <f t="shared" si="456"/>
        <v>-36.957140196879358</v>
      </c>
      <c r="BK524" s="44">
        <f t="shared" si="461"/>
        <v>-16.343527461672782</v>
      </c>
      <c r="BL524">
        <f t="shared" si="457"/>
        <v>-47.023875257911158</v>
      </c>
      <c r="BM524" s="44">
        <f t="shared" si="458"/>
        <v>-126.49093785543035</v>
      </c>
    </row>
    <row r="525" spans="14:65" x14ac:dyDescent="0.35">
      <c r="N525" s="9">
        <v>7</v>
      </c>
      <c r="O525" s="35">
        <f t="shared" si="462"/>
        <v>1174897.5549395324</v>
      </c>
      <c r="P525" s="34" t="str">
        <f t="shared" si="411"/>
        <v>16.3709677419355</v>
      </c>
      <c r="Q525" s="4" t="str">
        <f t="shared" si="412"/>
        <v>1+1085.88295771439i</v>
      </c>
      <c r="R525" s="4">
        <f t="shared" si="423"/>
        <v>1085.8834181690738</v>
      </c>
      <c r="S525" s="4">
        <f t="shared" si="424"/>
        <v>1.5698754174922831</v>
      </c>
      <c r="T525" s="4" t="str">
        <f t="shared" si="413"/>
        <v>1+1.18113584874197i</v>
      </c>
      <c r="U525" s="4">
        <f t="shared" si="425"/>
        <v>1.5476052123146311</v>
      </c>
      <c r="V525" s="4">
        <f t="shared" si="426"/>
        <v>0.86825460187790304</v>
      </c>
      <c r="W525" t="str">
        <f t="shared" si="414"/>
        <v>1-15.457211489914i</v>
      </c>
      <c r="X525" s="4">
        <f t="shared" si="427"/>
        <v>15.489525074834587</v>
      </c>
      <c r="Y525" s="4">
        <f t="shared" si="428"/>
        <v>-1.5061916367410837</v>
      </c>
      <c r="Z525" t="str">
        <f t="shared" si="415"/>
        <v>-0.1944915215601+3.04412871888523i</v>
      </c>
      <c r="AA525" s="4">
        <f t="shared" si="429"/>
        <v>3.0503354912370866</v>
      </c>
      <c r="AB525" s="4">
        <f t="shared" si="430"/>
        <v>1.634600306923643</v>
      </c>
      <c r="AC525" s="48" t="str">
        <f t="shared" si="431"/>
        <v>-0.0905552051354915+0.0764006368670652i</v>
      </c>
      <c r="AD525" s="20">
        <f t="shared" si="432"/>
        <v>-18.527163413448164</v>
      </c>
      <c r="AE525" s="44">
        <f t="shared" si="433"/>
        <v>139.84596574609003</v>
      </c>
      <c r="AF525" t="str">
        <f t="shared" si="434"/>
        <v>45.9520231294187</v>
      </c>
      <c r="AG525" t="str">
        <f t="shared" si="416"/>
        <v>1+521.089345033219i</v>
      </c>
      <c r="AH525">
        <f t="shared" si="435"/>
        <v>521.09030456068672</v>
      </c>
      <c r="AI525">
        <f t="shared" si="436"/>
        <v>1.5688772724485713</v>
      </c>
      <c r="AJ525" t="str">
        <f t="shared" si="417"/>
        <v>1+1.18113584874197i</v>
      </c>
      <c r="AK525">
        <f t="shared" si="437"/>
        <v>1.5476052123146311</v>
      </c>
      <c r="AL525">
        <f t="shared" si="438"/>
        <v>0.86825460187790304</v>
      </c>
      <c r="AM525" t="str">
        <f t="shared" si="418"/>
        <v>1-2.64258814669197i</v>
      </c>
      <c r="AN525">
        <f t="shared" si="439"/>
        <v>2.8254684767374241</v>
      </c>
      <c r="AO525">
        <f t="shared" si="440"/>
        <v>-1.2090333932986101</v>
      </c>
      <c r="AP525" s="42" t="str">
        <f t="shared" si="441"/>
        <v>-0.128179578857938-0.363677004223498i</v>
      </c>
      <c r="AQ525">
        <f t="shared" si="442"/>
        <v>-8.2771541169062335</v>
      </c>
      <c r="AR525" s="44">
        <f t="shared" si="443"/>
        <v>-109.41523278127475</v>
      </c>
      <c r="AS525" t="str">
        <f t="shared" si="419"/>
        <v>-0.000166666666666667</v>
      </c>
      <c r="AT525" t="str">
        <f t="shared" si="420"/>
        <v>0.0931620900695226i</v>
      </c>
      <c r="AU525">
        <f t="shared" si="444"/>
        <v>9.3162090069522599E-2</v>
      </c>
      <c r="AV525">
        <f t="shared" si="445"/>
        <v>1.5707963267948966</v>
      </c>
      <c r="AW525" t="str">
        <f t="shared" si="421"/>
        <v>1+16.9729783018507i</v>
      </c>
      <c r="AX525">
        <f t="shared" si="446"/>
        <v>17.002411371187755</v>
      </c>
      <c r="AY525">
        <f t="shared" si="447"/>
        <v>1.5119471779785667</v>
      </c>
      <c r="AZ525" t="str">
        <f t="shared" si="422"/>
        <v>1+345.482235757025i</v>
      </c>
      <c r="BA525">
        <f t="shared" si="448"/>
        <v>345.48368300640857</v>
      </c>
      <c r="BB525">
        <f t="shared" si="449"/>
        <v>1.5679018300486214</v>
      </c>
      <c r="BC525" s="42" t="str">
        <f t="shared" si="450"/>
        <v>-0.00203299401256184+0.0362949599089826i</v>
      </c>
      <c r="BD525">
        <f t="shared" si="451"/>
        <v>-28.78946905199679</v>
      </c>
      <c r="BE525" s="44">
        <f t="shared" si="452"/>
        <v>93.205965407737068</v>
      </c>
      <c r="BF525" s="42" t="str">
        <f t="shared" si="453"/>
        <v>-0.00258885986226411-0.00344201957724901i</v>
      </c>
      <c r="BG525" s="20">
        <f t="shared" si="454"/>
        <v>-47.316632465444954</v>
      </c>
      <c r="BH525" s="44">
        <f t="shared" si="455"/>
        <v>-126.94806884617297</v>
      </c>
      <c r="BI525" s="42" t="str">
        <f t="shared" si="460"/>
        <v>0.0134602306044616-0.00391291950370633i</v>
      </c>
      <c r="BJ525" s="20">
        <f t="shared" si="456"/>
        <v>-37.06662316890305</v>
      </c>
      <c r="BK525" s="44">
        <f t="shared" si="461"/>
        <v>-16.209267373537717</v>
      </c>
      <c r="BL525">
        <f t="shared" si="457"/>
        <v>-47.316632465444954</v>
      </c>
      <c r="BM525" s="44">
        <f t="shared" si="458"/>
        <v>-126.94806884617297</v>
      </c>
    </row>
    <row r="526" spans="14:65" x14ac:dyDescent="0.35">
      <c r="N526" s="9">
        <v>8</v>
      </c>
      <c r="O526" s="35">
        <f t="shared" si="462"/>
        <v>1202264.4346174158</v>
      </c>
      <c r="P526" s="34" t="str">
        <f t="shared" si="411"/>
        <v>16.3709677419355</v>
      </c>
      <c r="Q526" s="4" t="str">
        <f t="shared" si="412"/>
        <v>1+1111.17642106623i</v>
      </c>
      <c r="R526" s="4">
        <f t="shared" si="423"/>
        <v>1111.1768710396898</v>
      </c>
      <c r="S526" s="4">
        <f t="shared" si="424"/>
        <v>1.5698963799358081</v>
      </c>
      <c r="T526" s="4" t="str">
        <f t="shared" si="413"/>
        <v>1+1.20864803694924i</v>
      </c>
      <c r="U526" s="4">
        <f t="shared" si="425"/>
        <v>1.5687033107701569</v>
      </c>
      <c r="V526" s="4">
        <f t="shared" si="426"/>
        <v>0.87958730294165521</v>
      </c>
      <c r="W526" t="str">
        <f t="shared" si="414"/>
        <v>1-15.8172561978305i</v>
      </c>
      <c r="X526" s="4">
        <f t="shared" si="427"/>
        <v>15.848835718367688</v>
      </c>
      <c r="Y526" s="4">
        <f t="shared" si="428"/>
        <v>-1.5076582686238544</v>
      </c>
      <c r="Z526" t="str">
        <f t="shared" si="415"/>
        <v>-0.25078617263034+3.11503558563584i</v>
      </c>
      <c r="AA526" s="4">
        <f t="shared" si="429"/>
        <v>3.1251144625693619</v>
      </c>
      <c r="AB526" s="4">
        <f t="shared" si="430"/>
        <v>1.6511313446951943</v>
      </c>
      <c r="AC526" s="48" t="str">
        <f t="shared" si="431"/>
        <v>-0.0890776031790009+0.0761792958440443i</v>
      </c>
      <c r="AD526" s="20">
        <f t="shared" si="432"/>
        <v>-18.620731843432164</v>
      </c>
      <c r="AE526" s="44">
        <f t="shared" si="433"/>
        <v>139.46289011572082</v>
      </c>
      <c r="AF526" t="str">
        <f t="shared" si="434"/>
        <v>45.9520231294187</v>
      </c>
      <c r="AG526" t="str">
        <f t="shared" si="416"/>
        <v>1+533.227075124661i</v>
      </c>
      <c r="AH526">
        <f t="shared" si="435"/>
        <v>533.22801281065574</v>
      </c>
      <c r="AI526">
        <f t="shared" si="436"/>
        <v>1.568920955355015</v>
      </c>
      <c r="AJ526" t="str">
        <f t="shared" si="417"/>
        <v>1+1.20864803694924i</v>
      </c>
      <c r="AK526">
        <f t="shared" si="437"/>
        <v>1.5687033107701569</v>
      </c>
      <c r="AL526">
        <f t="shared" si="438"/>
        <v>0.87958730294165521</v>
      </c>
      <c r="AM526" t="str">
        <f t="shared" si="418"/>
        <v>1-2.70414193199408i</v>
      </c>
      <c r="AN526">
        <f t="shared" si="439"/>
        <v>2.8831204602597995</v>
      </c>
      <c r="AO526">
        <f t="shared" si="440"/>
        <v>-1.2165896315642599</v>
      </c>
      <c r="AP526" s="42" t="str">
        <f t="shared" si="441"/>
        <v>-0.128187216732604-0.368075408307271i</v>
      </c>
      <c r="AQ526">
        <f t="shared" si="442"/>
        <v>-8.1840943732902645</v>
      </c>
      <c r="AR526" s="44">
        <f t="shared" si="443"/>
        <v>-109.20136024763147</v>
      </c>
      <c r="AS526" t="str">
        <f t="shared" si="419"/>
        <v>-0.000166666666666667</v>
      </c>
      <c r="AT526" t="str">
        <f t="shared" si="420"/>
        <v>0.0953321139143709i</v>
      </c>
      <c r="AU526">
        <f t="shared" si="444"/>
        <v>9.5332113914370895E-2</v>
      </c>
      <c r="AV526">
        <f t="shared" si="445"/>
        <v>1.5707963267948966</v>
      </c>
      <c r="AW526" t="str">
        <f t="shared" si="421"/>
        <v>1+17.3683297544171i</v>
      </c>
      <c r="AX526">
        <f t="shared" si="446"/>
        <v>17.397093965894715</v>
      </c>
      <c r="AY526">
        <f t="shared" si="447"/>
        <v>1.5132837619208936</v>
      </c>
      <c r="AZ526" t="str">
        <f t="shared" si="422"/>
        <v>1+353.529550807651i</v>
      </c>
      <c r="BA526">
        <f t="shared" si="448"/>
        <v>353.53096511374997</v>
      </c>
      <c r="BB526">
        <f t="shared" si="449"/>
        <v>1.5679677164829666</v>
      </c>
      <c r="BC526" s="42" t="str">
        <f t="shared" si="450"/>
        <v>-0.00194179652932674+0.0354740365479441i</v>
      </c>
      <c r="BD526">
        <f t="shared" si="451"/>
        <v>-28.988794480313473</v>
      </c>
      <c r="BE526" s="44">
        <f t="shared" si="452"/>
        <v>93.133159803491949</v>
      </c>
      <c r="BF526" s="42" t="str">
        <f t="shared" si="453"/>
        <v>-0.00252941654427455-0.00330786684305166i</v>
      </c>
      <c r="BG526" s="20">
        <f t="shared" si="454"/>
        <v>-47.609526323745619</v>
      </c>
      <c r="BH526" s="44">
        <f t="shared" si="455"/>
        <v>-127.40395008078727</v>
      </c>
      <c r="BI526" s="42" t="str">
        <f t="shared" si="460"/>
        <v>0.013306033979247-0.00383259046097004i</v>
      </c>
      <c r="BJ526" s="20">
        <f t="shared" si="456"/>
        <v>-37.172888853603737</v>
      </c>
      <c r="BK526" s="44">
        <f t="shared" si="461"/>
        <v>-16.068200444139503</v>
      </c>
      <c r="BL526">
        <f t="shared" si="457"/>
        <v>-47.609526323745619</v>
      </c>
      <c r="BM526" s="44">
        <f t="shared" si="458"/>
        <v>-127.40395008078727</v>
      </c>
    </row>
    <row r="527" spans="14:65" x14ac:dyDescent="0.35">
      <c r="N527" s="9">
        <v>9</v>
      </c>
      <c r="O527" s="35">
        <f t="shared" si="462"/>
        <v>1230268.770812382</v>
      </c>
      <c r="P527" s="34" t="str">
        <f t="shared" si="411"/>
        <v>16.3709677419355</v>
      </c>
      <c r="Q527" s="4" t="str">
        <f t="shared" si="412"/>
        <v>1+1137.05904486468i</v>
      </c>
      <c r="R527" s="4">
        <f t="shared" si="423"/>
        <v>1137.0594845954972</v>
      </c>
      <c r="S527" s="4">
        <f t="shared" si="424"/>
        <v>1.5699168652166271</v>
      </c>
      <c r="T527" s="4" t="str">
        <f t="shared" si="413"/>
        <v>1+1.23680106634404i</v>
      </c>
      <c r="U527" s="4">
        <f t="shared" si="425"/>
        <v>1.5904957961936756</v>
      </c>
      <c r="V527" s="4">
        <f t="shared" si="426"/>
        <v>0.89087124925945405</v>
      </c>
      <c r="W527" t="str">
        <f t="shared" si="414"/>
        <v>1-16.1856874243493i</v>
      </c>
      <c r="X527" s="4">
        <f t="shared" si="427"/>
        <v>16.216549491144502</v>
      </c>
      <c r="Y527" s="4">
        <f t="shared" si="428"/>
        <v>-1.5090917787498355</v>
      </c>
      <c r="Z527" t="str">
        <f t="shared" si="415"/>
        <v>-0.30973390886854+3.18759408548633i</v>
      </c>
      <c r="AA527" s="4">
        <f t="shared" si="429"/>
        <v>3.2026069300072426</v>
      </c>
      <c r="AB527" s="4">
        <f t="shared" si="430"/>
        <v>1.6676607888848802</v>
      </c>
      <c r="AC527" s="48" t="str">
        <f t="shared" si="431"/>
        <v>-0.0876149924446358+0.0759506130493251i</v>
      </c>
      <c r="AD527" s="20">
        <f t="shared" si="432"/>
        <v>-18.714429881269549</v>
      </c>
      <c r="AE527" s="44">
        <f t="shared" si="433"/>
        <v>139.07903742597577</v>
      </c>
      <c r="AF527" t="str">
        <f t="shared" si="434"/>
        <v>45.9520231294187</v>
      </c>
      <c r="AG527" t="str">
        <f t="shared" si="416"/>
        <v>1+545.647529269428i</v>
      </c>
      <c r="AH527">
        <f t="shared" si="435"/>
        <v>545.64844561111988</v>
      </c>
      <c r="AI527">
        <f t="shared" si="436"/>
        <v>1.5689636439240273</v>
      </c>
      <c r="AJ527" t="str">
        <f t="shared" si="417"/>
        <v>1+1.23680106634404i</v>
      </c>
      <c r="AK527">
        <f t="shared" si="437"/>
        <v>1.5904957961936756</v>
      </c>
      <c r="AL527">
        <f t="shared" si="438"/>
        <v>0.89087124925945405</v>
      </c>
      <c r="AM527" t="str">
        <f t="shared" si="418"/>
        <v>1-2.76712948914207i</v>
      </c>
      <c r="AN527">
        <f t="shared" si="439"/>
        <v>2.9422789822992064</v>
      </c>
      <c r="AO527">
        <f t="shared" si="440"/>
        <v>-1.2240148993136486</v>
      </c>
      <c r="AP527" s="42" t="str">
        <f t="shared" si="441"/>
        <v>-0.128194510848647-0.372668969554883i</v>
      </c>
      <c r="AQ527">
        <f t="shared" si="442"/>
        <v>-8.0878382100786581</v>
      </c>
      <c r="AR527" s="44">
        <f t="shared" si="443"/>
        <v>-108.98272012600192</v>
      </c>
      <c r="AS527" t="str">
        <f t="shared" si="419"/>
        <v>-0.000166666666666667</v>
      </c>
      <c r="AT527" t="str">
        <f t="shared" si="420"/>
        <v>0.0975526841078861i</v>
      </c>
      <c r="AU527">
        <f t="shared" si="444"/>
        <v>9.7552684107886103E-2</v>
      </c>
      <c r="AV527">
        <f t="shared" si="445"/>
        <v>1.5707963267948966</v>
      </c>
      <c r="AW527" t="str">
        <f t="shared" si="421"/>
        <v>1+17.7728901253163i</v>
      </c>
      <c r="AX527">
        <f t="shared" si="446"/>
        <v>17.801000629362544</v>
      </c>
      <c r="AY527">
        <f t="shared" si="447"/>
        <v>1.5145901203070387</v>
      </c>
      <c r="AZ527" t="str">
        <f t="shared" si="422"/>
        <v>1+361.764311905631i</v>
      </c>
      <c r="BA527">
        <f t="shared" si="448"/>
        <v>361.76569401831716</v>
      </c>
      <c r="BB527">
        <f t="shared" si="449"/>
        <v>1.5680321031826954</v>
      </c>
      <c r="BC527" s="42" t="str">
        <f t="shared" si="450"/>
        <v>-0.00185467709204614+0.0346714507082032i</v>
      </c>
      <c r="BD527">
        <f t="shared" si="451"/>
        <v>-29.188150171056577</v>
      </c>
      <c r="BE527" s="44">
        <f t="shared" si="452"/>
        <v>93.062000067585544</v>
      </c>
      <c r="BF527" s="42" t="str">
        <f t="shared" si="453"/>
        <v>-0.00247082041719063-0.00317860275399323i</v>
      </c>
      <c r="BG527" s="20">
        <f t="shared" si="454"/>
        <v>-47.902580052326122</v>
      </c>
      <c r="BH527" s="44">
        <f t="shared" si="455"/>
        <v>-127.8589625064387</v>
      </c>
      <c r="BI527" s="42" t="str">
        <f t="shared" si="460"/>
        <v>0.013158733230996-0.0037535090632012i</v>
      </c>
      <c r="BJ527" s="20">
        <f t="shared" si="456"/>
        <v>-37.275988381135271</v>
      </c>
      <c r="BK527" s="44">
        <f t="shared" si="461"/>
        <v>-15.920720058416407</v>
      </c>
      <c r="BL527">
        <f t="shared" si="457"/>
        <v>-47.902580052326122</v>
      </c>
      <c r="BM527" s="44">
        <f t="shared" si="458"/>
        <v>-127.8589625064387</v>
      </c>
    </row>
    <row r="528" spans="14:65" x14ac:dyDescent="0.35">
      <c r="N528" s="9">
        <v>10</v>
      </c>
      <c r="O528" s="35">
        <f t="shared" si="462"/>
        <v>1258925.4117941677</v>
      </c>
      <c r="P528" s="34" t="str">
        <f t="shared" si="411"/>
        <v>16.3709677419355</v>
      </c>
      <c r="Q528" s="4" t="str">
        <f t="shared" si="412"/>
        <v>1+1163.54455241948i</v>
      </c>
      <c r="R528" s="4">
        <f t="shared" si="423"/>
        <v>1163.5449821408058</v>
      </c>
      <c r="S528" s="4">
        <f t="shared" si="424"/>
        <v>1.5699368841962382</v>
      </c>
      <c r="T528" s="4" t="str">
        <f t="shared" si="413"/>
        <v>1+1.26560986403522i</v>
      </c>
      <c r="U528" s="4">
        <f t="shared" si="425"/>
        <v>1.612999791674893</v>
      </c>
      <c r="V528" s="4">
        <f t="shared" si="426"/>
        <v>0.90210093039624395</v>
      </c>
      <c r="W528" t="str">
        <f t="shared" si="414"/>
        <v>1-16.5627005165833i</v>
      </c>
      <c r="X528" s="4">
        <f t="shared" si="427"/>
        <v>16.592861368734106</v>
      </c>
      <c r="Y528" s="4">
        <f t="shared" si="428"/>
        <v>-1.5104929036054253</v>
      </c>
      <c r="Z528" t="str">
        <f t="shared" si="415"/>
        <v>-0.37145976632654+3.26184268991374i</v>
      </c>
      <c r="AA528" s="4">
        <f t="shared" si="429"/>
        <v>3.2829255385620724</v>
      </c>
      <c r="AB528" s="4">
        <f t="shared" si="430"/>
        <v>1.6841881713582607</v>
      </c>
      <c r="AC528" s="48" t="str">
        <f t="shared" si="431"/>
        <v>-0.086166596971639+0.0757149917051669i</v>
      </c>
      <c r="AD528" s="20">
        <f t="shared" si="432"/>
        <v>-18.808285224540377</v>
      </c>
      <c r="AE528" s="44">
        <f t="shared" si="433"/>
        <v>138.69407595443025</v>
      </c>
      <c r="AF528" t="str">
        <f t="shared" si="434"/>
        <v>45.9520231294187</v>
      </c>
      <c r="AG528" t="str">
        <f t="shared" si="416"/>
        <v>1+558.357292956713i</v>
      </c>
      <c r="AH528">
        <f t="shared" si="435"/>
        <v>558.35818843995526</v>
      </c>
      <c r="AI528">
        <f t="shared" si="436"/>
        <v>1.5690053607890297</v>
      </c>
      <c r="AJ528" t="str">
        <f t="shared" si="417"/>
        <v>1+1.26560986403522i</v>
      </c>
      <c r="AK528">
        <f t="shared" si="437"/>
        <v>1.612999791674893</v>
      </c>
      <c r="AL528">
        <f t="shared" si="438"/>
        <v>0.90210093039624395</v>
      </c>
      <c r="AM528" t="str">
        <f t="shared" si="418"/>
        <v>1-2.83158421497251i</v>
      </c>
      <c r="AN528">
        <f t="shared" si="439"/>
        <v>3.0029767176056299</v>
      </c>
      <c r="AO528">
        <f t="shared" si="440"/>
        <v>-1.2313098574304842</v>
      </c>
      <c r="AP528" s="42" t="str">
        <f t="shared" si="441"/>
        <v>-0.128201476677545-0.377460123619397i</v>
      </c>
      <c r="AQ528">
        <f t="shared" si="442"/>
        <v>-7.9884395267546662</v>
      </c>
      <c r="AR528" s="44">
        <f t="shared" si="443"/>
        <v>-108.75966730370459</v>
      </c>
      <c r="AS528" t="str">
        <f t="shared" si="419"/>
        <v>-0.000166666666666667</v>
      </c>
      <c r="AT528" t="str">
        <f t="shared" si="420"/>
        <v>0.099824978025778i</v>
      </c>
      <c r="AU528">
        <f t="shared" si="444"/>
        <v>9.9824978025778E-2</v>
      </c>
      <c r="AV528">
        <f t="shared" si="445"/>
        <v>1.5707963267948966</v>
      </c>
      <c r="AW528" t="str">
        <f t="shared" si="421"/>
        <v>1+18.186873917812i</v>
      </c>
      <c r="AX528">
        <f t="shared" si="446"/>
        <v>18.214345524953416</v>
      </c>
      <c r="AY528">
        <f t="shared" si="447"/>
        <v>1.5158669279402561</v>
      </c>
      <c r="AZ528" t="str">
        <f t="shared" si="422"/>
        <v>1+370.190885230301i</v>
      </c>
      <c r="BA528">
        <f t="shared" si="448"/>
        <v>370.19223588237753</v>
      </c>
      <c r="BB528">
        <f t="shared" si="449"/>
        <v>1.568095024284351</v>
      </c>
      <c r="BC528" s="42" t="str">
        <f t="shared" si="450"/>
        <v>-0.0017714544808201+0.0338868081077887i</v>
      </c>
      <c r="BD528">
        <f t="shared" si="451"/>
        <v>-29.387534770815225</v>
      </c>
      <c r="BE528" s="44">
        <f t="shared" si="452"/>
        <v>92.992449492519256</v>
      </c>
      <c r="BF528" s="42" t="str">
        <f t="shared" si="453"/>
        <v>-0.00241309919049337-0.00305403659820047i</v>
      </c>
      <c r="BG528" s="20">
        <f t="shared" si="454"/>
        <v>-48.195819995355613</v>
      </c>
      <c r="BH528" s="44">
        <f t="shared" si="455"/>
        <v>-128.31347455305044</v>
      </c>
      <c r="BI528" s="42" t="str">
        <f t="shared" si="460"/>
        <v>0.0130180218577409-0.00367568541199063i</v>
      </c>
      <c r="BJ528" s="20">
        <f t="shared" si="456"/>
        <v>-37.37597429756989</v>
      </c>
      <c r="BK528" s="44">
        <f t="shared" si="461"/>
        <v>-15.767217811185347</v>
      </c>
      <c r="BL528">
        <f t="shared" si="457"/>
        <v>-48.195819995355613</v>
      </c>
      <c r="BM528" s="44">
        <f t="shared" si="458"/>
        <v>-128.31347455305044</v>
      </c>
    </row>
    <row r="529" spans="14:65" x14ac:dyDescent="0.35">
      <c r="N529" s="9">
        <v>11</v>
      </c>
      <c r="O529" s="35">
        <f t="shared" si="462"/>
        <v>1288249.5516931366</v>
      </c>
      <c r="P529" s="34" t="str">
        <f t="shared" si="411"/>
        <v>16.3709677419355</v>
      </c>
      <c r="Q529" s="4" t="str">
        <f t="shared" si="412"/>
        <v>1+1190.6469866973i</v>
      </c>
      <c r="R529" s="4">
        <f t="shared" si="423"/>
        <v>1190.6474066369776</v>
      </c>
      <c r="S529" s="4">
        <f t="shared" si="424"/>
        <v>1.5699564474889056</v>
      </c>
      <c r="T529" s="4" t="str">
        <f t="shared" si="413"/>
        <v>1+1.29508970482864i</v>
      </c>
      <c r="U529" s="4">
        <f t="shared" si="425"/>
        <v>1.6362326679152737</v>
      </c>
      <c r="V529" s="4">
        <f t="shared" si="426"/>
        <v>0.91327097209593477</v>
      </c>
      <c r="W529" t="str">
        <f t="shared" si="414"/>
        <v>1-16.9484953718646i</v>
      </c>
      <c r="X529" s="4">
        <f t="shared" si="427"/>
        <v>16.977970884947226</v>
      </c>
      <c r="Y529" s="4">
        <f t="shared" si="428"/>
        <v>-1.5118623640681879</v>
      </c>
      <c r="Z529" t="str">
        <f t="shared" si="415"/>
        <v>-0.43609467382374+3.33782076651094i</v>
      </c>
      <c r="AA529" s="4">
        <f t="shared" si="429"/>
        <v>3.3661886509655266</v>
      </c>
      <c r="AB529" s="4">
        <f t="shared" si="430"/>
        <v>1.7007129468365265</v>
      </c>
      <c r="AC529" s="48" t="str">
        <f t="shared" si="431"/>
        <v>-0.0847316526969157+0.0754727589316314i</v>
      </c>
      <c r="AD529" s="20">
        <f t="shared" si="432"/>
        <v>-18.902328506531596</v>
      </c>
      <c r="AE529" s="44">
        <f t="shared" si="433"/>
        <v>138.30768710967226</v>
      </c>
      <c r="AF529" t="str">
        <f t="shared" si="434"/>
        <v>45.9520231294187</v>
      </c>
      <c r="AG529" t="str">
        <f t="shared" si="416"/>
        <v>1+571.363105071458i</v>
      </c>
      <c r="AH529">
        <f t="shared" si="435"/>
        <v>571.36398017104466</v>
      </c>
      <c r="AI529">
        <f t="shared" si="436"/>
        <v>1.569046128068275</v>
      </c>
      <c r="AJ529" t="str">
        <f t="shared" si="417"/>
        <v>1+1.29508970482864i</v>
      </c>
      <c r="AK529">
        <f t="shared" si="437"/>
        <v>1.6362326679152737</v>
      </c>
      <c r="AL529">
        <f t="shared" si="438"/>
        <v>0.91327097209593477</v>
      </c>
      <c r="AM529" t="str">
        <f t="shared" si="418"/>
        <v>1-2.89754028423417i</v>
      </c>
      <c r="AN529">
        <f t="shared" si="439"/>
        <v>3.0652470860861829</v>
      </c>
      <c r="AO529">
        <f t="shared" si="440"/>
        <v>-1.2384752671486994</v>
      </c>
      <c r="AP529" s="42" t="str">
        <f t="shared" si="441"/>
        <v>-0.128208128994464-0.382451410914445i</v>
      </c>
      <c r="AQ529">
        <f t="shared" si="442"/>
        <v>-7.8859534775333593</v>
      </c>
      <c r="AR529" s="44">
        <f t="shared" si="443"/>
        <v>-108.53255458570602</v>
      </c>
      <c r="AS529" t="str">
        <f t="shared" si="419"/>
        <v>-0.000166666666666667</v>
      </c>
      <c r="AT529" t="str">
        <f t="shared" si="420"/>
        <v>0.102150200468359i</v>
      </c>
      <c r="AU529">
        <f t="shared" si="444"/>
        <v>0.102150200468359</v>
      </c>
      <c r="AV529">
        <f t="shared" si="445"/>
        <v>1.5707963267948966</v>
      </c>
      <c r="AW529" t="str">
        <f t="shared" si="421"/>
        <v>1+18.6105006315907i</v>
      </c>
      <c r="AX529">
        <f t="shared" si="446"/>
        <v>18.637347819859933</v>
      </c>
      <c r="AY529">
        <f t="shared" si="447"/>
        <v>1.5171148451394232</v>
      </c>
      <c r="AZ529" t="str">
        <f t="shared" si="422"/>
        <v>1+378.813738662377i</v>
      </c>
      <c r="BA529">
        <f t="shared" si="448"/>
        <v>378.81505856996722</v>
      </c>
      <c r="BB529">
        <f t="shared" si="449"/>
        <v>1.5681565131475406</v>
      </c>
      <c r="BC529" s="42" t="str">
        <f t="shared" si="450"/>
        <v>-0.00169195542902959+0.0331197219132816i</v>
      </c>
      <c r="BD529">
        <f t="shared" si="451"/>
        <v>-29.586946986336823</v>
      </c>
      <c r="BE529" s="44">
        <f t="shared" si="452"/>
        <v>92.924472156173039</v>
      </c>
      <c r="BF529" s="42" t="str">
        <f t="shared" si="453"/>
        <v>-0.00235627460805258-0.00293398531879282i</v>
      </c>
      <c r="BG529" s="20">
        <f t="shared" si="454"/>
        <v>-48.489275492868416</v>
      </c>
      <c r="BH529" s="44">
        <f t="shared" si="455"/>
        <v>-128.76784073415473</v>
      </c>
      <c r="BI529" s="42" t="str">
        <f t="shared" si="460"/>
        <v>0.0128836068147265-0.00359912683828206i</v>
      </c>
      <c r="BJ529" s="20">
        <f t="shared" si="456"/>
        <v>-37.472900463870204</v>
      </c>
      <c r="BK529" s="44">
        <f t="shared" si="461"/>
        <v>-15.608082429532995</v>
      </c>
      <c r="BL529">
        <f t="shared" si="457"/>
        <v>-48.489275492868416</v>
      </c>
      <c r="BM529" s="44">
        <f t="shared" si="458"/>
        <v>-128.76784073415473</v>
      </c>
    </row>
    <row r="530" spans="14:65" x14ac:dyDescent="0.35">
      <c r="N530" s="9">
        <v>12</v>
      </c>
      <c r="O530" s="35">
        <f t="shared" si="462"/>
        <v>1318256.7385564097</v>
      </c>
      <c r="P530" s="34" t="str">
        <f t="shared" si="411"/>
        <v>16.3709677419355</v>
      </c>
      <c r="Q530" s="4" t="str">
        <f t="shared" si="412"/>
        <v>1+1218.38071776754i</v>
      </c>
      <c r="R530" s="4">
        <f t="shared" si="423"/>
        <v>1218.3811281482269</v>
      </c>
      <c r="S530" s="4">
        <f t="shared" si="424"/>
        <v>1.5699755654672858</v>
      </c>
      <c r="T530" s="4" t="str">
        <f t="shared" si="413"/>
        <v>1+1.3252562193261i</v>
      </c>
      <c r="U530" s="4">
        <f t="shared" si="425"/>
        <v>1.6602120487644065</v>
      </c>
      <c r="V530" s="4">
        <f t="shared" si="426"/>
        <v>0.92437614794038825</v>
      </c>
      <c r="W530" t="str">
        <f t="shared" si="414"/>
        <v>1-17.3432765437318i</v>
      </c>
      <c r="X530" s="4">
        <f t="shared" si="427"/>
        <v>17.372082237669659</v>
      </c>
      <c r="Y530" s="4">
        <f t="shared" si="428"/>
        <v>-1.5132008656860454</v>
      </c>
      <c r="Z530" t="str">
        <f t="shared" si="415"/>
        <v>-0.50377573066469+3.41556859985982i</v>
      </c>
      <c r="AA530" s="4">
        <f t="shared" si="429"/>
        <v>3.4525206512278985</v>
      </c>
      <c r="AB530" s="4">
        <f t="shared" si="430"/>
        <v>1.7172344808580722</v>
      </c>
      <c r="AC530" s="48" t="str">
        <f t="shared" si="431"/>
        <v>-0.0833094126437099+0.0752241680728177i</v>
      </c>
      <c r="AD530" s="20">
        <f t="shared" si="432"/>
        <v>-18.996593154714859</v>
      </c>
      <c r="AE530" s="44">
        <f t="shared" si="433"/>
        <v>137.91956677274504</v>
      </c>
      <c r="AF530" t="str">
        <f t="shared" si="434"/>
        <v>45.9520231294187</v>
      </c>
      <c r="AG530" t="str">
        <f t="shared" si="416"/>
        <v>1+584.671861467395i</v>
      </c>
      <c r="AH530">
        <f t="shared" si="435"/>
        <v>584.67271664731277</v>
      </c>
      <c r="AI530">
        <f t="shared" si="436"/>
        <v>1.5690859673765722</v>
      </c>
      <c r="AJ530" t="str">
        <f t="shared" si="417"/>
        <v>1+1.3252562193261i</v>
      </c>
      <c r="AK530">
        <f t="shared" si="437"/>
        <v>1.6602120487644065</v>
      </c>
      <c r="AL530">
        <f t="shared" si="438"/>
        <v>0.92437614794038825</v>
      </c>
      <c r="AM530" t="str">
        <f t="shared" si="418"/>
        <v>1-2.96503266770801i</v>
      </c>
      <c r="AN530">
        <f t="shared" si="439"/>
        <v>3.1291242737506737</v>
      </c>
      <c r="AO530">
        <f t="shared" si="440"/>
        <v>-1.2455119835739898</v>
      </c>
      <c r="AP530" s="42" t="str">
        <f t="shared" si="441"/>
        <v>-0.128214481909594-0.387645477961598i</v>
      </c>
      <c r="AQ530">
        <f t="shared" si="442"/>
        <v>-7.7804363697511221</v>
      </c>
      <c r="AR530" s="44">
        <f t="shared" si="443"/>
        <v>-108.30173165609182</v>
      </c>
      <c r="AS530" t="str">
        <f t="shared" si="419"/>
        <v>-0.000166666666666667</v>
      </c>
      <c r="AT530" t="str">
        <f t="shared" si="420"/>
        <v>0.104529584299346i</v>
      </c>
      <c r="AU530">
        <f t="shared" si="444"/>
        <v>0.104529584299346</v>
      </c>
      <c r="AV530">
        <f t="shared" si="445"/>
        <v>1.5707963267948966</v>
      </c>
      <c r="AW530" t="str">
        <f t="shared" si="421"/>
        <v>1+19.0439948791433i</v>
      </c>
      <c r="AX530">
        <f t="shared" si="446"/>
        <v>19.070231801339915</v>
      </c>
      <c r="AY530">
        <f t="shared" si="447"/>
        <v>1.5183345180109211</v>
      </c>
      <c r="AZ530" t="str">
        <f t="shared" si="422"/>
        <v>1+387.637444152883i</v>
      </c>
      <c r="BA530">
        <f t="shared" si="448"/>
        <v>387.63873401580946</v>
      </c>
      <c r="BB530">
        <f t="shared" si="449"/>
        <v>1.5682166023726125</v>
      </c>
      <c r="BC530" s="42" t="str">
        <f t="shared" si="450"/>
        <v>-0.00161601428305969+0.0323698126702571i</v>
      </c>
      <c r="BD530">
        <f t="shared" si="451"/>
        <v>-29.786385581885504</v>
      </c>
      <c r="BE530" s="44">
        <f t="shared" si="452"/>
        <v>92.858032907240428</v>
      </c>
      <c r="BF530" s="42" t="str">
        <f t="shared" si="453"/>
        <v>-0.0023003630280475-0.00281827341098299i</v>
      </c>
      <c r="BG530" s="20">
        <f t="shared" si="454"/>
        <v>-48.78297873660037</v>
      </c>
      <c r="BH530" s="44">
        <f t="shared" si="455"/>
        <v>-129.22240032001463</v>
      </c>
      <c r="BI530" s="42" t="str">
        <f t="shared" si="460"/>
        <v>0.0127552079381502-0.00352383813187818i</v>
      </c>
      <c r="BJ530" s="20">
        <f t="shared" si="456"/>
        <v>-37.566821951636634</v>
      </c>
      <c r="BK530" s="44">
        <f t="shared" si="461"/>
        <v>-15.443698748851382</v>
      </c>
      <c r="BL530">
        <f t="shared" si="457"/>
        <v>-48.78297873660037</v>
      </c>
      <c r="BM530" s="44">
        <f t="shared" si="458"/>
        <v>-129.22240032001463</v>
      </c>
    </row>
    <row r="531" spans="14:65" x14ac:dyDescent="0.35">
      <c r="N531" s="9">
        <v>13</v>
      </c>
      <c r="O531" s="35">
        <f t="shared" si="462"/>
        <v>1348962.8825916562</v>
      </c>
      <c r="P531" s="34" t="str">
        <f t="shared" ref="P531:P560" si="463">COMPLEX(Adc,0)</f>
        <v>16.3709677419355</v>
      </c>
      <c r="Q531" s="4" t="str">
        <f t="shared" ref="Q531:Q560" si="464">IMSUM(COMPLEX(1,0),IMDIV(COMPLEX(0,2*PI()*O531),COMPLEX(wp_lf,0)))</f>
        <v>1+1246.76045042152i</v>
      </c>
      <c r="R531" s="4">
        <f t="shared" si="423"/>
        <v>1246.760851460805</v>
      </c>
      <c r="S531" s="4">
        <f t="shared" si="424"/>
        <v>1.5699942482679281</v>
      </c>
      <c r="T531" s="4" t="str">
        <f t="shared" ref="T531:T560" si="465">IMSUM(COMPLEX(1,0),IMDIV(COMPLEX(0,2*PI()*O531),COMPLEX(wz_esr,0)))</f>
        <v>1+1.35612540221288i</v>
      </c>
      <c r="U531" s="4">
        <f t="shared" si="425"/>
        <v>1.6849558173812884</v>
      </c>
      <c r="V531" s="4">
        <f t="shared" si="426"/>
        <v>0.93541139014351571</v>
      </c>
      <c r="W531" t="str">
        <f t="shared" ref="W531:W560" si="466">IMSUB(COMPLEX(1,0),IMDIV(COMPLEX(0,2*PI()*O531),COMPLEX(wz_rhp,0)))</f>
        <v>1-17.747253350388i</v>
      </c>
      <c r="X531" s="4">
        <f t="shared" si="427"/>
        <v>17.775404397167961</v>
      </c>
      <c r="Y531" s="4">
        <f t="shared" si="428"/>
        <v>-1.514509098955092</v>
      </c>
      <c r="Z531" t="str">
        <f t="shared" ref="Z531:Z560" si="467">IMSUM(COMPLEX(1,0),IMDIV(COMPLEX(0,2*PI()*O531),COMPLEX(Q*(wsl/2),0)),IMDIV(IMPOWER(COMPLEX(0,2*PI()*O531),2),IMPOWER(COMPLEX(wsl/2,0),2)))</f>
        <v>-0.57464649744509+3.49512741289074i</v>
      </c>
      <c r="AA531" s="4">
        <f t="shared" si="429"/>
        <v>3.5420522623708175</v>
      </c>
      <c r="AB531" s="4">
        <f t="shared" si="430"/>
        <v>1.7337520382672789</v>
      </c>
      <c r="AC531" s="48" t="str">
        <f t="shared" si="431"/>
        <v>-0.081899151885773+0.0749694013657205i</v>
      </c>
      <c r="AD531" s="20">
        <f t="shared" si="432"/>
        <v>-19.091115234724377</v>
      </c>
      <c r="AE531" s="44">
        <f t="shared" si="433"/>
        <v>137.52942655891511</v>
      </c>
      <c r="AF531" t="str">
        <f t="shared" si="434"/>
        <v>45.9520231294187</v>
      </c>
      <c r="AG531" t="str">
        <f t="shared" ref="AG531:AG560" si="468">IMSUM(COMPLEX(1,0),IMDIV(COMPLEX(0,2*PI()*O531),COMPLEX(wp_lf_DCM,0)))</f>
        <v>1+598.290618623329i</v>
      </c>
      <c r="AH531">
        <f t="shared" si="435"/>
        <v>598.29145433700273</v>
      </c>
      <c r="AI531">
        <f t="shared" si="436"/>
        <v>1.5691248998367435</v>
      </c>
      <c r="AJ531" t="str">
        <f t="shared" ref="AJ531:AJ560" si="469">IMSUM(COMPLEX(1,0),IMDIV(COMPLEX(0,2*PI()*O531),COMPLEX(wz1_dcm,0)))</f>
        <v>1+1.35612540221288i</v>
      </c>
      <c r="AK531">
        <f t="shared" si="437"/>
        <v>1.6849558173812884</v>
      </c>
      <c r="AL531">
        <f t="shared" si="438"/>
        <v>0.93541139014351571</v>
      </c>
      <c r="AM531" t="str">
        <f t="shared" ref="AM531:AM560" si="470">IMSUB(COMPLEX(1,0),IMDIV(COMPLEX(0,2*PI()*O531),COMPLEX(wz2_dcm,0)))</f>
        <v>1-3.03409715074912i</v>
      </c>
      <c r="AN531">
        <f t="shared" si="439"/>
        <v>3.1946432539774965</v>
      </c>
      <c r="AO531">
        <f t="shared" si="440"/>
        <v>-1.2524209493503351</v>
      </c>
      <c r="AP531" s="42" t="str">
        <f t="shared" si="441"/>
        <v>-0.128220548898079-0.393045078793921i</v>
      </c>
      <c r="AQ531">
        <f t="shared" si="442"/>
        <v>-7.671945559416276</v>
      </c>
      <c r="AR531" s="44">
        <f t="shared" si="443"/>
        <v>-108.06754409738676</v>
      </c>
      <c r="AS531" t="str">
        <f t="shared" ref="AS531:AS560" si="471">COMPLEX(Adc_ea,0)</f>
        <v>-0.000166666666666667</v>
      </c>
      <c r="AT531" t="str">
        <f t="shared" ref="AT531:AT560" si="472">COMPLEX(0,2*PI()*O531*wp0_ea)</f>
        <v>0.106964391099541i</v>
      </c>
      <c r="AU531">
        <f t="shared" si="444"/>
        <v>0.10696439109954101</v>
      </c>
      <c r="AV531">
        <f t="shared" si="445"/>
        <v>1.5707963267948966</v>
      </c>
      <c r="AW531" t="str">
        <f t="shared" ref="AW531:AW560" si="473">IMSUM(COMPLEX(1,0),IMDIV(COMPLEX(0,2*PI()*O531),COMPLEX(wp1_ea,0)))</f>
        <v>1+19.4875865048579i</v>
      </c>
      <c r="AX531">
        <f t="shared" si="446"/>
        <v>19.513226995664244</v>
      </c>
      <c r="AY531">
        <f t="shared" si="447"/>
        <v>1.5195265787181182</v>
      </c>
      <c r="AZ531" t="str">
        <f t="shared" ref="AZ531:AZ560" si="474">IMSUM(COMPLEX(1,0),IMDIV(COMPLEX(0,2*PI()*O531),COMPLEX(wz_ea,0)))</f>
        <v>1+396.666680147267i</v>
      </c>
      <c r="BA531">
        <f t="shared" si="448"/>
        <v>396.66794064942314</v>
      </c>
      <c r="BB531">
        <f t="shared" si="449"/>
        <v>1.5682753238179323</v>
      </c>
      <c r="BC531" s="42" t="str">
        <f t="shared" si="450"/>
        <v>-0.00154347267580524+0.0316367082288394i</v>
      </c>
      <c r="BD531">
        <f t="shared" si="451"/>
        <v>-29.98584937671361</v>
      </c>
      <c r="BE531" s="44">
        <f t="shared" si="452"/>
        <v>92.793097350778396</v>
      </c>
      <c r="BF531" s="42" t="str">
        <f t="shared" si="453"/>
        <v>-0.00224537597399074-0.00270673279492907i</v>
      </c>
      <c r="BG531" s="20">
        <f t="shared" si="454"/>
        <v>-49.076964611437987</v>
      </c>
      <c r="BH531" s="44">
        <f t="shared" si="455"/>
        <v>-129.6774760903065</v>
      </c>
      <c r="BI531" s="42" t="str">
        <f t="shared" si="460"/>
        <v>0.0126325573922854-0.00344982175495202i</v>
      </c>
      <c r="BJ531" s="20">
        <f t="shared" si="456"/>
        <v>-37.657794936129896</v>
      </c>
      <c r="BK531" s="44">
        <f t="shared" si="461"/>
        <v>-15.274446746608344</v>
      </c>
      <c r="BL531">
        <f t="shared" si="457"/>
        <v>-49.076964611437987</v>
      </c>
      <c r="BM531" s="44">
        <f t="shared" si="458"/>
        <v>-129.6774760903065</v>
      </c>
    </row>
    <row r="532" spans="14:65" x14ac:dyDescent="0.35">
      <c r="N532" s="9">
        <v>14</v>
      </c>
      <c r="O532" s="35">
        <f t="shared" si="462"/>
        <v>1380384.2646028849</v>
      </c>
      <c r="P532" s="34" t="str">
        <f t="shared" si="463"/>
        <v>16.3709677419355</v>
      </c>
      <c r="Q532" s="4" t="str">
        <f t="shared" si="464"/>
        <v>1+1275.80123196914i</v>
      </c>
      <c r="R532" s="4">
        <f t="shared" ref="R532:R560" si="475">IMABS(Q532)</f>
        <v>1275.801623879659</v>
      </c>
      <c r="S532" s="4">
        <f t="shared" ref="S532:S560" si="476">IMARGUMENT(Q532)</f>
        <v>1.5700125057966485</v>
      </c>
      <c r="T532" s="4" t="str">
        <f t="shared" si="465"/>
        <v>1+1.38771362073836i</v>
      </c>
      <c r="U532" s="4">
        <f t="shared" ref="U532:U560" si="477">IMABS(T532)</f>
        <v>1.7104821230234386</v>
      </c>
      <c r="V532" s="4">
        <f t="shared" ref="V532:V560" si="478">IMARGUMENT(T532)</f>
        <v>0.94637179943633043</v>
      </c>
      <c r="W532" t="str">
        <f t="shared" si="466"/>
        <v>1-18.1606399856831i</v>
      </c>
      <c r="X532" s="4">
        <f t="shared" ref="X532:X560" si="479">IMABS(W532)</f>
        <v>18.188151216921192</v>
      </c>
      <c r="Y532" s="4">
        <f t="shared" ref="Y532:Y560" si="480">IMARGUMENT(W532)</f>
        <v>-1.5157877395957249</v>
      </c>
      <c r="Z532" t="str">
        <f t="shared" si="467"/>
        <v>-0.64885730056311+3.57653938873945i</v>
      </c>
      <c r="AA532" s="4">
        <f t="shared" ref="AA532:AA560" si="481">IMABS(Z532)</f>
        <v>3.6349208788773941</v>
      </c>
      <c r="AB532" s="4">
        <f t="shared" ref="AB532:AB560" si="482">IMARGUMENT(Z532)</f>
        <v>1.7502647723034752</v>
      </c>
      <c r="AC532" s="48" t="str">
        <f t="shared" ref="AC532:AC560" si="483">(IMDIV(IMPRODUCT(P532,T532,W532),IMPRODUCT(Q532,Z532)))</f>
        <v>-0.0805001722670455+0.0747085729347814i</v>
      </c>
      <c r="AD532" s="20">
        <f t="shared" ref="AD532:AD560" si="484">20*LOG(IMABS(AC532))</f>
        <v>-19.185933280904898</v>
      </c>
      <c r="AE532" s="44">
        <f t="shared" ref="AE532:AE560" si="485">(180/PI())*IMARGUMENT(AC532)</f>
        <v>137.136994993071</v>
      </c>
      <c r="AF532" t="str">
        <f t="shared" ref="AF532:AF560" si="486">COMPLEX($B$68,0)</f>
        <v>45.9520231294187</v>
      </c>
      <c r="AG532" t="str">
        <f t="shared" si="468"/>
        <v>1+612.226597384568i</v>
      </c>
      <c r="AH532">
        <f t="shared" ref="AH532:AH560" si="487">IMABS(AG532)</f>
        <v>612.22741407510159</v>
      </c>
      <c r="AI532">
        <f t="shared" ref="AI532:AI560" si="488">IMARGUMENT(AG532)</f>
        <v>1.5691629460908223</v>
      </c>
      <c r="AJ532" t="str">
        <f t="shared" si="469"/>
        <v>1+1.38771362073836i</v>
      </c>
      <c r="AK532">
        <f t="shared" ref="AK532:AK560" si="489">IMABS(AJ532)</f>
        <v>1.7104821230234386</v>
      </c>
      <c r="AL532">
        <f t="shared" ref="AL532:AL560" si="490">IMARGUMENT(AJ532)</f>
        <v>0.94637179943633043</v>
      </c>
      <c r="AM532" t="str">
        <f t="shared" si="470"/>
        <v>1-3.10477035226057i</v>
      </c>
      <c r="AN532">
        <f t="shared" ref="AN532:AN560" si="491">IMABS(AM532)</f>
        <v>3.2618398091071579</v>
      </c>
      <c r="AO532">
        <f t="shared" ref="AO532:AO560" si="492">IMARGUMENT(AM532)</f>
        <v>-1.2592031884872494</v>
      </c>
      <c r="AP532" s="42" t="str">
        <f t="shared" ref="AP532:AP560" si="493">(IMDIV(IMPRODUCT(AF532,AJ532,AM532),IMPRODUCT(AG532)))</f>
        <v>-0.128226342828592-0.39865307641655i</v>
      </c>
      <c r="AQ532">
        <f t="shared" ref="AQ532:AQ560" si="494">20*LOG(IMABS(AP532))</f>
        <v>-7.5605393444505236</v>
      </c>
      <c r="AR532" s="44">
        <f t="shared" ref="AR532:AR560" si="495">(180/PI())*IMARGUMENT(AP532)</f>
        <v>-107.83033247115115</v>
      </c>
      <c r="AS532" t="str">
        <f t="shared" si="471"/>
        <v>-0.000166666666666667</v>
      </c>
      <c r="AT532" t="str">
        <f t="shared" si="472"/>
        <v>0.109455911835738i</v>
      </c>
      <c r="AU532">
        <f t="shared" ref="AU532:AU560" si="496">IMABS(AT532)</f>
        <v>0.109455911835738</v>
      </c>
      <c r="AV532">
        <f t="shared" ref="AV532:AV560" si="497">IMARGUMENT(AT532)</f>
        <v>1.5707963267948966</v>
      </c>
      <c r="AW532" t="str">
        <f t="shared" si="473"/>
        <v>1+19.941510706886i</v>
      </c>
      <c r="AX532">
        <f t="shared" ref="AX532:AX560" si="498">IMABS(AW532)</f>
        <v>19.966568289840119</v>
      </c>
      <c r="AY532">
        <f t="shared" ref="AY532:AY560" si="499">IMARGUMENT(AW532)</f>
        <v>1.520691645748262</v>
      </c>
      <c r="AZ532" t="str">
        <f t="shared" si="474"/>
        <v>1+405.906234065969i</v>
      </c>
      <c r="BA532">
        <f t="shared" ref="BA532:BA560" si="500">IMABS(AZ532)</f>
        <v>405.90746587568111</v>
      </c>
      <c r="BB532">
        <f t="shared" ref="BB532:BB560" si="501">IMARGUMENT(AZ532)</f>
        <v>1.5683327086167671</v>
      </c>
      <c r="BC532" s="42" t="str">
        <f t="shared" ref="BC532:BC560" si="502">IMPRODUCT(AS532,IMDIV(AZ532,IMPRODUCT(AT532,AW532)))</f>
        <v>-0.00147417921347006+0.0309200436648904i</v>
      </c>
      <c r="BD532">
        <f t="shared" ref="BD532:BD560" si="503">20*LOG(IMABS(BC532))</f>
        <v>-30.185337242641875</v>
      </c>
      <c r="BE532" s="44">
        <f t="shared" ref="BE532:BE560" si="504">(180/PI())*IMARGUMENT(BC532)</f>
        <v>92.729631833882749</v>
      </c>
      <c r="BF532" s="42" t="str">
        <f t="shared" ref="BF532:BF560" si="505">IMPRODUCT(AC532,BC532)</f>
        <v>-0.00219132065664825-0.00259920266681671i</v>
      </c>
      <c r="BG532" s="20">
        <f t="shared" ref="BG532:BG560" si="506">20*LOG(IMABS(BF532))</f>
        <v>-49.371270523546784</v>
      </c>
      <c r="BH532" s="44">
        <f t="shared" ref="BH532:BH560" si="507">(180/PI())*IMARGUMENT(BF532)</f>
        <v>-130.13337317304624</v>
      </c>
      <c r="BI532" s="42" t="str">
        <f t="shared" si="460"/>
        <v>0.0125153991391598-0.0033770780406101i</v>
      </c>
      <c r="BJ532" s="20">
        <f t="shared" ref="BJ532:BJ560" si="508">20*LOG(IMABS(BI532))</f>
        <v>-37.745876587092404</v>
      </c>
      <c r="BK532" s="44">
        <f t="shared" si="461"/>
        <v>-15.1007006372684</v>
      </c>
      <c r="BL532">
        <f t="shared" ref="BL532:BL560" si="509">IF($B$31=0,BJ532,BG532)</f>
        <v>-49.371270523546784</v>
      </c>
      <c r="BM532" s="44">
        <f t="shared" ref="BM532:BM560" si="510">IF($B$31=0,BK532,BH532)</f>
        <v>-130.13337317304624</v>
      </c>
    </row>
    <row r="533" spans="14:65" x14ac:dyDescent="0.35">
      <c r="N533" s="9">
        <v>15</v>
      </c>
      <c r="O533" s="35">
        <f t="shared" si="462"/>
        <v>1412537.5446227565</v>
      </c>
      <c r="P533" s="34" t="str">
        <f t="shared" si="463"/>
        <v>16.3709677419355</v>
      </c>
      <c r="Q533" s="4" t="str">
        <f t="shared" si="464"/>
        <v>1+1305.51846021717i</v>
      </c>
      <c r="R533" s="4">
        <f t="shared" si="475"/>
        <v>1305.5188432067193</v>
      </c>
      <c r="S533" s="4">
        <f t="shared" si="476"/>
        <v>1.5700303477337816</v>
      </c>
      <c r="T533" s="4" t="str">
        <f t="shared" si="465"/>
        <v>1+1.42003762339412i</v>
      </c>
      <c r="U533" s="4">
        <f t="shared" si="477"/>
        <v>1.736809388463461</v>
      </c>
      <c r="V533" s="4">
        <f t="shared" si="478"/>
        <v>0.95725265400800319</v>
      </c>
      <c r="W533" t="str">
        <f t="shared" si="466"/>
        <v>1-18.5836556326832i</v>
      </c>
      <c r="X533" s="4">
        <f t="shared" si="479"/>
        <v>18.610541547041507</v>
      </c>
      <c r="Y533" s="4">
        <f t="shared" si="480"/>
        <v>-1.5170374488268454</v>
      </c>
      <c r="Z533" t="str">
        <f t="shared" si="467"/>
        <v>-0.72656555108178+3.65984769311317i</v>
      </c>
      <c r="AA533" s="4">
        <f t="shared" si="481"/>
        <v>3.7312709144210583</v>
      </c>
      <c r="AB533" s="4">
        <f t="shared" si="482"/>
        <v>1.7667717143611137</v>
      </c>
      <c r="AC533" s="48" t="str">
        <f t="shared" si="483"/>
        <v>-0.0791118068574826+0.0744417320944239i</v>
      </c>
      <c r="AD533" s="20">
        <f t="shared" si="484"/>
        <v>-19.281088114569037</v>
      </c>
      <c r="AE533" s="44">
        <f t="shared" si="485"/>
        <v>136.74201859269607</v>
      </c>
      <c r="AF533" t="str">
        <f t="shared" si="486"/>
        <v>45.9520231294187</v>
      </c>
      <c r="AG533" t="str">
        <f t="shared" si="468"/>
        <v>1+626.487186791521i</v>
      </c>
      <c r="AH533">
        <f t="shared" si="487"/>
        <v>626.48798489193246</v>
      </c>
      <c r="AI533">
        <f t="shared" si="488"/>
        <v>1.5692001263109954</v>
      </c>
      <c r="AJ533" t="str">
        <f t="shared" si="469"/>
        <v>1+1.42003762339412i</v>
      </c>
      <c r="AK533">
        <f t="shared" si="489"/>
        <v>1.736809388463461</v>
      </c>
      <c r="AL533">
        <f t="shared" si="490"/>
        <v>0.95725265400800319</v>
      </c>
      <c r="AM533" t="str">
        <f t="shared" si="470"/>
        <v>1-3.17708974410929i</v>
      </c>
      <c r="AN533">
        <f t="shared" si="491"/>
        <v>3.3307505523717076</v>
      </c>
      <c r="AO533">
        <f t="shared" si="492"/>
        <v>-1.2658598003611243</v>
      </c>
      <c r="AP533" s="42" t="str">
        <f t="shared" si="493"/>
        <v>-0.128231875990636-0.404472444324994i</v>
      </c>
      <c r="AQ533">
        <f t="shared" si="494"/>
        <v>-7.4462768561771684</v>
      </c>
      <c r="AR533" s="44">
        <f t="shared" si="495"/>
        <v>-107.59043146262572</v>
      </c>
      <c r="AS533" t="str">
        <f t="shared" si="471"/>
        <v>-0.000166666666666667</v>
      </c>
      <c r="AT533" t="str">
        <f t="shared" si="472"/>
        <v>0.112005467545211i</v>
      </c>
      <c r="AU533">
        <f t="shared" si="496"/>
        <v>0.112005467545211</v>
      </c>
      <c r="AV533">
        <f t="shared" si="497"/>
        <v>1.5707963267948966</v>
      </c>
      <c r="AW533" t="str">
        <f t="shared" si="473"/>
        <v>1+20.4060081618481i</v>
      </c>
      <c r="AX533">
        <f t="shared" si="498"/>
        <v>20.430496056175713</v>
      </c>
      <c r="AY533">
        <f t="shared" si="499"/>
        <v>1.5218303241766105</v>
      </c>
      <c r="AZ533" t="str">
        <f t="shared" si="474"/>
        <v>1+415.361004842779i</v>
      </c>
      <c r="BA533">
        <f t="shared" si="500"/>
        <v>415.36220861316099</v>
      </c>
      <c r="BB533">
        <f t="shared" si="501"/>
        <v>1.5683887871937841</v>
      </c>
      <c r="BC533" s="42" t="str">
        <f t="shared" si="502"/>
        <v>-0.00140798917518247+0.0302194611973159i</v>
      </c>
      <c r="BD533">
        <f t="shared" si="503"/>
        <v>-30.384848101743913</v>
      </c>
      <c r="BE533" s="44">
        <f t="shared" si="504"/>
        <v>92.667603431499955</v>
      </c>
      <c r="BF533" s="42" t="str">
        <f t="shared" si="505"/>
        <v>-0.00213820046680397-0.00249552933055003i</v>
      </c>
      <c r="BG533" s="20">
        <f t="shared" si="506"/>
        <v>-49.665936216312936</v>
      </c>
      <c r="BH533" s="44">
        <f t="shared" si="507"/>
        <v>-130.59037797580399</v>
      </c>
      <c r="BI533" s="42" t="str">
        <f t="shared" si="460"/>
        <v>0.0124034884299708-0.00330560537748886i</v>
      </c>
      <c r="BJ533" s="20">
        <f t="shared" si="508"/>
        <v>-37.831124957921098</v>
      </c>
      <c r="BK533" s="44">
        <f t="shared" si="461"/>
        <v>-14.922828031125761</v>
      </c>
      <c r="BL533">
        <f t="shared" si="509"/>
        <v>-49.665936216312936</v>
      </c>
      <c r="BM533" s="44">
        <f t="shared" si="510"/>
        <v>-130.59037797580399</v>
      </c>
    </row>
    <row r="534" spans="14:65" x14ac:dyDescent="0.35">
      <c r="N534" s="9">
        <v>16</v>
      </c>
      <c r="O534" s="35">
        <f t="shared" si="462"/>
        <v>1445439.7707459298</v>
      </c>
      <c r="P534" s="34" t="str">
        <f t="shared" si="463"/>
        <v>16.3709677419355</v>
      </c>
      <c r="Q534" s="4" t="str">
        <f t="shared" si="464"/>
        <v>1+1335.92789163339i</v>
      </c>
      <c r="R534" s="4">
        <f t="shared" si="475"/>
        <v>1335.9282659050352</v>
      </c>
      <c r="S534" s="4">
        <f t="shared" si="476"/>
        <v>1.5700477835393134</v>
      </c>
      <c r="T534" s="4" t="str">
        <f t="shared" si="465"/>
        <v>1+1.45311454879422i</v>
      </c>
      <c r="U534" s="4">
        <f t="shared" si="477"/>
        <v>1.7639563180298514</v>
      </c>
      <c r="V534" s="4">
        <f t="shared" si="478"/>
        <v>0.96804941747735362</v>
      </c>
      <c r="W534" t="str">
        <f t="shared" si="466"/>
        <v>1-19.0165245798835i</v>
      </c>
      <c r="X534" s="4">
        <f t="shared" si="479"/>
        <v>19.042799350340101</v>
      </c>
      <c r="Y534" s="4">
        <f t="shared" si="480"/>
        <v>-1.5182588736378824</v>
      </c>
      <c r="Z534" t="str">
        <f t="shared" si="467"/>
        <v>-0.80793607861897+3.7450964971776i</v>
      </c>
      <c r="AA534" s="4">
        <f t="shared" si="481"/>
        <v>3.8312541654536747</v>
      </c>
      <c r="AB534" s="4">
        <f t="shared" si="482"/>
        <v>1.7832717644900185</v>
      </c>
      <c r="AC534" s="48" t="str">
        <f t="shared" si="483"/>
        <v>-0.0777334241262333+0.0741688669409713i</v>
      </c>
      <c r="AD534" s="20">
        <f t="shared" si="484"/>
        <v>-19.376622651162965</v>
      </c>
      <c r="AE534" s="44">
        <f t="shared" si="485"/>
        <v>136.34426285301595</v>
      </c>
      <c r="AF534" t="str">
        <f t="shared" si="486"/>
        <v>45.9520231294187</v>
      </c>
      <c r="AG534" t="str">
        <f t="shared" si="468"/>
        <v>1+641.079947997447i</v>
      </c>
      <c r="AH534">
        <f t="shared" si="487"/>
        <v>641.08072793089741</v>
      </c>
      <c r="AI534">
        <f t="shared" si="488"/>
        <v>1.5692364602102962</v>
      </c>
      <c r="AJ534" t="str">
        <f t="shared" si="469"/>
        <v>1+1.45311454879422i</v>
      </c>
      <c r="AK534">
        <f t="shared" si="489"/>
        <v>1.7639563180298514</v>
      </c>
      <c r="AL534">
        <f t="shared" si="490"/>
        <v>0.96804941747735362</v>
      </c>
      <c r="AM534" t="str">
        <f t="shared" si="470"/>
        <v>1-3.2510936709941i</v>
      </c>
      <c r="AN534">
        <f t="shared" si="491"/>
        <v>3.4014129501690751</v>
      </c>
      <c r="AO534">
        <f t="shared" si="492"/>
        <v>-1.2723919539017781</v>
      </c>
      <c r="AP534" s="42" t="str">
        <f t="shared" si="493"/>
        <v>-0.128237160120607-0.410506268082023i</v>
      </c>
      <c r="AQ534">
        <f t="shared" si="494"/>
        <v>-7.3292179496246179</v>
      </c>
      <c r="AR534" s="44">
        <f t="shared" si="495"/>
        <v>-107.34816909152502</v>
      </c>
      <c r="AS534" t="str">
        <f t="shared" si="471"/>
        <v>-0.000166666666666667</v>
      </c>
      <c r="AT534" t="str">
        <f t="shared" si="472"/>
        <v>0.114614410036144i</v>
      </c>
      <c r="AU534">
        <f t="shared" si="496"/>
        <v>0.114614410036144</v>
      </c>
      <c r="AV534">
        <f t="shared" si="497"/>
        <v>1.5707963267948966</v>
      </c>
      <c r="AW534" t="str">
        <f t="shared" si="473"/>
        <v>1+20.8813251524431i</v>
      </c>
      <c r="AX534">
        <f t="shared" si="498"/>
        <v>20.905256279750624</v>
      </c>
      <c r="AY534">
        <f t="shared" si="499"/>
        <v>1.52294320592765</v>
      </c>
      <c r="AZ534" t="str">
        <f t="shared" si="474"/>
        <v>1+425.036005522308i</v>
      </c>
      <c r="BA534">
        <f t="shared" si="500"/>
        <v>425.03718189160753</v>
      </c>
      <c r="BB534">
        <f t="shared" si="501"/>
        <v>1.568443589281175</v>
      </c>
      <c r="BC534" s="42" t="str">
        <f t="shared" si="502"/>
        <v>-0.00134476422496067+0.0295346101019431i</v>
      </c>
      <c r="BD534">
        <f t="shared" si="503"/>
        <v>-30.584380924129771</v>
      </c>
      <c r="BE534" s="44">
        <f t="shared" si="504"/>
        <v>92.606979932384263</v>
      </c>
      <c r="BF534" s="42" t="str">
        <f t="shared" si="505"/>
        <v>-0.00208601543895583-0.00239556601232536i</v>
      </c>
      <c r="BG534" s="20">
        <f t="shared" si="506"/>
        <v>-49.961003575292736</v>
      </c>
      <c r="BH534" s="44">
        <f t="shared" si="507"/>
        <v>-131.04875721459982</v>
      </c>
      <c r="BI534" s="42" t="str">
        <f t="shared" si="460"/>
        <v>0.012296591317447-0.00323540038130376i</v>
      </c>
      <c r="BJ534" s="20">
        <f t="shared" si="508"/>
        <v>-37.913598873754403</v>
      </c>
      <c r="BK534" s="44">
        <f t="shared" si="461"/>
        <v>-14.741189159140809</v>
      </c>
      <c r="BL534">
        <f t="shared" si="509"/>
        <v>-49.961003575292736</v>
      </c>
      <c r="BM534" s="44">
        <f t="shared" si="510"/>
        <v>-131.04875721459982</v>
      </c>
    </row>
    <row r="535" spans="14:65" x14ac:dyDescent="0.35">
      <c r="N535" s="9">
        <v>17</v>
      </c>
      <c r="O535" s="35">
        <f t="shared" si="462"/>
        <v>1479108.3881682095</v>
      </c>
      <c r="P535" s="34" t="str">
        <f t="shared" si="463"/>
        <v>16.3709677419355</v>
      </c>
      <c r="Q535" s="4" t="str">
        <f t="shared" si="464"/>
        <v>1+1367.04564970085i</v>
      </c>
      <c r="R535" s="4">
        <f t="shared" si="475"/>
        <v>1367.0460154530347</v>
      </c>
      <c r="S535" s="4">
        <f t="shared" si="476"/>
        <v>1.5700648224578961</v>
      </c>
      <c r="T535" s="4" t="str">
        <f t="shared" si="465"/>
        <v>1+1.48696193476233i</v>
      </c>
      <c r="U535" s="4">
        <f t="shared" si="477"/>
        <v>1.7919419062659736</v>
      </c>
      <c r="V535" s="4">
        <f t="shared" si="478"/>
        <v>0.97875774587837405</v>
      </c>
      <c r="W535" t="str">
        <f t="shared" si="466"/>
        <v>1-19.4594763401295i</v>
      </c>
      <c r="X535" s="4">
        <f t="shared" si="479"/>
        <v>19.485153821103381</v>
      </c>
      <c r="Y535" s="4">
        <f t="shared" si="480"/>
        <v>-1.5194526470584322</v>
      </c>
      <c r="Z535" t="str">
        <f t="shared" si="467"/>
        <v>-0.89314148097311+3.83233100097703i</v>
      </c>
      <c r="AA535" s="4">
        <f t="shared" si="481"/>
        <v>3.9350301912545018</v>
      </c>
      <c r="AB535" s="4">
        <f t="shared" si="482"/>
        <v>1.7997636827017864</v>
      </c>
      <c r="AC535" s="48" t="str">
        <f t="shared" si="483"/>
        <v>-0.0763644318139945+0.073889908214317i</v>
      </c>
      <c r="AD535" s="20">
        <f t="shared" si="484"/>
        <v>-19.472581697590361</v>
      </c>
      <c r="AE535" s="44">
        <f t="shared" si="485"/>
        <v>135.94351312961055</v>
      </c>
      <c r="AF535" t="str">
        <f t="shared" si="486"/>
        <v>45.9520231294187</v>
      </c>
      <c r="AG535" t="str">
        <f t="shared" si="468"/>
        <v>1+656.012618277497i</v>
      </c>
      <c r="AH535">
        <f t="shared" si="487"/>
        <v>656.0133804575155</v>
      </c>
      <c r="AI535">
        <f t="shared" si="488"/>
        <v>1.5692719670530551</v>
      </c>
      <c r="AJ535" t="str">
        <f t="shared" si="469"/>
        <v>1+1.48696193476233i</v>
      </c>
      <c r="AK535">
        <f t="shared" si="489"/>
        <v>1.7919419062659736</v>
      </c>
      <c r="AL535">
        <f t="shared" si="490"/>
        <v>0.97875774587837405</v>
      </c>
      <c r="AM535" t="str">
        <f t="shared" si="470"/>
        <v>1-3.32682137077657i</v>
      </c>
      <c r="AN535">
        <f t="shared" si="491"/>
        <v>3.4738653446925221</v>
      </c>
      <c r="AO535">
        <f t="shared" si="492"/>
        <v>-1.2788008819732797</v>
      </c>
      <c r="AP535" s="42" t="str">
        <f t="shared" si="493"/>
        <v>-0.128242206426683-0.416757746953934i</v>
      </c>
      <c r="AQ535">
        <f t="shared" si="494"/>
        <v>-7.2094230932225623</v>
      </c>
      <c r="AR535" s="44">
        <f t="shared" si="495"/>
        <v>-107.10386599044027</v>
      </c>
      <c r="AS535" t="str">
        <f t="shared" si="471"/>
        <v>-0.000166666666666667</v>
      </c>
      <c r="AT535" t="str">
        <f t="shared" si="472"/>
        <v>0.117284122604379i</v>
      </c>
      <c r="AU535">
        <f t="shared" si="496"/>
        <v>0.117284122604379</v>
      </c>
      <c r="AV535">
        <f t="shared" si="497"/>
        <v>1.5707963267948966</v>
      </c>
      <c r="AW535" t="str">
        <f t="shared" si="473"/>
        <v>1+21.3677136980308i</v>
      </c>
      <c r="AX535">
        <f t="shared" si="498"/>
        <v>21.391100688861552</v>
      </c>
      <c r="AY535">
        <f t="shared" si="499"/>
        <v>1.5240308700332654</v>
      </c>
      <c r="AZ535" t="str">
        <f t="shared" si="474"/>
        <v>1+434.936365917981i</v>
      </c>
      <c r="BA535">
        <f t="shared" si="500"/>
        <v>434.93751550991772</v>
      </c>
      <c r="BB535">
        <f t="shared" si="501"/>
        <v>1.5684971439344151</v>
      </c>
      <c r="BC535" s="42" t="str">
        <f t="shared" si="502"/>
        <v>-0.00128437213557301+0.0288651466223797i</v>
      </c>
      <c r="BD535">
        <f t="shared" si="503"/>
        <v>-30.783934725826263</v>
      </c>
      <c r="BE535" s="44">
        <f t="shared" si="504"/>
        <v>92.547729825208592</v>
      </c>
      <c r="BF535" s="42" t="str">
        <f t="shared" si="505"/>
        <v>-0.00203476268614968-0.00229917266025618i</v>
      </c>
      <c r="BG535" s="20">
        <f t="shared" si="506"/>
        <v>-50.256516423416635</v>
      </c>
      <c r="BH535" s="44">
        <f t="shared" si="507"/>
        <v>-131.50875704518091</v>
      </c>
      <c r="BI535" s="42" t="str">
        <f t="shared" si="460"/>
        <v>0.0121944841883768-0.00316645805421187i</v>
      </c>
      <c r="BJ535" s="20">
        <f t="shared" si="508"/>
        <v>-37.993357819048796</v>
      </c>
      <c r="BK535" s="44">
        <f t="shared" si="461"/>
        <v>-14.556136165231615</v>
      </c>
      <c r="BL535">
        <f t="shared" si="509"/>
        <v>-50.256516423416635</v>
      </c>
      <c r="BM535" s="44">
        <f t="shared" si="510"/>
        <v>-131.50875704518091</v>
      </c>
    </row>
    <row r="536" spans="14:65" x14ac:dyDescent="0.35">
      <c r="N536" s="9">
        <v>18</v>
      </c>
      <c r="O536" s="35">
        <f t="shared" si="462"/>
        <v>1513561.2484362102</v>
      </c>
      <c r="P536" s="34" t="str">
        <f t="shared" si="463"/>
        <v>16.3709677419355</v>
      </c>
      <c r="Q536" s="4" t="str">
        <f t="shared" si="464"/>
        <v>1+1398.88823346677i</v>
      </c>
      <c r="R536" s="4">
        <f t="shared" si="475"/>
        <v>1398.8885908934208</v>
      </c>
      <c r="S536" s="4">
        <f t="shared" si="476"/>
        <v>1.5700814735237505</v>
      </c>
      <c r="T536" s="4" t="str">
        <f t="shared" si="465"/>
        <v>1+1.52159772763053i</v>
      </c>
      <c r="U536" s="4">
        <f t="shared" si="477"/>
        <v>1.8207854471986513</v>
      </c>
      <c r="V536" s="4">
        <f t="shared" si="478"/>
        <v>0.98937349365239902</v>
      </c>
      <c r="W536" t="str">
        <f t="shared" si="466"/>
        <v>1-19.9127457723076i</v>
      </c>
      <c r="X536" s="4">
        <f t="shared" si="479"/>
        <v>19.937839506640486</v>
      </c>
      <c r="Y536" s="4">
        <f t="shared" si="480"/>
        <v>-1.5206193884253179</v>
      </c>
      <c r="Z536" t="str">
        <f t="shared" si="467"/>
        <v>-0.98236249022631+3.92159745740009i</v>
      </c>
      <c r="AA536" s="4">
        <f t="shared" si="481"/>
        <v>4.0427667110644023</v>
      </c>
      <c r="AB536" s="4">
        <f t="shared" si="482"/>
        <v>1.8162460811452421</v>
      </c>
      <c r="AC536" s="48" t="str">
        <f t="shared" si="483"/>
        <v>-0.0750042804869839+0.0736047334085466i</v>
      </c>
      <c r="AD536" s="20">
        <f t="shared" si="484"/>
        <v>-19.569011740989399</v>
      </c>
      <c r="AE536" s="44">
        <f t="shared" si="485"/>
        <v>135.53957541447093</v>
      </c>
      <c r="AF536" t="str">
        <f t="shared" si="486"/>
        <v>45.9520231294187</v>
      </c>
      <c r="AG536" t="str">
        <f t="shared" si="468"/>
        <v>1+671.293115131113i</v>
      </c>
      <c r="AH536">
        <f t="shared" si="487"/>
        <v>671.29385996181566</v>
      </c>
      <c r="AI536">
        <f t="shared" si="488"/>
        <v>1.5693066656651116</v>
      </c>
      <c r="AJ536" t="str">
        <f t="shared" si="469"/>
        <v>1+1.52159772763053i</v>
      </c>
      <c r="AK536">
        <f t="shared" si="489"/>
        <v>1.8207854471986513</v>
      </c>
      <c r="AL536">
        <f t="shared" si="490"/>
        <v>0.98937349365239902</v>
      </c>
      <c r="AM536" t="str">
        <f t="shared" si="470"/>
        <v>1-3.40431299528552i</v>
      </c>
      <c r="AN536">
        <f t="shared" si="491"/>
        <v>3.5481469769261067</v>
      </c>
      <c r="AO536">
        <f t="shared" si="492"/>
        <v>-1.2850878759561648</v>
      </c>
      <c r="AP536" s="42" t="str">
        <f t="shared" si="493"/>
        <v>-0.128247025612604-0.423230195607111i</v>
      </c>
      <c r="AQ536">
        <f t="shared" si="494"/>
        <v>-7.0869532584655772</v>
      </c>
      <c r="AR536" s="44">
        <f t="shared" si="495"/>
        <v>-106.85783475168252</v>
      </c>
      <c r="AS536" t="str">
        <f t="shared" si="471"/>
        <v>-0.000166666666666667</v>
      </c>
      <c r="AT536" t="str">
        <f t="shared" si="472"/>
        <v>0.120016020766858i</v>
      </c>
      <c r="AU536">
        <f t="shared" si="496"/>
        <v>0.12001602076685799</v>
      </c>
      <c r="AV536">
        <f t="shared" si="497"/>
        <v>1.5707963267948966</v>
      </c>
      <c r="AW536" t="str">
        <f t="shared" si="473"/>
        <v>1+21.8654316882564i</v>
      </c>
      <c r="AX536">
        <f t="shared" si="498"/>
        <v>21.888286888512017</v>
      </c>
      <c r="AY536">
        <f t="shared" si="499"/>
        <v>1.5250938828877416</v>
      </c>
      <c r="AZ536" t="str">
        <f t="shared" si="474"/>
        <v>1+445.067335331928i</v>
      </c>
      <c r="BA536">
        <f t="shared" si="500"/>
        <v>445.06845875602426</v>
      </c>
      <c r="BB536">
        <f t="shared" si="501"/>
        <v>1.5685494795476604</v>
      </c>
      <c r="BC536" s="42" t="str">
        <f t="shared" si="502"/>
        <v>-0.0012266865238501+0.0282107338782479i</v>
      </c>
      <c r="BD536">
        <f t="shared" si="503"/>
        <v>-30.983508566748359</v>
      </c>
      <c r="BE536" s="44">
        <f t="shared" si="504"/>
        <v>92.489822284836151</v>
      </c>
      <c r="BF536" s="42" t="str">
        <f t="shared" si="505"/>
        <v>-0.00198443680626343-0.00220621573111161i</v>
      </c>
      <c r="BG536" s="20">
        <f t="shared" si="506"/>
        <v>-50.552520307737758</v>
      </c>
      <c r="BH536" s="44">
        <f t="shared" si="507"/>
        <v>-131.97060230069283</v>
      </c>
      <c r="BI536" s="42" t="str">
        <f t="shared" si="460"/>
        <v>0.0120969533155539-0.00309877193279633i</v>
      </c>
      <c r="BJ536" s="20">
        <f t="shared" si="508"/>
        <v>-38.070461825213904</v>
      </c>
      <c r="BK536" s="44">
        <f t="shared" si="461"/>
        <v>-14.368012466846322</v>
      </c>
      <c r="BL536">
        <f t="shared" si="509"/>
        <v>-50.552520307737758</v>
      </c>
      <c r="BM536" s="44">
        <f t="shared" si="510"/>
        <v>-131.97060230069283</v>
      </c>
    </row>
    <row r="537" spans="14:65" x14ac:dyDescent="0.35">
      <c r="N537" s="9">
        <v>19</v>
      </c>
      <c r="O537" s="35">
        <f t="shared" si="462"/>
        <v>1548816.6189124861</v>
      </c>
      <c r="P537" s="34" t="str">
        <f t="shared" si="463"/>
        <v>16.3709677419355</v>
      </c>
      <c r="Q537" s="4" t="str">
        <f t="shared" si="464"/>
        <v>1+1431.47252629056i</v>
      </c>
      <c r="R537" s="4">
        <f t="shared" si="475"/>
        <v>1431.4728755811886</v>
      </c>
      <c r="S537" s="4">
        <f t="shared" si="476"/>
        <v>1.570097745565455</v>
      </c>
      <c r="T537" s="4" t="str">
        <f t="shared" si="465"/>
        <v>1+1.55704029175464i</v>
      </c>
      <c r="U537" s="4">
        <f t="shared" si="477"/>
        <v>1.850506544205498</v>
      </c>
      <c r="V537" s="4">
        <f t="shared" si="478"/>
        <v>0.99989271864816365</v>
      </c>
      <c r="W537" t="str">
        <f t="shared" si="466"/>
        <v>1-20.3765732058707i</v>
      </c>
      <c r="X537" s="4">
        <f t="shared" si="479"/>
        <v>20.401096431667778</v>
      </c>
      <c r="Y537" s="4">
        <f t="shared" si="480"/>
        <v>-1.5217597036468988</v>
      </c>
      <c r="Z537" t="str">
        <f t="shared" si="467"/>
        <v>-1.07578835610125+4.01294319670354i</v>
      </c>
      <c r="AA537" s="4">
        <f t="shared" si="481"/>
        <v>4.1546400189537787</v>
      </c>
      <c r="AB537" s="4">
        <f t="shared" si="482"/>
        <v>1.8327174172100926</v>
      </c>
      <c r="AC537" s="48" t="str">
        <f t="shared" si="483"/>
        <v>-0.0736524667557576+0.0733131711094451i</v>
      </c>
      <c r="AD537" s="20">
        <f t="shared" si="484"/>
        <v>-19.665960730288802</v>
      </c>
      <c r="AE537" s="44">
        <f t="shared" si="485"/>
        <v>135.13227700219434</v>
      </c>
      <c r="AF537" t="str">
        <f t="shared" si="486"/>
        <v>45.9520231294187</v>
      </c>
      <c r="AG537" t="str">
        <f t="shared" si="468"/>
        <v>1+686.929540479987i</v>
      </c>
      <c r="AH537">
        <f t="shared" si="487"/>
        <v>686.93026835629109</v>
      </c>
      <c r="AI537">
        <f t="shared" si="488"/>
        <v>1.5693405744437949</v>
      </c>
      <c r="AJ537" t="str">
        <f t="shared" si="469"/>
        <v>1+1.55704029175464i</v>
      </c>
      <c r="AK537">
        <f t="shared" si="489"/>
        <v>1.850506544205498</v>
      </c>
      <c r="AL537">
        <f t="shared" si="490"/>
        <v>0.99989271864816365</v>
      </c>
      <c r="AM537" t="str">
        <f t="shared" si="470"/>
        <v>1-3.48360963160598i</v>
      </c>
      <c r="AN537">
        <f t="shared" si="491"/>
        <v>3.6242980100176578</v>
      </c>
      <c r="AO537">
        <f t="shared" si="492"/>
        <v>-1.2912542805363716</v>
      </c>
      <c r="AP537" s="42" t="str">
        <f t="shared" si="493"/>
        <v>-0.128251627900371-0.429927045865729i</v>
      </c>
      <c r="AQ537">
        <f t="shared" si="494"/>
        <v>-6.9618698101127618</v>
      </c>
      <c r="AR537" s="44">
        <f t="shared" si="495"/>
        <v>-106.61037934279969</v>
      </c>
      <c r="AS537" t="str">
        <f t="shared" si="471"/>
        <v>-0.000166666666666667</v>
      </c>
      <c r="AT537" t="str">
        <f t="shared" si="472"/>
        <v>0.122811553012147i</v>
      </c>
      <c r="AU537">
        <f t="shared" si="496"/>
        <v>0.122811553012147</v>
      </c>
      <c r="AV537">
        <f t="shared" si="497"/>
        <v>1.5707963267948966</v>
      </c>
      <c r="AW537" t="str">
        <f t="shared" si="473"/>
        <v>1+22.3747430197864i</v>
      </c>
      <c r="AX537">
        <f t="shared" si="498"/>
        <v>22.397078497015634</v>
      </c>
      <c r="AY537">
        <f t="shared" si="499"/>
        <v>1.5261327984994935</v>
      </c>
      <c r="AZ537" t="str">
        <f t="shared" si="474"/>
        <v>1+455.434285338232i</v>
      </c>
      <c r="BA537">
        <f t="shared" si="500"/>
        <v>455.43538319013606</v>
      </c>
      <c r="BB537">
        <f t="shared" si="501"/>
        <v>1.5686006238687988</v>
      </c>
      <c r="BC537" s="42" t="str">
        <f t="shared" si="502"/>
        <v>-0.00117158659701816+0.0275710417711487i</v>
      </c>
      <c r="BD537">
        <f t="shared" si="503"/>
        <v>-31.183101548758543</v>
      </c>
      <c r="BE537" s="44">
        <f t="shared" si="504"/>
        <v>92.433227158759806</v>
      </c>
      <c r="BF537" s="42" t="str">
        <f t="shared" si="505"/>
        <v>-0.00193503026014551-0.00211656796612786i</v>
      </c>
      <c r="BG537" s="20">
        <f t="shared" si="506"/>
        <v>-50.849062279047345</v>
      </c>
      <c r="BH537" s="44">
        <f t="shared" si="507"/>
        <v>-132.43449583904581</v>
      </c>
      <c r="BI537" s="42" t="str">
        <f t="shared" si="460"/>
        <v>0.0120037944284044-0.00303233422542705i</v>
      </c>
      <c r="BJ537" s="20">
        <f t="shared" si="508"/>
        <v>-38.144971358871317</v>
      </c>
      <c r="BK537" s="44">
        <f t="shared" si="461"/>
        <v>-14.177152184039908</v>
      </c>
      <c r="BL537">
        <f t="shared" si="509"/>
        <v>-50.849062279047345</v>
      </c>
      <c r="BM537" s="44">
        <f t="shared" si="510"/>
        <v>-132.43449583904581</v>
      </c>
    </row>
    <row r="538" spans="14:65" x14ac:dyDescent="0.35">
      <c r="N538" s="9">
        <v>20</v>
      </c>
      <c r="O538" s="35">
        <f t="shared" si="462"/>
        <v>1584893.1924611153</v>
      </c>
      <c r="P538" s="34" t="str">
        <f t="shared" si="463"/>
        <v>16.3709677419355</v>
      </c>
      <c r="Q538" s="4" t="str">
        <f t="shared" si="464"/>
        <v>1+1464.81580479555i</v>
      </c>
      <c r="R538" s="4">
        <f t="shared" si="475"/>
        <v>1464.8161461353557</v>
      </c>
      <c r="S538" s="4">
        <f t="shared" si="476"/>
        <v>1.570113647210627</v>
      </c>
      <c r="T538" s="4" t="str">
        <f t="shared" si="465"/>
        <v>1+1.5933084192513i</v>
      </c>
      <c r="U538" s="4">
        <f t="shared" si="477"/>
        <v>1.8811251204683535</v>
      </c>
      <c r="V538" s="4">
        <f t="shared" si="478"/>
        <v>1.0103116861392838</v>
      </c>
      <c r="W538" t="str">
        <f t="shared" si="466"/>
        <v>1-20.8512045682632i</v>
      </c>
      <c r="X538" s="4">
        <f t="shared" si="479"/>
        <v>20.875170225594808</v>
      </c>
      <c r="Y538" s="4">
        <f t="shared" si="480"/>
        <v>-1.5228741854644745</v>
      </c>
      <c r="Z538" t="str">
        <f t="shared" si="467"/>
        <v>-1.17361724738525+4.10641665160745i</v>
      </c>
      <c r="AA538" s="4">
        <f t="shared" si="481"/>
        <v>4.2708354171003915</v>
      </c>
      <c r="AB538" s="4">
        <f t="shared" si="482"/>
        <v>1.849175987613715</v>
      </c>
      <c r="AC538" s="48" t="str">
        <f t="shared" si="483"/>
        <v>-0.0723085361429683+0.0730150055354135i</v>
      </c>
      <c r="AD538" s="20">
        <f t="shared" si="484"/>
        <v>-19.763477851895988</v>
      </c>
      <c r="AE538" s="44">
        <f t="shared" si="485"/>
        <v>134.72146704372611</v>
      </c>
      <c r="AF538" t="str">
        <f t="shared" si="486"/>
        <v>45.9520231294187</v>
      </c>
      <c r="AG538" t="str">
        <f t="shared" si="468"/>
        <v>1+702.930184963807i</v>
      </c>
      <c r="AH538">
        <f t="shared" si="487"/>
        <v>702.93089627164056</v>
      </c>
      <c r="AI538">
        <f t="shared" si="488"/>
        <v>1.5693737113676762</v>
      </c>
      <c r="AJ538" t="str">
        <f t="shared" si="469"/>
        <v>1+1.5933084192513i</v>
      </c>
      <c r="AK538">
        <f t="shared" si="489"/>
        <v>1.8811251204683535</v>
      </c>
      <c r="AL538">
        <f t="shared" si="490"/>
        <v>1.0103116861392838</v>
      </c>
      <c r="AM538" t="str">
        <f t="shared" si="470"/>
        <v>1-3.56475332386413i</v>
      </c>
      <c r="AN538">
        <f t="shared" si="491"/>
        <v>3.7023595530418656</v>
      </c>
      <c r="AO538">
        <f t="shared" si="492"/>
        <v>-1.2973014887046201</v>
      </c>
      <c r="AP538" s="42" t="str">
        <f t="shared" si="493"/>
        <v>-0.128256023051925-0.436851848531582i</v>
      </c>
      <c r="AQ538">
        <f t="shared" si="494"/>
        <v>-6.8342343974748818</v>
      </c>
      <c r="AR538" s="44">
        <f t="shared" si="495"/>
        <v>-106.36179459043665</v>
      </c>
      <c r="AS538" t="str">
        <f t="shared" si="471"/>
        <v>-0.000166666666666667</v>
      </c>
      <c r="AT538" t="str">
        <f t="shared" si="472"/>
        <v>0.125672201568446i</v>
      </c>
      <c r="AU538">
        <f t="shared" si="496"/>
        <v>0.125672201568446</v>
      </c>
      <c r="AV538">
        <f t="shared" si="497"/>
        <v>1.5707963267948966</v>
      </c>
      <c r="AW538" t="str">
        <f t="shared" si="473"/>
        <v>1+22.8959177362301i</v>
      </c>
      <c r="AX538">
        <f t="shared" si="498"/>
        <v>22.917745285787081</v>
      </c>
      <c r="AY538">
        <f t="shared" si="499"/>
        <v>1.527148158739432</v>
      </c>
      <c r="AZ538" t="str">
        <f t="shared" si="474"/>
        <v>1+466.042712631005i</v>
      </c>
      <c r="BA538">
        <f t="shared" si="500"/>
        <v>466.04378549280699</v>
      </c>
      <c r="BB538">
        <f t="shared" si="501"/>
        <v>1.5686506040141555</v>
      </c>
      <c r="BC538" s="42" t="str">
        <f t="shared" si="502"/>
        <v>-0.00111895690963414+0.0269457468886859i</v>
      </c>
      <c r="BD538">
        <f t="shared" si="503"/>
        <v>-31.382712813811192</v>
      </c>
      <c r="BE538" s="44">
        <f t="shared" si="504"/>
        <v>92.377914953714324</v>
      </c>
      <c r="BF538" s="42" t="str">
        <f t="shared" si="505"/>
        <v>-0.00188653372209055-0.00203010815775065i</v>
      </c>
      <c r="BG538" s="20">
        <f t="shared" si="506"/>
        <v>-51.146190665707167</v>
      </c>
      <c r="BH538" s="44">
        <f t="shared" si="507"/>
        <v>-132.90061800255953</v>
      </c>
      <c r="BI538" s="42" t="str">
        <f t="shared" si="460"/>
        <v>0.0119148123015827-0.00296713593970577i</v>
      </c>
      <c r="BJ538" s="20">
        <f t="shared" si="508"/>
        <v>-38.216947211286076</v>
      </c>
      <c r="BK538" s="44">
        <f t="shared" si="461"/>
        <v>-13.983879636722305</v>
      </c>
      <c r="BL538">
        <f t="shared" si="509"/>
        <v>-51.146190665707167</v>
      </c>
      <c r="BM538" s="44">
        <f t="shared" si="510"/>
        <v>-132.90061800255953</v>
      </c>
    </row>
    <row r="539" spans="14:65" x14ac:dyDescent="0.35">
      <c r="N539" s="9">
        <v>21</v>
      </c>
      <c r="O539" s="35">
        <f t="shared" si="462"/>
        <v>1621810.0973589318</v>
      </c>
      <c r="P539" s="34" t="str">
        <f t="shared" si="463"/>
        <v>16.3709677419355</v>
      </c>
      <c r="Q539" s="4" t="str">
        <f t="shared" si="464"/>
        <v>1+1498.93574802937i</v>
      </c>
      <c r="R539" s="4">
        <f t="shared" si="475"/>
        <v>1498.9360815993346</v>
      </c>
      <c r="S539" s="4">
        <f t="shared" si="476"/>
        <v>1.570129186890497</v>
      </c>
      <c r="T539" s="4" t="str">
        <f t="shared" si="465"/>
        <v>1+1.63042133996178i</v>
      </c>
      <c r="U539" s="4">
        <f t="shared" si="477"/>
        <v>1.9126614299982017</v>
      </c>
      <c r="V539" s="4">
        <f t="shared" si="478"/>
        <v>1.0206268718762483</v>
      </c>
      <c r="W539" t="str">
        <f t="shared" si="466"/>
        <v>1-21.3368915153161i</v>
      </c>
      <c r="X539" s="4">
        <f t="shared" si="479"/>
        <v>21.360312252782453</v>
      </c>
      <c r="Y539" s="4">
        <f t="shared" si="480"/>
        <v>-1.5239634137106506</v>
      </c>
      <c r="Z539" t="str">
        <f t="shared" si="467"/>
        <v>-1.2760566722729+4.20206738297489i</v>
      </c>
      <c r="AA539" s="4">
        <f t="shared" si="481"/>
        <v>4.3915476681818708</v>
      </c>
      <c r="AB539" s="4">
        <f t="shared" si="482"/>
        <v>1.865619923521066</v>
      </c>
      <c r="AC539" s="48" t="str">
        <f t="shared" si="483"/>
        <v>-0.0709720855852184+0.0727099812568452i</v>
      </c>
      <c r="AD539" s="20">
        <f t="shared" si="484"/>
        <v>-19.861613300887026</v>
      </c>
      <c r="AE539" s="44">
        <f t="shared" si="485"/>
        <v>134.30701698576908</v>
      </c>
      <c r="AF539" t="str">
        <f t="shared" si="486"/>
        <v>45.9520231294187</v>
      </c>
      <c r="AG539" t="str">
        <f t="shared" si="468"/>
        <v>1+719.303532336076i</v>
      </c>
      <c r="AH539">
        <f t="shared" si="487"/>
        <v>719.3042274525825</v>
      </c>
      <c r="AI539">
        <f t="shared" si="488"/>
        <v>1.5694060940061001</v>
      </c>
      <c r="AJ539" t="str">
        <f t="shared" si="469"/>
        <v>1+1.63042133996178i</v>
      </c>
      <c r="AK539">
        <f t="shared" si="489"/>
        <v>1.9126614299982017</v>
      </c>
      <c r="AL539">
        <f t="shared" si="490"/>
        <v>1.0206268718762483</v>
      </c>
      <c r="AM539" t="str">
        <f t="shared" si="470"/>
        <v>1-3.64778709551968i</v>
      </c>
      <c r="AN539">
        <f t="shared" si="491"/>
        <v>3.7823736851664855</v>
      </c>
      <c r="AO539">
        <f t="shared" si="492"/>
        <v>-1.3032309369684583</v>
      </c>
      <c r="AP539" s="42" t="str">
        <f t="shared" si="493"/>
        <v>-0.128260220389856-0.444008275266969i</v>
      </c>
      <c r="AQ539">
        <f t="shared" si="494"/>
        <v>-6.7041088473205646</v>
      </c>
      <c r="AR539" s="44">
        <f t="shared" si="495"/>
        <v>-106.11236573168529</v>
      </c>
      <c r="AS539" t="str">
        <f t="shared" si="471"/>
        <v>-0.000166666666666667</v>
      </c>
      <c r="AT539" t="str">
        <f t="shared" si="472"/>
        <v>0.128599483189486i</v>
      </c>
      <c r="AU539">
        <f t="shared" si="496"/>
        <v>0.128599483189486</v>
      </c>
      <c r="AV539">
        <f t="shared" si="497"/>
        <v>1.5707963267948966</v>
      </c>
      <c r="AW539" t="str">
        <f t="shared" si="473"/>
        <v>1+23.4292321713208i</v>
      </c>
      <c r="AX539">
        <f t="shared" si="498"/>
        <v>23.450563322394917</v>
      </c>
      <c r="AY539">
        <f t="shared" si="499"/>
        <v>1.5281404935858913</v>
      </c>
      <c r="AZ539" t="str">
        <f t="shared" si="474"/>
        <v>1+476.898241938819i</v>
      </c>
      <c r="BA539">
        <f t="shared" si="500"/>
        <v>476.89929037935917</v>
      </c>
      <c r="BB539">
        <f t="shared" si="501"/>
        <v>1.5686994464828652</v>
      </c>
      <c r="BC539" s="42" t="str">
        <f t="shared" si="502"/>
        <v>-0.00106868713071661+0.0263345324068621i</v>
      </c>
      <c r="BD539">
        <f t="shared" si="503"/>
        <v>-31.582341542176589</v>
      </c>
      <c r="BE539" s="44">
        <f t="shared" si="504"/>
        <v>92.32385682246651</v>
      </c>
      <c r="BF539" s="42" t="str">
        <f t="shared" si="505"/>
        <v>-0.00183893640320569-0.00194672090907036i</v>
      </c>
      <c r="BG539" s="20">
        <f t="shared" si="506"/>
        <v>-51.443954843063608</v>
      </c>
      <c r="BH539" s="44">
        <f t="shared" si="507"/>
        <v>-133.36912619176451</v>
      </c>
      <c r="BI539" s="42" t="str">
        <f t="shared" si="460"/>
        <v>0.0118298203608465-0.00290316700065845i</v>
      </c>
      <c r="BJ539" s="20">
        <f t="shared" si="508"/>
        <v>-38.286450389497119</v>
      </c>
      <c r="BK539" s="44">
        <f t="shared" si="461"/>
        <v>-13.788508909218743</v>
      </c>
      <c r="BL539">
        <f t="shared" si="509"/>
        <v>-51.443954843063608</v>
      </c>
      <c r="BM539" s="44">
        <f t="shared" si="510"/>
        <v>-133.36912619176451</v>
      </c>
    </row>
    <row r="540" spans="14:65" x14ac:dyDescent="0.35">
      <c r="N540" s="9">
        <v>22</v>
      </c>
      <c r="O540" s="35">
        <f t="shared" si="462"/>
        <v>1659586.9074375622</v>
      </c>
      <c r="P540" s="34" t="str">
        <f t="shared" si="463"/>
        <v>16.3709677419355</v>
      </c>
      <c r="Q540" s="4" t="str">
        <f t="shared" si="464"/>
        <v>1+1533.85044683757i</v>
      </c>
      <c r="R540" s="4">
        <f t="shared" si="475"/>
        <v>1533.8507728145566</v>
      </c>
      <c r="S540" s="4">
        <f t="shared" si="476"/>
        <v>1.5701443728443791</v>
      </c>
      <c r="T540" s="4" t="str">
        <f t="shared" si="465"/>
        <v>1+1.66839873164789i</v>
      </c>
      <c r="U540" s="4">
        <f t="shared" si="477"/>
        <v>1.9451360692157986</v>
      </c>
      <c r="V540" s="4">
        <f t="shared" si="478"/>
        <v>1.0308349641971679</v>
      </c>
      <c r="W540" t="str">
        <f t="shared" si="466"/>
        <v>1-21.8338915646777i</v>
      </c>
      <c r="X540" s="4">
        <f t="shared" si="479"/>
        <v>21.856779745838683</v>
      </c>
      <c r="Y540" s="4">
        <f t="shared" si="480"/>
        <v>-1.5250279555645418</v>
      </c>
      <c r="Z540" t="str">
        <f t="shared" si="467"/>
        <v>-1.38332391851869+4.29994610608975i</v>
      </c>
      <c r="AA540" s="4">
        <f t="shared" si="481"/>
        <v>4.5169814676199751</v>
      </c>
      <c r="AB540" s="4">
        <f t="shared" si="482"/>
        <v>1.8820471867422033</v>
      </c>
      <c r="AC540" s="48" t="str">
        <f t="shared" si="483"/>
        <v>-0.0696427655554455+0.0723978080674611i</v>
      </c>
      <c r="AD540" s="20">
        <f t="shared" si="484"/>
        <v>-19.960418049076203</v>
      </c>
      <c r="AE540" s="44">
        <f t="shared" si="485"/>
        <v>133.88882089470769</v>
      </c>
      <c r="AF540" t="str">
        <f t="shared" si="486"/>
        <v>45.9520231294187</v>
      </c>
      <c r="AG540" t="str">
        <f t="shared" si="468"/>
        <v>1+736.058263962302i</v>
      </c>
      <c r="AH540">
        <f t="shared" si="487"/>
        <v>736.0589432560397</v>
      </c>
      <c r="AI540">
        <f t="shared" si="488"/>
        <v>1.5694377395284977</v>
      </c>
      <c r="AJ540" t="str">
        <f t="shared" si="469"/>
        <v>1+1.66839873164789i</v>
      </c>
      <c r="AK540">
        <f t="shared" si="489"/>
        <v>1.9451360692157986</v>
      </c>
      <c r="AL540">
        <f t="shared" si="490"/>
        <v>1.0308349641971679</v>
      </c>
      <c r="AM540" t="str">
        <f t="shared" si="470"/>
        <v>1-3.73275497217746i</v>
      </c>
      <c r="AN540">
        <f t="shared" si="491"/>
        <v>3.8643834802353076</v>
      </c>
      <c r="AO540">
        <f t="shared" si="492"/>
        <v>-1.3090441007778499</v>
      </c>
      <c r="AP540" s="42" t="str">
        <f t="shared" si="493"/>
        <v>-0.128264228817175-0.451400120541647i</v>
      </c>
      <c r="AQ540">
        <f t="shared" si="494"/>
        <v>-6.5715550589052354</v>
      </c>
      <c r="AR540" s="44">
        <f t="shared" si="495"/>
        <v>-105.86236803158693</v>
      </c>
      <c r="AS540" t="str">
        <f t="shared" si="471"/>
        <v>-0.000166666666666667</v>
      </c>
      <c r="AT540" t="str">
        <f t="shared" si="472"/>
        <v>0.131594949958727i</v>
      </c>
      <c r="AU540">
        <f t="shared" si="496"/>
        <v>0.131594949958727</v>
      </c>
      <c r="AV540">
        <f t="shared" si="497"/>
        <v>1.5707963267948966</v>
      </c>
      <c r="AW540" t="str">
        <f t="shared" si="473"/>
        <v>1+23.9749690954314i</v>
      </c>
      <c r="AX540">
        <f t="shared" si="498"/>
        <v>23.995815116950933</v>
      </c>
      <c r="AY540">
        <f t="shared" si="499"/>
        <v>1.5291103213660469</v>
      </c>
      <c r="AZ540" t="str">
        <f t="shared" si="474"/>
        <v>1+488.006629007007i</v>
      </c>
      <c r="BA540">
        <f t="shared" si="500"/>
        <v>488.00765358217745</v>
      </c>
      <c r="BB540">
        <f t="shared" si="501"/>
        <v>1.5687471771709192</v>
      </c>
      <c r="BC540" s="42" t="str">
        <f t="shared" si="502"/>
        <v>-0.00102067182067773+0.0257370879911236i</v>
      </c>
      <c r="BD540">
        <f t="shared" si="503"/>
        <v>-31.781986950743132</v>
      </c>
      <c r="BE540" s="44">
        <f t="shared" si="504"/>
        <v>92.2710245507878</v>
      </c>
      <c r="BF540" s="42" t="str">
        <f t="shared" si="505"/>
        <v>-0.00179222634828022-0.00186629638761899i</v>
      </c>
      <c r="BG540" s="20">
        <f t="shared" si="506"/>
        <v>-51.742404999819314</v>
      </c>
      <c r="BH540" s="44">
        <f t="shared" si="507"/>
        <v>-133.84015455450449</v>
      </c>
      <c r="BI540" s="42" t="str">
        <f t="shared" si="460"/>
        <v>0.0117486403055388-0.00284041636029385i</v>
      </c>
      <c r="BJ540" s="20">
        <f t="shared" si="508"/>
        <v>-38.353542009648386</v>
      </c>
      <c r="BK540" s="44">
        <f t="shared" si="461"/>
        <v>-13.591343480799114</v>
      </c>
      <c r="BL540">
        <f t="shared" si="509"/>
        <v>-51.742404999819314</v>
      </c>
      <c r="BM540" s="44">
        <f t="shared" si="510"/>
        <v>-133.84015455450449</v>
      </c>
    </row>
    <row r="541" spans="14:65" x14ac:dyDescent="0.35">
      <c r="N541" s="9">
        <v>23</v>
      </c>
      <c r="O541" s="35">
        <f t="shared" si="462"/>
        <v>1698243.6524617488</v>
      </c>
      <c r="P541" s="34" t="str">
        <f t="shared" si="463"/>
        <v>16.3709677419355</v>
      </c>
      <c r="Q541" s="4" t="str">
        <f t="shared" si="464"/>
        <v>1+1569.5784134556i</v>
      </c>
      <c r="R541" s="4">
        <f t="shared" si="475"/>
        <v>1569.5787320124459</v>
      </c>
      <c r="S541" s="4">
        <f t="shared" si="476"/>
        <v>1.5701592131240392</v>
      </c>
      <c r="T541" s="4" t="str">
        <f t="shared" si="465"/>
        <v>1+1.70726073042539i</v>
      </c>
      <c r="U541" s="4">
        <f t="shared" si="477"/>
        <v>1.9785699890710553</v>
      </c>
      <c r="V541" s="4">
        <f t="shared" si="478"/>
        <v>1.0409328652278789</v>
      </c>
      <c r="W541" t="str">
        <f t="shared" si="466"/>
        <v>1-22.3424682323527i</v>
      </c>
      <c r="X541" s="4">
        <f t="shared" si="479"/>
        <v>22.364835942024921</v>
      </c>
      <c r="Y541" s="4">
        <f t="shared" si="480"/>
        <v>-1.5260683658037089</v>
      </c>
      <c r="Z541" t="str">
        <f t="shared" si="467"/>
        <v>-1.49564651433348+4.40010471754658i</v>
      </c>
      <c r="AA541" s="4">
        <f t="shared" si="481"/>
        <v>4.6473519364487084</v>
      </c>
      <c r="AB541" s="4">
        <f t="shared" si="482"/>
        <v>1.8984555670459033</v>
      </c>
      <c r="AC541" s="48" t="str">
        <f t="shared" si="483"/>
        <v>-0.068320281793772+0.0720781659795375i</v>
      </c>
      <c r="AD541" s="20">
        <f t="shared" si="484"/>
        <v>-20.059943611344366</v>
      </c>
      <c r="AE541" s="44">
        <f t="shared" si="485"/>
        <v>133.46679566460284</v>
      </c>
      <c r="AF541" t="str">
        <f t="shared" si="486"/>
        <v>45.9520231294187</v>
      </c>
      <c r="AG541" t="str">
        <f t="shared" si="468"/>
        <v>1+753.203263422965i</v>
      </c>
      <c r="AH541">
        <f t="shared" si="487"/>
        <v>753.20392725410329</v>
      </c>
      <c r="AI541">
        <f t="shared" si="488"/>
        <v>1.5694686647134908</v>
      </c>
      <c r="AJ541" t="str">
        <f t="shared" si="469"/>
        <v>1+1.70726073042539i</v>
      </c>
      <c r="AK541">
        <f t="shared" si="489"/>
        <v>1.9785699890710553</v>
      </c>
      <c r="AL541">
        <f t="shared" si="490"/>
        <v>1.0409328652278789</v>
      </c>
      <c r="AM541" t="str">
        <f t="shared" si="470"/>
        <v>1-3.81970200493036i</v>
      </c>
      <c r="AN541">
        <f t="shared" si="491"/>
        <v>3.9484330317822298</v>
      </c>
      <c r="AO541">
        <f t="shared" si="492"/>
        <v>-1.314742490163997</v>
      </c>
      <c r="AP541" s="42" t="str">
        <f t="shared" si="493"/>
        <v>-0.128268056836197-0.459031303644891i</v>
      </c>
      <c r="AQ541">
        <f t="shared" si="494"/>
        <v>-6.4366349015945179</v>
      </c>
      <c r="AR541" s="44">
        <f t="shared" si="495"/>
        <v>-105.61206646501547</v>
      </c>
      <c r="AS541" t="str">
        <f t="shared" si="471"/>
        <v>-0.000166666666666667</v>
      </c>
      <c r="AT541" t="str">
        <f t="shared" si="472"/>
        <v>0.134660190112302i</v>
      </c>
      <c r="AU541">
        <f t="shared" si="496"/>
        <v>0.13466019011230199</v>
      </c>
      <c r="AV541">
        <f t="shared" si="497"/>
        <v>1.5707963267948966</v>
      </c>
      <c r="AW541" t="str">
        <f t="shared" si="473"/>
        <v>1+24.5334178655028i</v>
      </c>
      <c r="AX541">
        <f t="shared" si="498"/>
        <v>24.553789771914477</v>
      </c>
      <c r="AY541">
        <f t="shared" si="499"/>
        <v>1.5300581489937715</v>
      </c>
      <c r="AZ541" t="str">
        <f t="shared" si="474"/>
        <v>1+499.373763649426i</v>
      </c>
      <c r="BA541">
        <f t="shared" si="500"/>
        <v>499.37476490246559</v>
      </c>
      <c r="BB541">
        <f t="shared" si="501"/>
        <v>1.5687938213848893</v>
      </c>
      <c r="BC541" s="42" t="str">
        <f t="shared" si="502"/>
        <v>-0.000974810217674087+0.0251531096963177i</v>
      </c>
      <c r="BD541">
        <f t="shared" si="503"/>
        <v>-31.981648291393704</v>
      </c>
      <c r="BE541" s="44">
        <f t="shared" si="504"/>
        <v>92.21939054461248</v>
      </c>
      <c r="BF541" s="42" t="str">
        <f t="shared" si="505"/>
        <v>-0.00174639070682576-0.00178873007511015i</v>
      </c>
      <c r="BG541" s="20">
        <f t="shared" si="506"/>
        <v>-52.041591902738055</v>
      </c>
      <c r="BH541" s="44">
        <f t="shared" si="507"/>
        <v>-134.31381379078459</v>
      </c>
      <c r="BI541" s="42" t="str">
        <f t="shared" si="460"/>
        <v>0.0116711017470288-0.00277887209910908i</v>
      </c>
      <c r="BJ541" s="20">
        <f t="shared" si="508"/>
        <v>-38.418283192988213</v>
      </c>
      <c r="BK541" s="44">
        <f t="shared" si="461"/>
        <v>-13.392675920402977</v>
      </c>
      <c r="BL541">
        <f t="shared" si="509"/>
        <v>-52.041591902738055</v>
      </c>
      <c r="BM541" s="44">
        <f t="shared" si="510"/>
        <v>-134.31381379078459</v>
      </c>
    </row>
    <row r="542" spans="14:65" x14ac:dyDescent="0.35">
      <c r="N542" s="9">
        <v>24</v>
      </c>
      <c r="O542" s="35">
        <f t="shared" si="462"/>
        <v>1737800.8287493798</v>
      </c>
      <c r="P542" s="34" t="str">
        <f t="shared" si="463"/>
        <v>16.3709677419355</v>
      </c>
      <c r="Q542" s="4" t="str">
        <f t="shared" si="464"/>
        <v>1+1606.13859132425i</v>
      </c>
      <c r="R542" s="4">
        <f t="shared" si="475"/>
        <v>1606.1389026298586</v>
      </c>
      <c r="S542" s="4">
        <f t="shared" si="476"/>
        <v>1.5701737155979634</v>
      </c>
      <c r="T542" s="4" t="str">
        <f t="shared" si="465"/>
        <v>1+1.74702794144042i</v>
      </c>
      <c r="U542" s="4">
        <f t="shared" si="477"/>
        <v>2.0129845076834427</v>
      </c>
      <c r="V542" s="4">
        <f t="shared" si="478"/>
        <v>1.0509176912076841</v>
      </c>
      <c r="W542" t="str">
        <f t="shared" si="466"/>
        <v>1-22.8628911724218i</v>
      </c>
      <c r="X542" s="4">
        <f t="shared" si="479"/>
        <v>22.884750222844968</v>
      </c>
      <c r="Y542" s="4">
        <f t="shared" si="480"/>
        <v>-1.5270851870527389</v>
      </c>
      <c r="Z542" t="str">
        <f t="shared" si="467"/>
        <v>-1.61326271100229+4.50259632276688i</v>
      </c>
      <c r="AA542" s="4">
        <f t="shared" si="481"/>
        <v>4.7828851356168167</v>
      </c>
      <c r="AB542" s="4">
        <f t="shared" si="482"/>
        <v>1.9148426806210461</v>
      </c>
      <c r="AC542" s="48" t="str">
        <f t="shared" si="483"/>
        <v>-0.0670043966365155+0.071750710313405i</v>
      </c>
      <c r="AD542" s="20">
        <f t="shared" si="484"/>
        <v>-20.160241811597743</v>
      </c>
      <c r="AE542" s="44">
        <f t="shared" si="485"/>
        <v>133.04088110952409</v>
      </c>
      <c r="AF542" t="str">
        <f t="shared" si="486"/>
        <v>45.9520231294187</v>
      </c>
      <c r="AG542" t="str">
        <f t="shared" si="468"/>
        <v>1+770.747621223711i</v>
      </c>
      <c r="AH542">
        <f t="shared" si="487"/>
        <v>770.74826994422051</v>
      </c>
      <c r="AI542">
        <f t="shared" si="488"/>
        <v>1.569498885957785</v>
      </c>
      <c r="AJ542" t="str">
        <f t="shared" si="469"/>
        <v>1+1.74702794144042i</v>
      </c>
      <c r="AK542">
        <f t="shared" si="489"/>
        <v>2.0129845076834427</v>
      </c>
      <c r="AL542">
        <f t="shared" si="490"/>
        <v>1.0509176912076841</v>
      </c>
      <c r="AM542" t="str">
        <f t="shared" si="470"/>
        <v>1-3.90867429424596i</v>
      </c>
      <c r="AN542">
        <f t="shared" si="491"/>
        <v>4.0345674784912395</v>
      </c>
      <c r="AO542">
        <f t="shared" si="492"/>
        <v>-1.320327645590003</v>
      </c>
      <c r="AP542" s="42" t="str">
        <f t="shared" si="493"/>
        <v>-0.128271712566576-0.46690587076372i</v>
      </c>
      <c r="AQ542">
        <f t="shared" si="494"/>
        <v>-6.2994101155179596</v>
      </c>
      <c r="AR542" s="44">
        <f t="shared" si="495"/>
        <v>-105.3617154607845</v>
      </c>
      <c r="AS542" t="str">
        <f t="shared" si="471"/>
        <v>-0.000166666666666667</v>
      </c>
      <c r="AT542" t="str">
        <f t="shared" si="472"/>
        <v>0.137796828881113i</v>
      </c>
      <c r="AU542">
        <f t="shared" si="496"/>
        <v>0.137796828881113</v>
      </c>
      <c r="AV542">
        <f t="shared" si="497"/>
        <v>1.5707963267948966</v>
      </c>
      <c r="AW542" t="str">
        <f t="shared" si="473"/>
        <v>1+25.1048745784643i</v>
      </c>
      <c r="AX542">
        <f t="shared" si="498"/>
        <v>25.124783135390903</v>
      </c>
      <c r="AY542">
        <f t="shared" si="499"/>
        <v>1.5309844722038812</v>
      </c>
      <c r="AZ542" t="str">
        <f t="shared" si="474"/>
        <v>1+511.005672871321i</v>
      </c>
      <c r="BA542">
        <f t="shared" si="500"/>
        <v>511.00665133310298</v>
      </c>
      <c r="BB542">
        <f t="shared" si="501"/>
        <v>1.568839403855343</v>
      </c>
      <c r="BC542" s="42" t="str">
        <f t="shared" si="502"/>
        <v>-0.000931006033006702+0.0245822998658059i</v>
      </c>
      <c r="BD542">
        <f t="shared" si="503"/>
        <v>-32.181324849452103</v>
      </c>
      <c r="BE542" s="44">
        <f t="shared" si="504"/>
        <v>92.168927817384954</v>
      </c>
      <c r="BF542" s="42" t="str">
        <f t="shared" si="505"/>
        <v>-0.00170141597900212-0.00171392251462052i</v>
      </c>
      <c r="BG542" s="20">
        <f t="shared" si="506"/>
        <v>-52.341566661049853</v>
      </c>
      <c r="BH542" s="44">
        <f t="shared" si="507"/>
        <v>-134.7901910730908</v>
      </c>
      <c r="BI542" s="42" t="str">
        <f t="shared" si="460"/>
        <v>0.0115970418624826-0.00271852152008476i</v>
      </c>
      <c r="BJ542" s="20">
        <f t="shared" si="508"/>
        <v>-38.48073496497004</v>
      </c>
      <c r="BK542" s="44">
        <f t="shared" si="461"/>
        <v>-13.192787643399491</v>
      </c>
      <c r="BL542">
        <f t="shared" si="509"/>
        <v>-52.341566661049853</v>
      </c>
      <c r="BM542" s="44">
        <f t="shared" si="510"/>
        <v>-134.7901910730908</v>
      </c>
    </row>
    <row r="543" spans="14:65" x14ac:dyDescent="0.35">
      <c r="N543" s="9">
        <v>25</v>
      </c>
      <c r="O543" s="35">
        <f t="shared" si="462"/>
        <v>1778279.4100389241</v>
      </c>
      <c r="P543" s="34" t="str">
        <f t="shared" si="463"/>
        <v>16.3709677419355</v>
      </c>
      <c r="Q543" s="4" t="str">
        <f t="shared" si="464"/>
        <v>1+1643.55036513378i</v>
      </c>
      <c r="R543" s="4">
        <f t="shared" si="475"/>
        <v>1643.5506693532088</v>
      </c>
      <c r="S543" s="4">
        <f t="shared" si="476"/>
        <v>1.5701878879555311</v>
      </c>
      <c r="T543" s="4" t="str">
        <f t="shared" si="465"/>
        <v>1+1.78772144979464i</v>
      </c>
      <c r="U543" s="4">
        <f t="shared" si="477"/>
        <v>2.0484013234851832</v>
      </c>
      <c r="V543" s="4">
        <f t="shared" si="478"/>
        <v>1.0607867719819506</v>
      </c>
      <c r="W543" t="str">
        <f t="shared" si="466"/>
        <v>1-23.3954363200166i</v>
      </c>
      <c r="X543" s="4">
        <f t="shared" si="479"/>
        <v>23.416798256891397</v>
      </c>
      <c r="Y543" s="4">
        <f t="shared" si="480"/>
        <v>-1.5280789500283904</v>
      </c>
      <c r="Z543" t="str">
        <f t="shared" si="467"/>
        <v>-1.73642198824737+4.60747526415641i</v>
      </c>
      <c r="AA543" s="4">
        <f t="shared" si="481"/>
        <v>4.9238186025768789</v>
      </c>
      <c r="AB543" s="4">
        <f t="shared" si="482"/>
        <v>1.9312059697102451</v>
      </c>
      <c r="AC543" s="48" t="str">
        <f t="shared" si="483"/>
        <v>-0.0656949299350906+0.0714150768501116i</v>
      </c>
      <c r="AD543" s="20">
        <f t="shared" si="484"/>
        <v>-20.261364549714362</v>
      </c>
      <c r="AE543" s="44">
        <f t="shared" si="485"/>
        <v>132.61103994118409</v>
      </c>
      <c r="AF543" t="str">
        <f t="shared" si="486"/>
        <v>45.9520231294187</v>
      </c>
      <c r="AG543" t="str">
        <f t="shared" si="468"/>
        <v>1+788.70063961528i</v>
      </c>
      <c r="AH543">
        <f t="shared" si="487"/>
        <v>788.70127356911996</v>
      </c>
      <c r="AI543">
        <f t="shared" si="488"/>
        <v>1.5695284192848626</v>
      </c>
      <c r="AJ543" t="str">
        <f t="shared" si="469"/>
        <v>1+1.78772144979464i</v>
      </c>
      <c r="AK543">
        <f t="shared" si="489"/>
        <v>2.0484013234851832</v>
      </c>
      <c r="AL543">
        <f t="shared" si="490"/>
        <v>1.0607867719819506</v>
      </c>
      <c r="AM543" t="str">
        <f t="shared" si="470"/>
        <v>1-3.9997190144098i</v>
      </c>
      <c r="AN543">
        <f t="shared" si="491"/>
        <v>4.1228330301179188</v>
      </c>
      <c r="AO543">
        <f t="shared" si="492"/>
        <v>-1.3258011340110585</v>
      </c>
      <c r="AP543" s="42" t="str">
        <f t="shared" si="493"/>
        <v>-0.128275203762527-0.475027997128395i</v>
      </c>
      <c r="AQ543">
        <f t="shared" si="494"/>
        <v>-6.1599422156493491</v>
      </c>
      <c r="AR543" s="44">
        <f t="shared" si="495"/>
        <v>-105.11155870548208</v>
      </c>
      <c r="AS543" t="str">
        <f t="shared" si="471"/>
        <v>-0.000166666666666667</v>
      </c>
      <c r="AT543" t="str">
        <f t="shared" si="472"/>
        <v>0.141006529352553i</v>
      </c>
      <c r="AU543">
        <f t="shared" si="496"/>
        <v>0.14100652935255301</v>
      </c>
      <c r="AV543">
        <f t="shared" si="497"/>
        <v>1.5707963267948966</v>
      </c>
      <c r="AW543" t="str">
        <f t="shared" si="473"/>
        <v>1+25.6896422282297i</v>
      </c>
      <c r="AX543">
        <f t="shared" si="498"/>
        <v>25.709097958007835</v>
      </c>
      <c r="AY543">
        <f t="shared" si="499"/>
        <v>1.5318897757827425</v>
      </c>
      <c r="AZ543" t="str">
        <f t="shared" si="474"/>
        <v>1+522.908524064931i</v>
      </c>
      <c r="BA543">
        <f t="shared" si="500"/>
        <v>522.90948025424495</v>
      </c>
      <c r="BB543">
        <f t="shared" si="501"/>
        <v>1.5688839487499515</v>
      </c>
      <c r="BC543" s="42" t="str">
        <f t="shared" si="502"/>
        <v>-0.0008891672552116+0.0240243670299482i</v>
      </c>
      <c r="BD543">
        <f t="shared" si="503"/>
        <v>-32.381015942198729</v>
      </c>
      <c r="BE543" s="44">
        <f t="shared" si="504"/>
        <v>92.119609977598031</v>
      </c>
      <c r="BF543" s="42" t="str">
        <f t="shared" si="505"/>
        <v>-0.00165728823718734-0.00164177905663089i</v>
      </c>
      <c r="BG543" s="20">
        <f t="shared" si="506"/>
        <v>-52.642380491913073</v>
      </c>
      <c r="BH543" s="44">
        <f t="shared" si="507"/>
        <v>-135.26935008121788</v>
      </c>
      <c r="BI543" s="42" t="str">
        <f t="shared" si="460"/>
        <v>0.011526305063355-0.00265935123567702i</v>
      </c>
      <c r="BJ543" s="20">
        <f t="shared" si="508"/>
        <v>-38.540958157848067</v>
      </c>
      <c r="BK543" s="44">
        <f t="shared" si="461"/>
        <v>-12.991948727884013</v>
      </c>
      <c r="BL543">
        <f t="shared" si="509"/>
        <v>-52.642380491913073</v>
      </c>
      <c r="BM543" s="44">
        <f t="shared" si="510"/>
        <v>-135.26935008121788</v>
      </c>
    </row>
    <row r="544" spans="14:65" x14ac:dyDescent="0.35">
      <c r="N544" s="9">
        <v>26</v>
      </c>
      <c r="O544" s="35">
        <f t="shared" si="462"/>
        <v>1819700.8586099846</v>
      </c>
      <c r="P544" s="34" t="str">
        <f t="shared" si="463"/>
        <v>16.3709677419355</v>
      </c>
      <c r="Q544" s="4" t="str">
        <f t="shared" si="464"/>
        <v>1+1681.83357110188i</v>
      </c>
      <c r="R544" s="4">
        <f t="shared" si="475"/>
        <v>1681.8338683964305</v>
      </c>
      <c r="S544" s="4">
        <f t="shared" si="476"/>
        <v>1.5702017377110913</v>
      </c>
      <c r="T544" s="4" t="str">
        <f t="shared" si="465"/>
        <v>1+1.82936283172485i</v>
      </c>
      <c r="U544" s="4">
        <f t="shared" si="477"/>
        <v>2.0848425288487284</v>
      </c>
      <c r="V544" s="4">
        <f t="shared" si="478"/>
        <v>1.0705376497069494</v>
      </c>
      <c r="W544" t="str">
        <f t="shared" si="466"/>
        <v>1-23.9403860376236i</v>
      </c>
      <c r="X544" s="4">
        <f t="shared" si="479"/>
        <v>23.96126214602317</v>
      </c>
      <c r="Y544" s="4">
        <f t="shared" si="480"/>
        <v>-1.5290501737812325</v>
      </c>
      <c r="Z544" t="str">
        <f t="shared" si="467"/>
        <v>-1.86538558340802+4.71479714991818i</v>
      </c>
      <c r="AA544" s="4">
        <f t="shared" si="481"/>
        <v>5.0704019110582426</v>
      </c>
      <c r="AB544" s="4">
        <f t="shared" si="482"/>
        <v>1.9475427034322073</v>
      </c>
      <c r="AC544" s="48" t="str">
        <f t="shared" si="483"/>
        <v>-0.0643917595588698+0.0710708870147785i</v>
      </c>
      <c r="AD544" s="20">
        <f t="shared" si="484"/>
        <v>-20.363363570810332</v>
      </c>
      <c r="AE544" s="44">
        <f t="shared" si="485"/>
        <v>132.17725763353559</v>
      </c>
      <c r="AF544" t="str">
        <f t="shared" si="486"/>
        <v>45.9520231294187</v>
      </c>
      <c r="AG544" t="str">
        <f t="shared" si="468"/>
        <v>1+807.071837525666i</v>
      </c>
      <c r="AH544">
        <f t="shared" si="487"/>
        <v>807.07245704896582</v>
      </c>
      <c r="AI544">
        <f t="shared" si="488"/>
        <v>1.569557280353479</v>
      </c>
      <c r="AJ544" t="str">
        <f t="shared" si="469"/>
        <v>1+1.82936283172485i</v>
      </c>
      <c r="AK544">
        <f t="shared" si="489"/>
        <v>2.0848425288487284</v>
      </c>
      <c r="AL544">
        <f t="shared" si="490"/>
        <v>1.0705376497069494</v>
      </c>
      <c r="AM544" t="str">
        <f t="shared" si="470"/>
        <v>1-4.09288443853764i</v>
      </c>
      <c r="AN544">
        <f t="shared" si="491"/>
        <v>4.2132769938877228</v>
      </c>
      <c r="AO544">
        <f t="shared" si="492"/>
        <v>-1.3311645451409546</v>
      </c>
      <c r="AP544" s="42" t="str">
        <f t="shared" si="493"/>
        <v>-0.128278537829269-0.483401989226332i</v>
      </c>
      <c r="AQ544">
        <f t="shared" si="494"/>
        <v>-6.0182923996679243</v>
      </c>
      <c r="AR544" s="44">
        <f t="shared" si="495"/>
        <v>-104.86182900425196</v>
      </c>
      <c r="AS544" t="str">
        <f t="shared" si="471"/>
        <v>-0.000166666666666667</v>
      </c>
      <c r="AT544" t="str">
        <f t="shared" si="472"/>
        <v>0.144290993352298i</v>
      </c>
      <c r="AU544">
        <f t="shared" si="496"/>
        <v>0.144290993352298</v>
      </c>
      <c r="AV544">
        <f t="shared" si="497"/>
        <v>1.5707963267948966</v>
      </c>
      <c r="AW544" t="str">
        <f t="shared" si="473"/>
        <v>1+26.2880308663472i</v>
      </c>
      <c r="AX544">
        <f t="shared" si="498"/>
        <v>26.307044053447417</v>
      </c>
      <c r="AY544">
        <f t="shared" si="499"/>
        <v>1.5327745337951999</v>
      </c>
      <c r="AZ544" t="str">
        <f t="shared" si="474"/>
        <v>1+535.088628279517i</v>
      </c>
      <c r="BA544">
        <f t="shared" si="500"/>
        <v>535.08956270334329</v>
      </c>
      <c r="BB544">
        <f t="shared" si="501"/>
        <v>1.5689274796862998</v>
      </c>
      <c r="BC544" s="42" t="str">
        <f t="shared" si="502"/>
        <v>-0.000849205962495388+0.0234790258041692i</v>
      </c>
      <c r="BD544">
        <f t="shared" si="503"/>
        <v>-32.580720917450122</v>
      </c>
      <c r="BE544" s="44">
        <f t="shared" si="504"/>
        <v>92.071411216524865</v>
      </c>
      <c r="BF544" s="42" t="str">
        <f t="shared" si="505"/>
        <v>-0.00161399332399222-0.00157220960527135i</v>
      </c>
      <c r="BG544" s="20">
        <f t="shared" si="506"/>
        <v>-52.944084488260437</v>
      </c>
      <c r="BH544" s="44">
        <f t="shared" si="507"/>
        <v>-135.7513311499396</v>
      </c>
      <c r="BI544" s="42" t="str">
        <f t="shared" si="460"/>
        <v>0.0114587426780166-0.00260134724828137i</v>
      </c>
      <c r="BJ544" s="20">
        <f t="shared" si="508"/>
        <v>-38.599013317118029</v>
      </c>
      <c r="BK544" s="44">
        <f t="shared" si="461"/>
        <v>-12.790417787727071</v>
      </c>
      <c r="BL544">
        <f t="shared" si="509"/>
        <v>-52.944084488260437</v>
      </c>
      <c r="BM544" s="44">
        <f t="shared" si="510"/>
        <v>-135.7513311499396</v>
      </c>
    </row>
    <row r="545" spans="14:65" x14ac:dyDescent="0.35">
      <c r="N545" s="9">
        <v>27</v>
      </c>
      <c r="O545" s="35">
        <f t="shared" si="462"/>
        <v>1862087.1366628683</v>
      </c>
      <c r="P545" s="34" t="str">
        <f t="shared" si="463"/>
        <v>16.3709677419355</v>
      </c>
      <c r="Q545" s="4" t="str">
        <f t="shared" si="464"/>
        <v>1+1721.00850749106i</v>
      </c>
      <c r="R545" s="4">
        <f t="shared" si="475"/>
        <v>1721.0087980183616</v>
      </c>
      <c r="S545" s="4">
        <f t="shared" si="476"/>
        <v>1.5702152722079461</v>
      </c>
      <c r="T545" s="4" t="str">
        <f t="shared" si="465"/>
        <v>1+1.87197416604291i</v>
      </c>
      <c r="U545" s="4">
        <f t="shared" si="477"/>
        <v>2.122330624179948</v>
      </c>
      <c r="V545" s="4">
        <f t="shared" si="478"/>
        <v>1.0801680768157298</v>
      </c>
      <c r="W545" t="str">
        <f t="shared" si="466"/>
        <v>1-24.4980292647963i</v>
      </c>
      <c r="X545" s="4">
        <f t="shared" si="479"/>
        <v>24.518430574953531</v>
      </c>
      <c r="Y545" s="4">
        <f t="shared" si="480"/>
        <v>-1.5299993659337254</v>
      </c>
      <c r="Z545" t="str">
        <f t="shared" si="467"/>
        <v>-2.00042704556002+4.82461888353654i</v>
      </c>
      <c r="AA545" s="4">
        <f t="shared" si="481"/>
        <v>5.2228972549711683</v>
      </c>
      <c r="AB545" s="4">
        <f t="shared" si="482"/>
        <v>1.9638499798011027</v>
      </c>
      <c r="AC545" s="48" t="str">
        <f t="shared" si="483"/>
        <v>-0.0630948214786267+0.0707177530569666i</v>
      </c>
      <c r="AD545" s="20">
        <f t="shared" si="484"/>
        <v>-20.466290238130703</v>
      </c>
      <c r="AE545" s="44">
        <f t="shared" si="485"/>
        <v>131.73954217665354</v>
      </c>
      <c r="AF545" t="str">
        <f t="shared" si="486"/>
        <v>45.9520231294187</v>
      </c>
      <c r="AG545" t="str">
        <f t="shared" si="468"/>
        <v>1+825.870955607165i</v>
      </c>
      <c r="AH545">
        <f t="shared" si="487"/>
        <v>825.87156102840333</v>
      </c>
      <c r="AI545">
        <f t="shared" si="488"/>
        <v>1.569585484465962</v>
      </c>
      <c r="AJ545" t="str">
        <f t="shared" si="469"/>
        <v>1+1.87197416604291i</v>
      </c>
      <c r="AK545">
        <f t="shared" si="489"/>
        <v>2.122330624179948</v>
      </c>
      <c r="AL545">
        <f t="shared" si="490"/>
        <v>1.0801680768157298</v>
      </c>
      <c r="AM545" t="str">
        <f t="shared" si="470"/>
        <v>1-4.18821996417051i</v>
      </c>
      <c r="AN545">
        <f t="shared" si="491"/>
        <v>4.3059478013877994</v>
      </c>
      <c r="AO545">
        <f t="shared" si="492"/>
        <v>-1.3364194879210785</v>
      </c>
      <c r="AP545" s="42" t="str">
        <f t="shared" si="493"/>
        <v>-0.12828172183874-0.492032287085581i</v>
      </c>
      <c r="AQ545">
        <f t="shared" si="494"/>
        <v>-5.8745214599114846</v>
      </c>
      <c r="AR545" s="44">
        <f t="shared" si="495"/>
        <v>-104.61274819550451</v>
      </c>
      <c r="AS545" t="str">
        <f t="shared" si="471"/>
        <v>-0.000166666666666667</v>
      </c>
      <c r="AT545" t="str">
        <f t="shared" si="472"/>
        <v>0.147651962346635i</v>
      </c>
      <c r="AU545">
        <f t="shared" si="496"/>
        <v>0.147651962346635</v>
      </c>
      <c r="AV545">
        <f t="shared" si="497"/>
        <v>1.5707963267948966</v>
      </c>
      <c r="AW545" t="str">
        <f t="shared" si="473"/>
        <v>1+26.9003577663932i</v>
      </c>
      <c r="AX545">
        <f t="shared" si="498"/>
        <v>26.918938462724544</v>
      </c>
      <c r="AY545">
        <f t="shared" si="499"/>
        <v>1.5336392098078155</v>
      </c>
      <c r="AZ545" t="str">
        <f t="shared" si="474"/>
        <v>1+547.552443567551i</v>
      </c>
      <c r="BA545">
        <f t="shared" si="500"/>
        <v>547.55335672133003</v>
      </c>
      <c r="BB545">
        <f t="shared" si="501"/>
        <v>1.5689700197444063</v>
      </c>
      <c r="BC545" s="42" t="str">
        <f t="shared" si="502"/>
        <v>-0.000811038143180878+0.022945996786787i</v>
      </c>
      <c r="BD545">
        <f t="shared" si="503"/>
        <v>-32.780439152201659</v>
      </c>
      <c r="BE545" s="44">
        <f t="shared" si="504"/>
        <v>92.024306296145525</v>
      </c>
      <c r="BF545" s="42" t="str">
        <f t="shared" si="505"/>
        <v>-0.0015715170275576-0.00150512836604071i</v>
      </c>
      <c r="BG545" s="20">
        <f t="shared" si="506"/>
        <v>-53.246729390332362</v>
      </c>
      <c r="BH545" s="44">
        <f t="shared" si="507"/>
        <v>-136.23615152720103</v>
      </c>
      <c r="BI545" s="42" t="str">
        <f t="shared" si="460"/>
        <v>0.0113942126479453-0.0025444950246123i</v>
      </c>
      <c r="BJ545" s="20">
        <f t="shared" si="508"/>
        <v>-38.654960612113172</v>
      </c>
      <c r="BK545" s="44">
        <f t="shared" si="461"/>
        <v>-12.588441899359012</v>
      </c>
      <c r="BL545">
        <f t="shared" si="509"/>
        <v>-53.246729390332362</v>
      </c>
      <c r="BM545" s="44">
        <f t="shared" si="510"/>
        <v>-136.23615152720103</v>
      </c>
    </row>
    <row r="546" spans="14:65" x14ac:dyDescent="0.35">
      <c r="N546" s="9">
        <v>28</v>
      </c>
      <c r="O546" s="35">
        <f t="shared" si="462"/>
        <v>1905460.7179632513</v>
      </c>
      <c r="P546" s="34" t="str">
        <f t="shared" si="463"/>
        <v>16.3709677419355</v>
      </c>
      <c r="Q546" s="4" t="str">
        <f t="shared" si="464"/>
        <v>1+1761.09594537118i</v>
      </c>
      <c r="R546" s="4">
        <f t="shared" si="475"/>
        <v>1761.0962292852739</v>
      </c>
      <c r="S546" s="4">
        <f t="shared" si="476"/>
        <v>1.5702284986222452</v>
      </c>
      <c r="T546" s="4" t="str">
        <f t="shared" si="465"/>
        <v>1+1.91557804584234i</v>
      </c>
      <c r="U546" s="4">
        <f t="shared" si="477"/>
        <v>2.1608885324590803</v>
      </c>
      <c r="V546" s="4">
        <f t="shared" si="478"/>
        <v>1.0896760132965897</v>
      </c>
      <c r="W546" t="str">
        <f t="shared" si="466"/>
        <v>1-25.068661671355i</v>
      </c>
      <c r="X546" s="4">
        <f t="shared" si="479"/>
        <v>25.088598964327666</v>
      </c>
      <c r="Y546" s="4">
        <f t="shared" si="480"/>
        <v>-1.5309270229146958</v>
      </c>
      <c r="Z546" t="str">
        <f t="shared" si="467"/>
        <v>-2.14183281574997+4.93699869394838i</v>
      </c>
      <c r="AA546" s="4">
        <f t="shared" si="481"/>
        <v>5.3815800574433021</v>
      </c>
      <c r="AB546" s="4">
        <f t="shared" si="482"/>
        <v>1.9801247289422887</v>
      </c>
      <c r="AC546" s="48" t="str">
        <f t="shared" si="483"/>
        <v>-0.0618041094300688+0.0703552831933829i</v>
      </c>
      <c r="AD546" s="20">
        <f t="shared" si="484"/>
        <v>-20.570195310830456</v>
      </c>
      <c r="AE546" s="44">
        <f t="shared" si="485"/>
        <v>131.29792372289825</v>
      </c>
      <c r="AF546" t="str">
        <f t="shared" si="486"/>
        <v>45.9520231294187</v>
      </c>
      <c r="AG546" t="str">
        <f t="shared" si="468"/>
        <v>1+845.107961401029i</v>
      </c>
      <c r="AH546">
        <f t="shared" si="487"/>
        <v>845.10855304120719</v>
      </c>
      <c r="AI546">
        <f t="shared" si="488"/>
        <v>1.5696130465763258</v>
      </c>
      <c r="AJ546" t="str">
        <f t="shared" si="469"/>
        <v>1+1.91557804584234i</v>
      </c>
      <c r="AK546">
        <f t="shared" si="489"/>
        <v>2.1608885324590803</v>
      </c>
      <c r="AL546">
        <f t="shared" si="490"/>
        <v>1.0896760132965897</v>
      </c>
      <c r="AM546" t="str">
        <f t="shared" si="470"/>
        <v>1-4.28577613946607i</v>
      </c>
      <c r="AN546">
        <f t="shared" si="491"/>
        <v>4.400895035969012</v>
      </c>
      <c r="AO546">
        <f t="shared" si="492"/>
        <v>-1.3415675871873995</v>
      </c>
      <c r="AP546" s="42" t="str">
        <f t="shared" si="493"/>
        <v>-0.128284762544589-0.500923466629136i</v>
      </c>
      <c r="AQ546">
        <f t="shared" si="494"/>
        <v>-5.7286896996868339</v>
      </c>
      <c r="AR546" s="44">
        <f t="shared" si="495"/>
        <v>-104.36452711634571</v>
      </c>
      <c r="AS546" t="str">
        <f t="shared" si="471"/>
        <v>-0.000166666666666667</v>
      </c>
      <c r="AT546" t="str">
        <f t="shared" si="472"/>
        <v>0.151091218365814i</v>
      </c>
      <c r="AU546">
        <f t="shared" si="496"/>
        <v>0.15109121836581399</v>
      </c>
      <c r="AV546">
        <f t="shared" si="497"/>
        <v>1.5707963267948966</v>
      </c>
      <c r="AW546" t="str">
        <f t="shared" si="473"/>
        <v>1+27.5269475921956i</v>
      </c>
      <c r="AX546">
        <f t="shared" si="498"/>
        <v>27.545105622296735</v>
      </c>
      <c r="AY546">
        <f t="shared" si="499"/>
        <v>1.5344842571084041</v>
      </c>
      <c r="AZ546" t="str">
        <f t="shared" si="474"/>
        <v>1+560.306578408883i</v>
      </c>
      <c r="BA546">
        <f t="shared" si="500"/>
        <v>560.30747077677779</v>
      </c>
      <c r="BB546">
        <f t="shared" si="501"/>
        <v>1.5690115914789569</v>
      </c>
      <c r="BC546" s="42" t="str">
        <f t="shared" si="502"/>
        <v>-0.000774583523840037+0.0224250064567799i</v>
      </c>
      <c r="BD546">
        <f t="shared" si="503"/>
        <v>-32.980170051329651</v>
      </c>
      <c r="BE546" s="44">
        <f t="shared" si="504"/>
        <v>91.978270537269651</v>
      </c>
      <c r="BF546" s="42" t="str">
        <f t="shared" si="505"/>
        <v>-0.00152984523501005-0.00144045359620152i</v>
      </c>
      <c r="BG546" s="20">
        <f t="shared" si="506"/>
        <v>-53.550365362160107</v>
      </c>
      <c r="BH546" s="44">
        <f t="shared" si="507"/>
        <v>-136.72380573983204</v>
      </c>
      <c r="BI546" s="42" t="str">
        <f t="shared" si="460"/>
        <v>0.0113325792369377-0.00248877956441312i</v>
      </c>
      <c r="BJ546" s="20">
        <f t="shared" si="508"/>
        <v>-38.708859751016497</v>
      </c>
      <c r="BK546" s="44">
        <f t="shared" si="461"/>
        <v>-12.386256579076081</v>
      </c>
      <c r="BL546">
        <f t="shared" si="509"/>
        <v>-53.550365362160107</v>
      </c>
      <c r="BM546" s="44">
        <f t="shared" si="510"/>
        <v>-136.72380573983204</v>
      </c>
    </row>
    <row r="547" spans="14:65" x14ac:dyDescent="0.35">
      <c r="N547" s="9">
        <v>29</v>
      </c>
      <c r="O547" s="35">
        <f t="shared" si="462"/>
        <v>1949844.5997580495</v>
      </c>
      <c r="P547" s="34" t="str">
        <f t="shared" si="463"/>
        <v>16.3709677419355</v>
      </c>
      <c r="Q547" s="4" t="str">
        <f t="shared" si="464"/>
        <v>1+1802.11713963237i</v>
      </c>
      <c r="R547" s="4">
        <f t="shared" si="475"/>
        <v>1802.1174170837912</v>
      </c>
      <c r="S547" s="4">
        <f t="shared" si="476"/>
        <v>1.5702414239667903</v>
      </c>
      <c r="T547" s="4" t="str">
        <f t="shared" si="465"/>
        <v>1+1.96019759047731i</v>
      </c>
      <c r="U547" s="4">
        <f t="shared" si="477"/>
        <v>2.2005396142112623</v>
      </c>
      <c r="V547" s="4">
        <f t="shared" si="478"/>
        <v>1.0990596233374805</v>
      </c>
      <c r="W547" t="str">
        <f t="shared" si="466"/>
        <v>1-25.6525858141546i</v>
      </c>
      <c r="X547" s="4">
        <f t="shared" si="479"/>
        <v>25.672069627370636</v>
      </c>
      <c r="Y547" s="4">
        <f t="shared" si="480"/>
        <v>-1.5318336301901694</v>
      </c>
      <c r="Z547" t="str">
        <f t="shared" si="467"/>
        <v>-2.28990283457488+5.05199616641658i</v>
      </c>
      <c r="AA547" s="4">
        <f t="shared" si="481"/>
        <v>5.5467396060462306</v>
      </c>
      <c r="AB547" s="4">
        <f t="shared" si="482"/>
        <v>1.996363717494599</v>
      </c>
      <c r="AC547" s="48" t="str">
        <f t="shared" si="483"/>
        <v>-0.0605196741600613+0.0699830866775889i</v>
      </c>
      <c r="AD547" s="20">
        <f t="shared" si="484"/>
        <v>-20.675128727863004</v>
      </c>
      <c r="AE547" s="44">
        <f t="shared" si="485"/>
        <v>130.8524541289776</v>
      </c>
      <c r="AF547" t="str">
        <f t="shared" si="486"/>
        <v>45.9520231294187</v>
      </c>
      <c r="AG547" t="str">
        <f t="shared" si="468"/>
        <v>1+864.793054622341i</v>
      </c>
      <c r="AH547">
        <f t="shared" si="487"/>
        <v>864.7936327951536</v>
      </c>
      <c r="AI547">
        <f t="shared" si="488"/>
        <v>1.5696399812981985</v>
      </c>
      <c r="AJ547" t="str">
        <f t="shared" si="469"/>
        <v>1+1.96019759047731i</v>
      </c>
      <c r="AK547">
        <f t="shared" si="489"/>
        <v>2.2005396142112623</v>
      </c>
      <c r="AL547">
        <f t="shared" si="490"/>
        <v>1.0990596233374805</v>
      </c>
      <c r="AM547" t="str">
        <f t="shared" si="470"/>
        <v>1-4.38560468999967i</v>
      </c>
      <c r="AN547">
        <f t="shared" si="491"/>
        <v>4.4981694606747649</v>
      </c>
      <c r="AO547">
        <f t="shared" si="492"/>
        <v>-1.3466104805304107</v>
      </c>
      <c r="AP547" s="42" t="str">
        <f t="shared" si="493"/>
        <v>-0.128287666396507-0.510080242101238i</v>
      </c>
      <c r="AQ547">
        <f t="shared" si="494"/>
        <v>-5.5808568541600279</v>
      </c>
      <c r="AR547" s="44">
        <f t="shared" si="495"/>
        <v>-104.11736561538096</v>
      </c>
      <c r="AS547" t="str">
        <f t="shared" si="471"/>
        <v>-0.000166666666666667</v>
      </c>
      <c r="AT547" t="str">
        <f t="shared" si="472"/>
        <v>0.154610584948898i</v>
      </c>
      <c r="AU547">
        <f t="shared" si="496"/>
        <v>0.15461058494889801</v>
      </c>
      <c r="AV547">
        <f t="shared" si="497"/>
        <v>1.5707963267948966</v>
      </c>
      <c r="AW547" t="str">
        <f t="shared" si="473"/>
        <v>1+28.1681325699731i</v>
      </c>
      <c r="AX547">
        <f t="shared" si="498"/>
        <v>28.185877536092068</v>
      </c>
      <c r="AY547">
        <f t="shared" si="499"/>
        <v>1.535310118921853</v>
      </c>
      <c r="AZ547" t="str">
        <f t="shared" si="474"/>
        <v>1+573.357795214613i</v>
      </c>
      <c r="BA547">
        <f t="shared" si="500"/>
        <v>573.35866726976599</v>
      </c>
      <c r="BB547">
        <f t="shared" si="501"/>
        <v>1.56905221693126</v>
      </c>
      <c r="BC547" s="42" t="str">
        <f t="shared" si="502"/>
        <v>-0.00073976540480256+0.0219157870716472i</v>
      </c>
      <c r="BD547">
        <f t="shared" si="503"/>
        <v>-33.179913046350222</v>
      </c>
      <c r="BE547" s="44">
        <f t="shared" si="504"/>
        <v>91.933279807855797</v>
      </c>
      <c r="BF547" s="42" t="str">
        <f t="shared" si="505"/>
        <v>-0.00148896406498913-0.00137810735898275i</v>
      </c>
      <c r="BG547" s="20">
        <f t="shared" si="506"/>
        <v>-53.855041774213241</v>
      </c>
      <c r="BH547" s="44">
        <f t="shared" si="507"/>
        <v>-137.2142660631666</v>
      </c>
      <c r="BI547" s="42" t="str">
        <f t="shared" si="460"/>
        <v>0.011273712752808-0.00243418546388455i</v>
      </c>
      <c r="BJ547" s="20">
        <f t="shared" si="508"/>
        <v>-38.760769900510226</v>
      </c>
      <c r="BK547" s="44">
        <f t="shared" si="461"/>
        <v>-12.184085807525141</v>
      </c>
      <c r="BL547">
        <f t="shared" si="509"/>
        <v>-53.855041774213241</v>
      </c>
      <c r="BM547" s="44">
        <f t="shared" si="510"/>
        <v>-137.2142660631666</v>
      </c>
    </row>
    <row r="548" spans="14:65" x14ac:dyDescent="0.35">
      <c r="N548" s="9">
        <v>30</v>
      </c>
      <c r="O548" s="35">
        <f t="shared" si="462"/>
        <v>1995262.31496888</v>
      </c>
      <c r="P548" s="34" t="str">
        <f t="shared" si="463"/>
        <v>16.3709677419355</v>
      </c>
      <c r="Q548" s="4" t="str">
        <f t="shared" si="464"/>
        <v>1+1844.09384025484i</v>
      </c>
      <c r="R548" s="4">
        <f t="shared" si="475"/>
        <v>1844.0941113906965</v>
      </c>
      <c r="S548" s="4">
        <f t="shared" si="476"/>
        <v>1.5702540550947524</v>
      </c>
      <c r="T548" s="4" t="str">
        <f t="shared" si="465"/>
        <v>1+2.00585645782106i</v>
      </c>
      <c r="U548" s="4">
        <f t="shared" si="477"/>
        <v>2.2413076828901577</v>
      </c>
      <c r="V548" s="4">
        <f t="shared" si="478"/>
        <v>1.1083172713912215</v>
      </c>
      <c r="W548" t="str">
        <f t="shared" si="466"/>
        <v>1-26.2501112975051i</v>
      </c>
      <c r="X548" s="4">
        <f t="shared" si="479"/>
        <v>26.269151930189995</v>
      </c>
      <c r="Y548" s="4">
        <f t="shared" si="480"/>
        <v>-1.5327196624905333</v>
      </c>
      <c r="Z548" t="str">
        <f t="shared" si="467"/>
        <v>-2.44495117839694+5.16967227412333i</v>
      </c>
      <c r="AA548" s="4">
        <f t="shared" si="481"/>
        <v>5.7186797153350062</v>
      </c>
      <c r="AB548" s="4">
        <f t="shared" si="482"/>
        <v>2.0125635541800841</v>
      </c>
      <c r="AC548" s="48" t="str">
        <f t="shared" si="483"/>
        <v>-0.0592416222614172+0.0696007787609372i</v>
      </c>
      <c r="AD548" s="20">
        <f t="shared" si="484"/>
        <v>-20.78113939914639</v>
      </c>
      <c r="AE548" s="44">
        <f t="shared" si="485"/>
        <v>130.40320639814911</v>
      </c>
      <c r="AF548" t="str">
        <f t="shared" si="486"/>
        <v>45.9520231294187</v>
      </c>
      <c r="AG548" t="str">
        <f t="shared" si="468"/>
        <v>1+884.936672568111i</v>
      </c>
      <c r="AH548">
        <f t="shared" si="487"/>
        <v>884.93723758011231</v>
      </c>
      <c r="AI548">
        <f t="shared" si="488"/>
        <v>1.5696663029125699</v>
      </c>
      <c r="AJ548" t="str">
        <f t="shared" si="469"/>
        <v>1+2.00585645782106i</v>
      </c>
      <c r="AK548">
        <f t="shared" si="489"/>
        <v>2.2413076828901577</v>
      </c>
      <c r="AL548">
        <f t="shared" si="490"/>
        <v>1.1083172713912215</v>
      </c>
      <c r="AM548" t="str">
        <f t="shared" si="470"/>
        <v>1-4.48775854619027i</v>
      </c>
      <c r="AN548">
        <f t="shared" si="491"/>
        <v>4.5978230467150221</v>
      </c>
      <c r="AO548">
        <f t="shared" si="492"/>
        <v>-1.3515498153426428</v>
      </c>
      <c r="AP548" s="42" t="str">
        <f t="shared" si="493"/>
        <v>-0.128290439553899-0.519507468567078i</v>
      </c>
      <c r="AQ548">
        <f t="shared" si="494"/>
        <v>-5.4310820160014606</v>
      </c>
      <c r="AR548" s="44">
        <f t="shared" si="495"/>
        <v>-103.8714526094405</v>
      </c>
      <c r="AS548" t="str">
        <f t="shared" si="471"/>
        <v>-0.000166666666666667</v>
      </c>
      <c r="AT548" t="str">
        <f t="shared" si="472"/>
        <v>0.158211928110636i</v>
      </c>
      <c r="AU548">
        <f t="shared" si="496"/>
        <v>0.158211928110636</v>
      </c>
      <c r="AV548">
        <f t="shared" si="497"/>
        <v>1.5707963267948966</v>
      </c>
      <c r="AW548" t="str">
        <f t="shared" si="473"/>
        <v>1+28.8242526644888i</v>
      </c>
      <c r="AX548">
        <f t="shared" si="498"/>
        <v>28.841593951553538</v>
      </c>
      <c r="AY548">
        <f t="shared" si="499"/>
        <v>1.5361172286222371</v>
      </c>
      <c r="AZ548" t="str">
        <f t="shared" si="474"/>
        <v>1+586.713013912658i</v>
      </c>
      <c r="BA548">
        <f t="shared" si="500"/>
        <v>586.71386611744128</v>
      </c>
      <c r="BB548">
        <f t="shared" si="501"/>
        <v>1.5690919176409319</v>
      </c>
      <c r="BC548" s="42" t="str">
        <f t="shared" si="502"/>
        <v>-0.000706510502739206+0.0214180765655064i</v>
      </c>
      <c r="BD548">
        <f t="shared" si="503"/>
        <v>-33.379667594233162</v>
      </c>
      <c r="BE548" s="44">
        <f t="shared" si="504"/>
        <v>91.889310511527583</v>
      </c>
      <c r="BF548" s="42" t="str">
        <f t="shared" si="505"/>
        <v>-0.00144885998019362-0.00131801528265327i</v>
      </c>
      <c r="BG548" s="20">
        <f t="shared" si="506"/>
        <v>-54.160806993379573</v>
      </c>
      <c r="BH548" s="44">
        <f t="shared" si="507"/>
        <v>-137.70748309032325</v>
      </c>
      <c r="BI548" s="42" t="str">
        <f t="shared" si="460"/>
        <v>0.0112174892810679-0.00238069697419378i</v>
      </c>
      <c r="BJ548" s="20">
        <f t="shared" si="508"/>
        <v>-38.810749610234659</v>
      </c>
      <c r="BK548" s="44">
        <f t="shared" si="461"/>
        <v>-11.982142097912954</v>
      </c>
      <c r="BL548">
        <f t="shared" si="509"/>
        <v>-54.160806993379573</v>
      </c>
      <c r="BM548" s="44">
        <f t="shared" si="510"/>
        <v>-137.70748309032325</v>
      </c>
    </row>
    <row r="549" spans="14:65" x14ac:dyDescent="0.35">
      <c r="N549" s="9">
        <v>31</v>
      </c>
      <c r="O549" s="35">
        <f t="shared" si="462"/>
        <v>2041737.9446695296</v>
      </c>
      <c r="P549" s="34" t="str">
        <f t="shared" si="463"/>
        <v>16.3709677419355</v>
      </c>
      <c r="Q549" s="4" t="str">
        <f t="shared" si="464"/>
        <v>1+1887.04830384088i</v>
      </c>
      <c r="R549" s="4">
        <f t="shared" si="475"/>
        <v>1887.0485688049321</v>
      </c>
      <c r="S549" s="4">
        <f t="shared" si="476"/>
        <v>1.570266398703307</v>
      </c>
      <c r="T549" s="4" t="str">
        <f t="shared" si="465"/>
        <v>1+2.05257885680938i</v>
      </c>
      <c r="U549" s="4">
        <f t="shared" si="477"/>
        <v>2.283217020657673</v>
      </c>
      <c r="V549" s="4">
        <f t="shared" si="478"/>
        <v>1.1174475177166847</v>
      </c>
      <c r="W549" t="str">
        <f t="shared" si="466"/>
        <v>1-26.8615549373268i</v>
      </c>
      <c r="X549" s="4">
        <f t="shared" si="479"/>
        <v>26.880162455815366</v>
      </c>
      <c r="Y549" s="4">
        <f t="shared" si="480"/>
        <v>-1.5335855840340054</v>
      </c>
      <c r="Z549" t="str">
        <f t="shared" si="467"/>
        <v>-2.607306725541+5.2900894104985i</v>
      </c>
      <c r="AA549" s="4">
        <f t="shared" si="481"/>
        <v>5.8977194178868579</v>
      </c>
      <c r="AB549" s="4">
        <f t="shared" si="482"/>
        <v>2.0287206965121487</v>
      </c>
      <c r="AC549" s="48" t="str">
        <f t="shared" si="483"/>
        <v>-0.0579701146056453+0.0692079855090064i</v>
      </c>
      <c r="AD549" s="20">
        <f t="shared" si="484"/>
        <v>-20.888275005110263</v>
      </c>
      <c r="AE549" s="44">
        <f t="shared" si="485"/>
        <v>129.95027402738901</v>
      </c>
      <c r="AF549" t="str">
        <f t="shared" si="486"/>
        <v>45.9520231294187</v>
      </c>
      <c r="AG549" t="str">
        <f t="shared" si="468"/>
        <v>1+905.549495651193i</v>
      </c>
      <c r="AH549">
        <f t="shared" si="487"/>
        <v>905.55004780195884</v>
      </c>
      <c r="AI549">
        <f t="shared" si="488"/>
        <v>1.5696920253753623</v>
      </c>
      <c r="AJ549" t="str">
        <f t="shared" si="469"/>
        <v>1+2.05257885680938i</v>
      </c>
      <c r="AK549">
        <f t="shared" si="489"/>
        <v>2.283217020657673</v>
      </c>
      <c r="AL549">
        <f t="shared" si="490"/>
        <v>1.1174475177166847</v>
      </c>
      <c r="AM549" t="str">
        <f t="shared" si="470"/>
        <v>1-4.59229187136456i</v>
      </c>
      <c r="AN549">
        <f t="shared" si="491"/>
        <v>4.699909002502177</v>
      </c>
      <c r="AO549">
        <f t="shared" si="492"/>
        <v>-1.3563872460479087</v>
      </c>
      <c r="AP549" s="42" t="str">
        <f t="shared" si="493"/>
        <v>-0.128293087898961-0.52921014448709i</v>
      </c>
      <c r="AQ549">
        <f t="shared" si="494"/>
        <v>-5.2794235659211477</v>
      </c>
      <c r="AR549" s="44">
        <f t="shared" si="495"/>
        <v>-103.62696618073198</v>
      </c>
      <c r="AS549" t="str">
        <f t="shared" si="471"/>
        <v>-0.000166666666666667</v>
      </c>
      <c r="AT549" t="str">
        <f t="shared" si="472"/>
        <v>0.16189715733084i</v>
      </c>
      <c r="AU549">
        <f t="shared" si="496"/>
        <v>0.16189715733084001</v>
      </c>
      <c r="AV549">
        <f t="shared" si="497"/>
        <v>1.5707963267948966</v>
      </c>
      <c r="AW549" t="str">
        <f t="shared" si="473"/>
        <v>1+29.4956557593012i</v>
      </c>
      <c r="AX549">
        <f t="shared" si="498"/>
        <v>29.512602539782865</v>
      </c>
      <c r="AY549">
        <f t="shared" si="499"/>
        <v>1.5369060099412217</v>
      </c>
      <c r="AZ549" t="str">
        <f t="shared" si="474"/>
        <v>1+600.379315616742i</v>
      </c>
      <c r="BA549">
        <f t="shared" si="500"/>
        <v>600.38014842300333</v>
      </c>
      <c r="BB549">
        <f t="shared" si="501"/>
        <v>1.5691307146573132</v>
      </c>
      <c r="BC549" s="42" t="str">
        <f t="shared" si="502"/>
        <v>-0.00067474880003049+0.0209316184475587i</v>
      </c>
      <c r="BD549">
        <f t="shared" si="503"/>
        <v>-33.579433176267827</v>
      </c>
      <c r="BE549" s="44">
        <f t="shared" si="504"/>
        <v>91.846339576287377</v>
      </c>
      <c r="BF549" s="42" t="str">
        <f t="shared" si="505"/>
        <v>-0.0014095198809309-0.00126010632546135i</v>
      </c>
      <c r="BG549" s="20">
        <f t="shared" si="506"/>
        <v>-54.4677081813781</v>
      </c>
      <c r="BH549" s="44">
        <f t="shared" si="507"/>
        <v>-138.20338639632342</v>
      </c>
      <c r="BI549" s="42" t="str">
        <f t="shared" si="460"/>
        <v>0.0111637904300932-0.00232829805540354i</v>
      </c>
      <c r="BJ549" s="20">
        <f t="shared" si="508"/>
        <v>-38.858856742188983</v>
      </c>
      <c r="BK549" s="44">
        <f t="shared" si="461"/>
        <v>-11.780626604444643</v>
      </c>
      <c r="BL549">
        <f t="shared" si="509"/>
        <v>-54.4677081813781</v>
      </c>
      <c r="BM549" s="44">
        <f t="shared" si="510"/>
        <v>-138.20338639632342</v>
      </c>
    </row>
    <row r="550" spans="14:65" x14ac:dyDescent="0.35">
      <c r="N550" s="9">
        <v>32</v>
      </c>
      <c r="O550" s="35">
        <f t="shared" si="462"/>
        <v>2089296.1308540432</v>
      </c>
      <c r="P550" s="34" t="str">
        <f t="shared" si="463"/>
        <v>16.3709677419355</v>
      </c>
      <c r="Q550" s="4" t="str">
        <f t="shared" si="464"/>
        <v>1+1931.00330541566i</v>
      </c>
      <c r="R550" s="4">
        <f t="shared" si="475"/>
        <v>1931.0035643483948</v>
      </c>
      <c r="S550" s="4">
        <f t="shared" si="476"/>
        <v>1.5702784613371832</v>
      </c>
      <c r="T550" s="4" t="str">
        <f t="shared" si="465"/>
        <v>1+2.10038956027669i</v>
      </c>
      <c r="U550" s="4">
        <f t="shared" si="477"/>
        <v>2.3262923945453005</v>
      </c>
      <c r="V550" s="4">
        <f t="shared" si="478"/>
        <v>1.1264491134515278</v>
      </c>
      <c r="W550" t="str">
        <f t="shared" si="466"/>
        <v>1-27.4872409291311i</v>
      </c>
      <c r="X550" s="4">
        <f t="shared" si="479"/>
        <v>27.5054251720656</v>
      </c>
      <c r="Y550" s="4">
        <f t="shared" si="480"/>
        <v>-1.5344318487464028</v>
      </c>
      <c r="Z550" t="str">
        <f t="shared" si="467"/>
        <v>-2.77731385389004+5.41331142230177i</v>
      </c>
      <c r="AA550" s="4">
        <f t="shared" si="481"/>
        <v>6.0841936851017788</v>
      </c>
      <c r="AB550" s="4">
        <f t="shared" si="482"/>
        <v>2.0448314586038601</v>
      </c>
      <c r="AC550" s="48" t="str">
        <f t="shared" si="483"/>
        <v>-0.0567053643865845+0.0688043484381691i</v>
      </c>
      <c r="AD550" s="20">
        <f t="shared" si="484"/>
        <v>-20.99658180566443</v>
      </c>
      <c r="AE550" s="44">
        <f t="shared" si="485"/>
        <v>129.49377026490203</v>
      </c>
      <c r="AF550" t="str">
        <f t="shared" si="486"/>
        <v>45.9520231294187</v>
      </c>
      <c r="AG550" t="str">
        <f t="shared" si="468"/>
        <v>1+926.642453063243i</v>
      </c>
      <c r="AH550">
        <f t="shared" si="487"/>
        <v>926.64299264553028</v>
      </c>
      <c r="AI550">
        <f t="shared" si="488"/>
        <v>1.5697171623248298</v>
      </c>
      <c r="AJ550" t="str">
        <f t="shared" si="469"/>
        <v>1+2.10038956027669i</v>
      </c>
      <c r="AK550">
        <f t="shared" si="489"/>
        <v>2.3262923945453005</v>
      </c>
      <c r="AL550">
        <f t="shared" si="490"/>
        <v>1.1264491134515278</v>
      </c>
      <c r="AM550" t="str">
        <f t="shared" si="470"/>
        <v>1-4.69926009047525i</v>
      </c>
      <c r="AN550">
        <f t="shared" si="491"/>
        <v>4.8044818032680121</v>
      </c>
      <c r="AO550">
        <f t="shared" si="492"/>
        <v>-1.3611244315062738</v>
      </c>
      <c r="AP550" s="42" t="str">
        <f t="shared" si="493"/>
        <v>-0.128295617049145-0.539193414367309i</v>
      </c>
      <c r="AQ550">
        <f t="shared" si="494"/>
        <v>-5.1259391081839603</v>
      </c>
      <c r="AR550" s="44">
        <f t="shared" si="495"/>
        <v>-103.384073710892</v>
      </c>
      <c r="AS550" t="str">
        <f t="shared" si="471"/>
        <v>-0.000166666666666667</v>
      </c>
      <c r="AT550" t="str">
        <f t="shared" si="472"/>
        <v>0.165668226566824i</v>
      </c>
      <c r="AU550">
        <f t="shared" si="496"/>
        <v>0.16566822656682401</v>
      </c>
      <c r="AV550">
        <f t="shared" si="497"/>
        <v>1.5707963267948966</v>
      </c>
      <c r="AW550" t="str">
        <f t="shared" si="473"/>
        <v>1+30.1826978412185i</v>
      </c>
      <c r="AX550">
        <f t="shared" si="498"/>
        <v>30.199259079889625</v>
      </c>
      <c r="AY550">
        <f t="shared" si="499"/>
        <v>1.5376768771727733</v>
      </c>
      <c r="AZ550" t="str">
        <f t="shared" si="474"/>
        <v>1+614.36394638093i</v>
      </c>
      <c r="BA550">
        <f t="shared" si="500"/>
        <v>614.3647602302317</v>
      </c>
      <c r="BB550">
        <f t="shared" si="501"/>
        <v>1.5691686285506283</v>
      </c>
      <c r="BC550" s="42" t="str">
        <f t="shared" si="502"/>
        <v>-0.000644413400641036+0.0204561617010409i</v>
      </c>
      <c r="BD550">
        <f t="shared" si="503"/>
        <v>-33.779209296979317</v>
      </c>
      <c r="BE550" s="44">
        <f t="shared" si="504"/>
        <v>91.804344443426359</v>
      </c>
      <c r="BF550" s="42" t="str">
        <f t="shared" si="505"/>
        <v>-0.001370931180687-0.00120431254736435i</v>
      </c>
      <c r="BG550" s="20">
        <f t="shared" si="506"/>
        <v>-54.775791102643751</v>
      </c>
      <c r="BH550" s="44">
        <f t="shared" si="507"/>
        <v>-138.70188529167163</v>
      </c>
      <c r="BI550" s="42" t="str">
        <f t="shared" si="460"/>
        <v>0.011112503087304-0.00227697242613644i</v>
      </c>
      <c r="BJ550" s="20">
        <f t="shared" si="508"/>
        <v>-38.905148405163281</v>
      </c>
      <c r="BK550" s="44">
        <f t="shared" si="461"/>
        <v>-11.579729267465623</v>
      </c>
      <c r="BL550">
        <f t="shared" si="509"/>
        <v>-54.775791102643751</v>
      </c>
      <c r="BM550" s="44">
        <f t="shared" si="510"/>
        <v>-138.70188529167163</v>
      </c>
    </row>
    <row r="551" spans="14:65" x14ac:dyDescent="0.35">
      <c r="N551" s="9">
        <v>33</v>
      </c>
      <c r="O551" s="35">
        <f t="shared" si="462"/>
        <v>2137962.0895022359</v>
      </c>
      <c r="P551" s="34" t="str">
        <f t="shared" si="463"/>
        <v>16.3709677419355</v>
      </c>
      <c r="Q551" s="4" t="str">
        <f t="shared" si="464"/>
        <v>1+1975.98215050282i</v>
      </c>
      <c r="R551" s="4">
        <f t="shared" si="475"/>
        <v>1975.9824035415268</v>
      </c>
      <c r="S551" s="4">
        <f t="shared" si="476"/>
        <v>1.5702902493921356</v>
      </c>
      <c r="T551" s="4" t="str">
        <f t="shared" si="465"/>
        <v>1+2.14931391809078i</v>
      </c>
      <c r="U551" s="4">
        <f t="shared" si="477"/>
        <v>2.3705590729823083</v>
      </c>
      <c r="V551" s="4">
        <f t="shared" si="478"/>
        <v>1.1353209952711847</v>
      </c>
      <c r="W551" t="str">
        <f t="shared" si="466"/>
        <v>1-28.1275010199125i</v>
      </c>
      <c r="X551" s="4">
        <f t="shared" si="479"/>
        <v>28.145271603329373</v>
      </c>
      <c r="Y551" s="4">
        <f t="shared" si="480"/>
        <v>-1.5352589004771944</v>
      </c>
      <c r="Z551" t="str">
        <f t="shared" si="467"/>
        <v>-2.95533317135642+5.53940364347475i</v>
      </c>
      <c r="AA551" s="4">
        <f t="shared" si="481"/>
        <v>6.2784541791002129</v>
      </c>
      <c r="AB551" s="4">
        <f t="shared" si="482"/>
        <v>2.0608920200281595</v>
      </c>
      <c r="AC551" s="48" t="str">
        <f t="shared" si="483"/>
        <v>-0.0554476347915258+0.0683895289377812i</v>
      </c>
      <c r="AD551" s="20">
        <f t="shared" si="484"/>
        <v>-21.106104459552167</v>
      </c>
      <c r="AE551" s="44">
        <f t="shared" si="485"/>
        <v>129.03382728387328</v>
      </c>
      <c r="AF551" t="str">
        <f t="shared" si="486"/>
        <v>45.9520231294187</v>
      </c>
      <c r="AG551" t="str">
        <f t="shared" si="468"/>
        <v>1+948.226728569461i</v>
      </c>
      <c r="AH551">
        <f t="shared" si="487"/>
        <v>948.22725586936303</v>
      </c>
      <c r="AI551">
        <f t="shared" si="488"/>
        <v>1.5697417270887886</v>
      </c>
      <c r="AJ551" t="str">
        <f t="shared" si="469"/>
        <v>1+2.14931391809078i</v>
      </c>
      <c r="AK551">
        <f t="shared" si="489"/>
        <v>2.3705590729823083</v>
      </c>
      <c r="AL551">
        <f t="shared" si="490"/>
        <v>1.1353209952711847</v>
      </c>
      <c r="AM551" t="str">
        <f t="shared" si="470"/>
        <v>1-4.80871991948793i</v>
      </c>
      <c r="AN551">
        <f t="shared" si="491"/>
        <v>4.9115972212794494</v>
      </c>
      <c r="AO551">
        <f t="shared" si="492"/>
        <v>-1.3657630325884547</v>
      </c>
      <c r="AP551" s="42" t="str">
        <f t="shared" si="493"/>
        <v>-0.128298032369078-0.549462571487144i</v>
      </c>
      <c r="AQ551">
        <f t="shared" si="494"/>
        <v>-4.9706854111568441</v>
      </c>
      <c r="AR551" s="44">
        <f t="shared" si="495"/>
        <v>-103.14293204844004</v>
      </c>
      <c r="AS551" t="str">
        <f t="shared" si="471"/>
        <v>-0.000166666666666667</v>
      </c>
      <c r="AT551" t="str">
        <f t="shared" si="472"/>
        <v>0.169527135289411i</v>
      </c>
      <c r="AU551">
        <f t="shared" si="496"/>
        <v>0.16952713528941099</v>
      </c>
      <c r="AV551">
        <f t="shared" si="497"/>
        <v>1.5707963267948966</v>
      </c>
      <c r="AW551" t="str">
        <f t="shared" si="473"/>
        <v>1+30.8857431890463i</v>
      </c>
      <c r="AX551">
        <f t="shared" si="498"/>
        <v>30.901927647635837</v>
      </c>
      <c r="AY551">
        <f t="shared" si="499"/>
        <v>1.538430235374189</v>
      </c>
      <c r="AZ551" t="str">
        <f t="shared" si="474"/>
        <v>1+628.674321041553i</v>
      </c>
      <c r="BA551">
        <f t="shared" si="500"/>
        <v>628.67511636540667</v>
      </c>
      <c r="BB551">
        <f t="shared" si="501"/>
        <v>1.5692056794228888</v>
      </c>
      <c r="BC551" s="42" t="str">
        <f t="shared" si="502"/>
        <v>-0.00061544039223103+0.0199914606827725i</v>
      </c>
      <c r="BD551">
        <f t="shared" si="503"/>
        <v>-33.978995483092447</v>
      </c>
      <c r="BE551" s="44">
        <f t="shared" si="504"/>
        <v>91.7633030566315</v>
      </c>
      <c r="BF551" s="42" t="str">
        <f t="shared" si="505"/>
        <v>-0.00133308186476861-0.00115056888940148i</v>
      </c>
      <c r="BG551" s="20">
        <f t="shared" si="506"/>
        <v>-55.085099942644604</v>
      </c>
      <c r="BH551" s="44">
        <f t="shared" si="507"/>
        <v>-139.20286965949529</v>
      </c>
      <c r="BI551" s="42" t="str">
        <f t="shared" si="460"/>
        <v>0.011063519185904-0.00222670360927118i</v>
      </c>
      <c r="BJ551" s="20">
        <f t="shared" si="508"/>
        <v>-38.949680894249298</v>
      </c>
      <c r="BK551" s="44">
        <f t="shared" si="461"/>
        <v>-11.379628991808559</v>
      </c>
      <c r="BL551">
        <f t="shared" si="509"/>
        <v>-55.085099942644604</v>
      </c>
      <c r="BM551" s="44">
        <f t="shared" si="510"/>
        <v>-139.20286965949529</v>
      </c>
    </row>
    <row r="552" spans="14:65" x14ac:dyDescent="0.35">
      <c r="N552" s="9">
        <v>34</v>
      </c>
      <c r="O552" s="35">
        <f t="shared" si="462"/>
        <v>2187761.6239495561</v>
      </c>
      <c r="P552" s="34" t="str">
        <f t="shared" si="463"/>
        <v>16.3709677419355</v>
      </c>
      <c r="Q552" s="4" t="str">
        <f t="shared" si="464"/>
        <v>1+2022.00868748139i</v>
      </c>
      <c r="R552" s="4">
        <f t="shared" si="475"/>
        <v>2022.0089347602332</v>
      </c>
      <c r="S552" s="4">
        <f t="shared" si="476"/>
        <v>1.5703017691183336</v>
      </c>
      <c r="T552" s="4" t="str">
        <f t="shared" si="465"/>
        <v>1+2.19937787059379i</v>
      </c>
      <c r="U552" s="4">
        <f t="shared" si="477"/>
        <v>2.4160428426784306</v>
      </c>
      <c r="V552" s="4">
        <f t="shared" si="478"/>
        <v>1.1440622796881135</v>
      </c>
      <c r="W552" t="str">
        <f t="shared" si="466"/>
        <v>1-28.7826746840463i</v>
      </c>
      <c r="X552" s="4">
        <f t="shared" si="479"/>
        <v>28.800041006353439</v>
      </c>
      <c r="Y552" s="4">
        <f t="shared" si="480"/>
        <v>-1.5360671732118478</v>
      </c>
      <c r="Z552" t="str">
        <f t="shared" si="467"/>
        <v>-3.14174228078+5.66843292978219i</v>
      </c>
      <c r="AA552" s="4">
        <f t="shared" si="481"/>
        <v>6.4808700371385175</v>
      </c>
      <c r="AB552" s="4">
        <f t="shared" si="482"/>
        <v>2.0768984356727587</v>
      </c>
      <c r="AC552" s="48" t="str">
        <f t="shared" si="483"/>
        <v>-0.0541972363200307+0.0679632124447687i</v>
      </c>
      <c r="AD552" s="20">
        <f t="shared" si="484"/>
        <v>-21.216885854972325</v>
      </c>
      <c r="AE552" s="44">
        <f t="shared" si="485"/>
        <v>128.57059527883581</v>
      </c>
      <c r="AF552" t="str">
        <f t="shared" si="486"/>
        <v>45.9520231294187</v>
      </c>
      <c r="AG552" t="str">
        <f t="shared" si="468"/>
        <v>1+970.313766438435i</v>
      </c>
      <c r="AH552">
        <f t="shared" si="487"/>
        <v>970.31428173553206</v>
      </c>
      <c r="AI552">
        <f t="shared" si="488"/>
        <v>1.569765732691683</v>
      </c>
      <c r="AJ552" t="str">
        <f t="shared" si="469"/>
        <v>1+2.19937787059379i</v>
      </c>
      <c r="AK552">
        <f t="shared" si="489"/>
        <v>2.4160428426784306</v>
      </c>
      <c r="AL552">
        <f t="shared" si="490"/>
        <v>1.1440622796881135</v>
      </c>
      <c r="AM552" t="str">
        <f t="shared" si="470"/>
        <v>1-4.92072939545288i</v>
      </c>
      <c r="AN552">
        <f t="shared" si="491"/>
        <v>5.0213123566727118</v>
      </c>
      <c r="AO552">
        <f t="shared" si="492"/>
        <v>-1.3703047099132684</v>
      </c>
      <c r="AP552" s="42" t="str">
        <f t="shared" si="493"/>
        <v>-0.128300338981944-0.560023060706034i</v>
      </c>
      <c r="AQ552">
        <f t="shared" si="494"/>
        <v>-4.8137183529012812</v>
      </c>
      <c r="AR552" s="44">
        <f t="shared" si="495"/>
        <v>-102.9036877061792</v>
      </c>
      <c r="AS552" t="str">
        <f t="shared" si="471"/>
        <v>-0.000166666666666667</v>
      </c>
      <c r="AT552" t="str">
        <f t="shared" si="472"/>
        <v>0.173475929543085i</v>
      </c>
      <c r="AU552">
        <f t="shared" si="496"/>
        <v>0.17347592954308499</v>
      </c>
      <c r="AV552">
        <f t="shared" si="497"/>
        <v>1.5707963267948966</v>
      </c>
      <c r="AW552" t="str">
        <f t="shared" si="473"/>
        <v>1+31.6051645667341i</v>
      </c>
      <c r="AX552">
        <f t="shared" si="498"/>
        <v>31.620980808481331</v>
      </c>
      <c r="AY552">
        <f t="shared" si="499"/>
        <v>1.5391664805634646</v>
      </c>
      <c r="AZ552" t="str">
        <f t="shared" si="474"/>
        <v>1+643.318027148683i</v>
      </c>
      <c r="BA552">
        <f t="shared" si="500"/>
        <v>643.31880436877759</v>
      </c>
      <c r="BB552">
        <f t="shared" si="501"/>
        <v>1.5692418869185507</v>
      </c>
      <c r="BC552" s="42" t="str">
        <f t="shared" si="502"/>
        <v>-0.000587768714245526+0.0195372750233974i</v>
      </c>
      <c r="BD552">
        <f t="shared" si="503"/>
        <v>-34.178791282540892</v>
      </c>
      <c r="BE552" s="44">
        <f t="shared" si="504"/>
        <v>91.723193851287363</v>
      </c>
      <c r="BF552" s="42" t="str">
        <f t="shared" si="505"/>
        <v>-0.00129596053309955-0.00109881296148716i</v>
      </c>
      <c r="BG552" s="20">
        <f t="shared" si="506"/>
        <v>-55.395677137513189</v>
      </c>
      <c r="BH552" s="44">
        <f t="shared" si="507"/>
        <v>-139.70621086987688</v>
      </c>
      <c r="BI552" s="42" t="str">
        <f t="shared" si="460"/>
        <v>0.0110167354817392-0.00217747497394632i</v>
      </c>
      <c r="BJ552" s="20">
        <f t="shared" si="508"/>
        <v>-38.992509635442204</v>
      </c>
      <c r="BK552" s="44">
        <f t="shared" si="461"/>
        <v>-11.180493854891859</v>
      </c>
      <c r="BL552">
        <f t="shared" si="509"/>
        <v>-55.395677137513189</v>
      </c>
      <c r="BM552" s="44">
        <f t="shared" si="510"/>
        <v>-139.70621086987688</v>
      </c>
    </row>
    <row r="553" spans="14:65" x14ac:dyDescent="0.35">
      <c r="N553" s="9">
        <v>35</v>
      </c>
      <c r="O553" s="35">
        <f t="shared" si="462"/>
        <v>2238721.1385683389</v>
      </c>
      <c r="P553" s="34" t="str">
        <f t="shared" si="463"/>
        <v>16.3709677419355</v>
      </c>
      <c r="Q553" s="4" t="str">
        <f t="shared" si="464"/>
        <v>1+2069.1073202305i</v>
      </c>
      <c r="R553" s="4">
        <f t="shared" si="475"/>
        <v>2069.1075618805903</v>
      </c>
      <c r="S553" s="4">
        <f t="shared" si="476"/>
        <v>1.5703130266236764</v>
      </c>
      <c r="T553" s="4" t="str">
        <f t="shared" si="465"/>
        <v>1+2.25060796235598i</v>
      </c>
      <c r="U553" s="4">
        <f t="shared" si="477"/>
        <v>2.4627700258489695</v>
      </c>
      <c r="V553" s="4">
        <f t="shared" si="478"/>
        <v>1.1526722570436245</v>
      </c>
      <c r="W553" t="str">
        <f t="shared" si="466"/>
        <v>1-29.4531093032811i</v>
      </c>
      <c r="X553" s="4">
        <f t="shared" si="479"/>
        <v>29.470080550127847</v>
      </c>
      <c r="Y553" s="4">
        <f t="shared" si="480"/>
        <v>-1.5368570912804647</v>
      </c>
      <c r="Z553" t="str">
        <f t="shared" si="467"/>
        <v>-3.33693658087415+5.80046769425955i</v>
      </c>
      <c r="AA553" s="4">
        <f t="shared" si="481"/>
        <v>6.6918286900461492</v>
      </c>
      <c r="AB553" s="4">
        <f t="shared" si="482"/>
        <v>2.0928466465232116</v>
      </c>
      <c r="AC553" s="48" t="str">
        <f t="shared" si="483"/>
        <v>-0.0529545237742234+0.0675251123391753i</v>
      </c>
      <c r="AD553" s="20">
        <f t="shared" si="484"/>
        <v>-21.328966952264288</v>
      </c>
      <c r="AE553" s="44">
        <f t="shared" si="485"/>
        <v>128.10424149145715</v>
      </c>
      <c r="AF553" t="str">
        <f t="shared" si="486"/>
        <v>45.9520231294187</v>
      </c>
      <c r="AG553" t="str">
        <f t="shared" si="468"/>
        <v>1+992.91527750999i</v>
      </c>
      <c r="AH553">
        <f t="shared" si="487"/>
        <v>992.91578107749922</v>
      </c>
      <c r="AI553">
        <f t="shared" si="488"/>
        <v>1.5697891918614904</v>
      </c>
      <c r="AJ553" t="str">
        <f t="shared" si="469"/>
        <v>1+2.25060796235598i</v>
      </c>
      <c r="AK553">
        <f t="shared" si="489"/>
        <v>2.4627700258489695</v>
      </c>
      <c r="AL553">
        <f t="shared" si="490"/>
        <v>1.1526722570436245</v>
      </c>
      <c r="AM553" t="str">
        <f t="shared" si="470"/>
        <v>1-5.03534790727682i</v>
      </c>
      <c r="AN553">
        <f t="shared" si="491"/>
        <v>5.1336856689241346</v>
      </c>
      <c r="AO553">
        <f t="shared" si="492"/>
        <v>-1.3747511217415918</v>
      </c>
      <c r="AP553" s="42" t="str">
        <f t="shared" si="493"/>
        <v>-0.128302541780345-0.570880481350451i</v>
      </c>
      <c r="AQ553">
        <f>20*LOG(IMABS(AP553))</f>
        <v>-4.6550928717898366</v>
      </c>
      <c r="AR553" s="44">
        <f t="shared" si="495"/>
        <v>-102.66647708516602</v>
      </c>
      <c r="AS553" t="str">
        <f t="shared" si="471"/>
        <v>-0.000166666666666667</v>
      </c>
      <c r="AT553" t="str">
        <f t="shared" si="472"/>
        <v>0.177516703030829i</v>
      </c>
      <c r="AU553">
        <f t="shared" si="496"/>
        <v>0.177516703030829</v>
      </c>
      <c r="AV553">
        <f t="shared" si="497"/>
        <v>1.5707963267948966</v>
      </c>
      <c r="AW553" t="str">
        <f t="shared" si="473"/>
        <v>1+32.3413434210189i</v>
      </c>
      <c r="AX553">
        <f t="shared" si="498"/>
        <v>32.356799815128227</v>
      </c>
      <c r="AY553">
        <f t="shared" si="499"/>
        <v>1.5398859999130243</v>
      </c>
      <c r="AZ553" t="str">
        <f t="shared" si="474"/>
        <v>1+658.302828989124i</v>
      </c>
      <c r="BA553">
        <f t="shared" si="500"/>
        <v>658.30358851755011</v>
      </c>
      <c r="BB553">
        <f t="shared" si="501"/>
        <v>1.5692772702349274</v>
      </c>
      <c r="BC553" s="42" t="str">
        <f t="shared" si="502"/>
        <v>-0.000561340031732698+0.0190933695284039i</v>
      </c>
      <c r="BD553">
        <f t="shared" si="503"/>
        <v>-34.378596263521544</v>
      </c>
      <c r="BE553" s="44">
        <f t="shared" si="504"/>
        <v>91.683995743973142</v>
      </c>
      <c r="BF553" s="42" t="str">
        <f t="shared" si="505"/>
        <v>-0.00125955642828305-0.00104898483932512i</v>
      </c>
      <c r="BG553" s="20">
        <f t="shared" si="506"/>
        <v>-55.707563215785825</v>
      </c>
      <c r="BH553" s="44">
        <f t="shared" si="507"/>
        <v>-140.21176276456987</v>
      </c>
      <c r="BI553" s="42" t="str">
        <f t="shared" si="460"/>
        <v>0.0109720533398516-0.00212926977412877i</v>
      </c>
      <c r="BJ553" s="20">
        <f t="shared" si="508"/>
        <v>-39.033689135311384</v>
      </c>
      <c r="BK553" s="44">
        <f t="shared" si="461"/>
        <v>-10.982481341192896</v>
      </c>
      <c r="BL553">
        <f t="shared" si="509"/>
        <v>-55.707563215785825</v>
      </c>
      <c r="BM553" s="44">
        <f t="shared" si="510"/>
        <v>-140.21176276456987</v>
      </c>
    </row>
    <row r="554" spans="14:65" x14ac:dyDescent="0.35">
      <c r="N554" s="9">
        <v>36</v>
      </c>
      <c r="O554" s="35">
        <f t="shared" si="462"/>
        <v>2290867.6527677765</v>
      </c>
      <c r="P554" s="34" t="str">
        <f t="shared" si="463"/>
        <v>16.3709677419355</v>
      </c>
      <c r="Q554" s="4" t="str">
        <f t="shared" si="464"/>
        <v>1+2117.30302106869i</v>
      </c>
      <c r="R554" s="4">
        <f t="shared" si="475"/>
        <v>2117.3032572181537</v>
      </c>
      <c r="S554" s="4">
        <f t="shared" si="476"/>
        <v>1.570324027877031</v>
      </c>
      <c r="T554" s="4" t="str">
        <f t="shared" si="465"/>
        <v>1+2.30303135625016i</v>
      </c>
      <c r="U554" s="4">
        <f t="shared" si="477"/>
        <v>2.5107674977726333</v>
      </c>
      <c r="V554" s="4">
        <f t="shared" si="478"/>
        <v>1.1611503852430352</v>
      </c>
      <c r="W554" t="str">
        <f t="shared" si="466"/>
        <v>1-30.1391603509268i</v>
      </c>
      <c r="X554" s="4">
        <f t="shared" si="479"/>
        <v>30.155745499968628</v>
      </c>
      <c r="Y554" s="4">
        <f t="shared" si="480"/>
        <v>-1.537629069562723</v>
      </c>
      <c r="Z554" t="str">
        <f t="shared" si="467"/>
        <v>-3.54133010491964+5.93557794348674i</v>
      </c>
      <c r="AA554" s="4">
        <f t="shared" si="481"/>
        <v>6.911736716283138</v>
      </c>
      <c r="AB554" s="4">
        <f t="shared" si="482"/>
        <v>2.1087324912993695</v>
      </c>
      <c r="AC554" s="48" t="str">
        <f t="shared" si="483"/>
        <v>-0.0517198929477297+0.0670749735314349i</v>
      </c>
      <c r="AD554" s="20">
        <f t="shared" si="484"/>
        <v>-21.442386639359732</v>
      </c>
      <c r="AE554" s="44">
        <f t="shared" si="485"/>
        <v>127.63494917294477</v>
      </c>
      <c r="AF554" t="str">
        <f t="shared" si="486"/>
        <v>45.9520231294187</v>
      </c>
      <c r="AG554" t="str">
        <f t="shared" si="468"/>
        <v>1+1016.04324540448i</v>
      </c>
      <c r="AH554">
        <f t="shared" si="487"/>
        <v>1016.0437375093989</v>
      </c>
      <c r="AI554">
        <f t="shared" si="488"/>
        <v>1.5698121170364703</v>
      </c>
      <c r="AJ554" t="str">
        <f t="shared" si="469"/>
        <v>1+2.30303135625016i</v>
      </c>
      <c r="AK554">
        <f t="shared" si="489"/>
        <v>2.5107674977726333</v>
      </c>
      <c r="AL554">
        <f t="shared" si="490"/>
        <v>1.1611503852430352</v>
      </c>
      <c r="AM554" t="str">
        <f t="shared" si="470"/>
        <v>1-5.15263622721196i</v>
      </c>
      <c r="AN554">
        <f t="shared" si="491"/>
        <v>5.2487770089781005</v>
      </c>
      <c r="AO554">
        <f t="shared" si="492"/>
        <v>-1.3791039220203245</v>
      </c>
      <c r="AP554" s="42" t="str">
        <f t="shared" si="493"/>
        <v>-0.128304645436683-0.58204059018283i</v>
      </c>
      <c r="AQ554">
        <f t="shared" si="494"/>
        <v>-4.494862922091972</v>
      </c>
      <c r="AR554" s="44">
        <f t="shared" si="495"/>
        <v>-102.43142672197466</v>
      </c>
      <c r="AS554" t="str">
        <f t="shared" si="471"/>
        <v>-0.000166666666666667</v>
      </c>
      <c r="AT554" t="str">
        <f t="shared" si="472"/>
        <v>0.181651598224231i</v>
      </c>
      <c r="AU554">
        <f t="shared" si="496"/>
        <v>0.18165159822423099</v>
      </c>
      <c r="AV554">
        <f t="shared" si="497"/>
        <v>1.5707963267948966</v>
      </c>
      <c r="AW554" t="str">
        <f t="shared" si="473"/>
        <v>1+33.0946700836741i</v>
      </c>
      <c r="AX554">
        <f t="shared" si="498"/>
        <v>33.109774809672651</v>
      </c>
      <c r="AY554">
        <f t="shared" si="499"/>
        <v>1.5405891719398395</v>
      </c>
      <c r="AZ554" t="str">
        <f t="shared" si="474"/>
        <v>1+673.636671703171i</v>
      </c>
      <c r="BA554">
        <f t="shared" si="500"/>
        <v>673.63741394263855</v>
      </c>
      <c r="BB554">
        <f t="shared" si="501"/>
        <v>1.5693118481323669</v>
      </c>
      <c r="BC554" s="42" t="str">
        <f t="shared" si="502"/>
        <v>-0.000536098614651259+0.0186595140800104i</v>
      </c>
      <c r="BD554">
        <f t="shared" si="503"/>
        <v>-34.578410013588979</v>
      </c>
      <c r="BE554" s="44">
        <f t="shared" si="504"/>
        <v>91.645688122152691</v>
      </c>
      <c r="BF554" s="42" t="str">
        <f t="shared" si="505"/>
        <v>-0.00122385945006695-0.00100102687106277i</v>
      </c>
      <c r="BG554" s="20">
        <f t="shared" si="506"/>
        <v>-56.020796652948668</v>
      </c>
      <c r="BH554" s="44">
        <f t="shared" si="507"/>
        <v>-140.71936270490252</v>
      </c>
      <c r="BI554" s="42" t="str">
        <f t="shared" si="460"/>
        <v>0.010929378530326-0.00208207118398871i</v>
      </c>
      <c r="BJ554" s="20">
        <f t="shared" si="508"/>
        <v>-39.073272935680954</v>
      </c>
      <c r="BK554" s="44">
        <f t="shared" si="461"/>
        <v>-10.785738599821972</v>
      </c>
      <c r="BL554">
        <f t="shared" si="509"/>
        <v>-56.020796652948668</v>
      </c>
      <c r="BM554" s="44">
        <f t="shared" si="510"/>
        <v>-140.71936270490252</v>
      </c>
    </row>
    <row r="555" spans="14:65" x14ac:dyDescent="0.35">
      <c r="N555" s="9">
        <v>37</v>
      </c>
      <c r="O555" s="35">
        <f t="shared" si="462"/>
        <v>2344228.8153199251</v>
      </c>
      <c r="P555" s="34" t="str">
        <f t="shared" si="463"/>
        <v>16.3709677419355</v>
      </c>
      <c r="Q555" s="4" t="str">
        <f t="shared" si="464"/>
        <v>1+2166.62134399447i</v>
      </c>
      <c r="R555" s="4">
        <f t="shared" si="475"/>
        <v>2166.621574768516</v>
      </c>
      <c r="S555" s="4">
        <f t="shared" si="476"/>
        <v>1.5703347787113966</v>
      </c>
      <c r="T555" s="4" t="str">
        <f t="shared" si="465"/>
        <v>1+2.35667584785363i</v>
      </c>
      <c r="U555" s="4">
        <f t="shared" si="477"/>
        <v>2.5600627046728026</v>
      </c>
      <c r="V555" s="4">
        <f t="shared" si="478"/>
        <v>1.1694962832825562</v>
      </c>
      <c r="W555" t="str">
        <f t="shared" si="466"/>
        <v>1-30.8411915803294i</v>
      </c>
      <c r="X555" s="4">
        <f t="shared" si="479"/>
        <v>30.85739940588936</v>
      </c>
      <c r="Y555" s="4">
        <f t="shared" si="480"/>
        <v>-1.538383513689136</v>
      </c>
      <c r="Z555" t="str">
        <f t="shared" si="467"/>
        <v>-3.75535639898435+6.0738353147062i</v>
      </c>
      <c r="AA555" s="4">
        <f t="shared" si="481"/>
        <v>7.1410207333101106</v>
      </c>
      <c r="AB555" s="4">
        <f t="shared" si="482"/>
        <v>2.1245517188624685</v>
      </c>
      <c r="AC555" s="48" t="str">
        <f t="shared" si="483"/>
        <v>-0.0504937770436151+0.0666125757148728i</v>
      </c>
      <c r="AD555" s="20">
        <f t="shared" si="484"/>
        <v>-21.557181600602714</v>
      </c>
      <c r="AE555" s="44">
        <f t="shared" si="485"/>
        <v>127.16291649057594</v>
      </c>
      <c r="AF555" t="str">
        <f t="shared" si="486"/>
        <v>45.9520231294187</v>
      </c>
      <c r="AG555" t="str">
        <f t="shared" si="468"/>
        <v>1+1039.7099328766i</v>
      </c>
      <c r="AH555">
        <f t="shared" si="487"/>
        <v>1039.7104137798487</v>
      </c>
      <c r="AI555">
        <f t="shared" si="488"/>
        <v>1.569834520371757</v>
      </c>
      <c r="AJ555" t="str">
        <f t="shared" si="469"/>
        <v>1+2.35667584785363i</v>
      </c>
      <c r="AK555">
        <f t="shared" si="489"/>
        <v>2.5600627046728026</v>
      </c>
      <c r="AL555">
        <f t="shared" si="490"/>
        <v>1.1694962832825562</v>
      </c>
      <c r="AM555" t="str">
        <f t="shared" si="470"/>
        <v>1-5.27265654307795i</v>
      </c>
      <c r="AN555">
        <f t="shared" si="491"/>
        <v>5.3666476520508324</v>
      </c>
      <c r="AO555">
        <f t="shared" si="492"/>
        <v>-1.3833647585697635</v>
      </c>
      <c r="AP555" s="42" t="str">
        <f t="shared" si="493"/>
        <v>-0.128306654413068-0.593509304453919i</v>
      </c>
      <c r="AQ555">
        <f t="shared" si="494"/>
        <v>-4.3330814344471209</v>
      </c>
      <c r="AR555" s="44">
        <f t="shared" si="495"/>
        <v>-102.19865355610041</v>
      </c>
      <c r="AS555" t="str">
        <f t="shared" si="471"/>
        <v>-0.000166666666666667</v>
      </c>
      <c r="AT555" t="str">
        <f t="shared" si="472"/>
        <v>0.185882807499455i</v>
      </c>
      <c r="AU555">
        <f t="shared" si="496"/>
        <v>0.18588280749945499</v>
      </c>
      <c r="AV555">
        <f t="shared" si="497"/>
        <v>1.5707963267948966</v>
      </c>
      <c r="AW555" t="str">
        <f t="shared" si="473"/>
        <v>1+33.8655439784672i</v>
      </c>
      <c r="AX555">
        <f t="shared" si="498"/>
        <v>33.880305030467127</v>
      </c>
      <c r="AY555">
        <f t="shared" si="499"/>
        <v>1.5412763666919627</v>
      </c>
      <c r="AZ555" t="str">
        <f t="shared" si="474"/>
        <v>1+689.327685497186i</v>
      </c>
      <c r="BA555">
        <f t="shared" si="500"/>
        <v>689.32841084123856</v>
      </c>
      <c r="BB555">
        <f t="shared" si="501"/>
        <v>1.5693456389441973</v>
      </c>
      <c r="BC555" s="42" t="str">
        <f t="shared" si="502"/>
        <v>-0.000511991222436558+0.0182354835399805i</v>
      </c>
      <c r="BD555">
        <f t="shared" si="503"/>
        <v>-34.778232138791623</v>
      </c>
      <c r="BE555" s="44">
        <f t="shared" si="504"/>
        <v>91.608250834056719</v>
      </c>
      <c r="BF555" s="42" t="str">
        <f t="shared" si="505"/>
        <v>-0.00118886015737027-0.000954883494220194i</v>
      </c>
      <c r="BG555" s="20">
        <f t="shared" si="506"/>
        <v>-56.335413739394326</v>
      </c>
      <c r="BH555" s="44">
        <f t="shared" si="507"/>
        <v>-141.22883267536739</v>
      </c>
      <c r="BI555" s="42" t="str">
        <f t="shared" si="460"/>
        <v>0.0108886210330344-0.00203586233030463i</v>
      </c>
      <c r="BJ555" s="20">
        <f t="shared" si="508"/>
        <v>-39.111313573238753</v>
      </c>
      <c r="BK555" s="44">
        <f t="shared" si="461"/>
        <v>-10.590402722043679</v>
      </c>
      <c r="BL555">
        <f t="shared" si="509"/>
        <v>-56.335413739394326</v>
      </c>
      <c r="BM555" s="44">
        <f t="shared" si="510"/>
        <v>-141.22883267536739</v>
      </c>
    </row>
    <row r="556" spans="14:65" x14ac:dyDescent="0.35">
      <c r="N556" s="9">
        <v>38</v>
      </c>
      <c r="O556" s="35">
        <f t="shared" si="462"/>
        <v>2398832.9190194933</v>
      </c>
      <c r="P556" s="34" t="str">
        <f t="shared" si="463"/>
        <v>16.3709677419355</v>
      </c>
      <c r="Q556" s="4" t="str">
        <f t="shared" si="464"/>
        <v>1+2217.08843823544i</v>
      </c>
      <c r="R556" s="4">
        <f t="shared" si="475"/>
        <v>2217.0886637564281</v>
      </c>
      <c r="S556" s="4">
        <f t="shared" si="476"/>
        <v>1.5703452848269979</v>
      </c>
      <c r="T556" s="4" t="str">
        <f t="shared" si="465"/>
        <v>1+2.41156988018592i</v>
      </c>
      <c r="U556" s="4">
        <f t="shared" si="477"/>
        <v>2.6106836819155115</v>
      </c>
      <c r="V556" s="4">
        <f t="shared" si="478"/>
        <v>1.1777097246141623</v>
      </c>
      <c r="W556" t="str">
        <f t="shared" si="466"/>
        <v>1-31.5595752177392i</v>
      </c>
      <c r="X556" s="4">
        <f t="shared" si="479"/>
        <v>31.57541429536813</v>
      </c>
      <c r="Y556" s="4">
        <f t="shared" si="480"/>
        <v>-1.5391208202386502</v>
      </c>
      <c r="Z556" t="str">
        <f t="shared" si="467"/>
        <v>-3.979469441533+6.21531311380621i</v>
      </c>
      <c r="AA556" s="4">
        <f t="shared" si="481"/>
        <v>7.3801283280676371</v>
      </c>
      <c r="AB556" s="4">
        <f t="shared" si="482"/>
        <v>2.1403000013031397</v>
      </c>
      <c r="AC556" s="48" t="str">
        <f t="shared" si="483"/>
        <v>-0.0492766428545569+0.0661377362600016i</v>
      </c>
      <c r="AD556" s="20">
        <f t="shared" si="484"/>
        <v>-21.673386199441257</v>
      </c>
      <c r="AE556" s="44">
        <f t="shared" si="485"/>
        <v>126.68835538614714</v>
      </c>
      <c r="AF556" t="str">
        <f t="shared" si="486"/>
        <v>45.9520231294187</v>
      </c>
      <c r="AG556" t="str">
        <f t="shared" si="468"/>
        <v>1+1063.92788831732i</v>
      </c>
      <c r="AH556">
        <f t="shared" si="487"/>
        <v>1063.928358273879</v>
      </c>
      <c r="AI556">
        <f t="shared" si="488"/>
        <v>1.5698564137458058</v>
      </c>
      <c r="AJ556" t="str">
        <f t="shared" si="469"/>
        <v>1+2.41156988018592i</v>
      </c>
      <c r="AK556">
        <f t="shared" si="489"/>
        <v>2.6106836819155115</v>
      </c>
      <c r="AL556">
        <f t="shared" si="490"/>
        <v>1.1777097246141623</v>
      </c>
      <c r="AM556" t="str">
        <f t="shared" si="470"/>
        <v>1-5.39547249123492i</v>
      </c>
      <c r="AN556">
        <f t="shared" si="491"/>
        <v>5.4873603311312396</v>
      </c>
      <c r="AO556">
        <f t="shared" si="492"/>
        <v>-1.3875352714079128</v>
      </c>
      <c r="AP556" s="42" t="str">
        <f t="shared" si="493"/>
        <v>-0.128308572970786-0.605292705040274i</v>
      </c>
      <c r="AQ556">
        <f t="shared" si="494"/>
        <v>-4.1698002811137664</v>
      </c>
      <c r="AR556" s="44">
        <f t="shared" si="495"/>
        <v>-101.96826521448455</v>
      </c>
      <c r="AS556" t="str">
        <f t="shared" si="471"/>
        <v>-0.000166666666666667</v>
      </c>
      <c r="AT556" t="str">
        <f t="shared" si="472"/>
        <v>0.190212574299664i</v>
      </c>
      <c r="AU556">
        <f t="shared" si="496"/>
        <v>0.19021257429966401</v>
      </c>
      <c r="AV556">
        <f t="shared" si="497"/>
        <v>1.5707963267948966</v>
      </c>
      <c r="AW556" t="str">
        <f t="shared" si="473"/>
        <v>1+34.6543738329411i</v>
      </c>
      <c r="AX556">
        <f t="shared" si="498"/>
        <v>34.668799023808603</v>
      </c>
      <c r="AY556">
        <f t="shared" si="499"/>
        <v>1.5419479459315135</v>
      </c>
      <c r="AZ556" t="str">
        <f t="shared" si="474"/>
        <v>1+705.384189954381i</v>
      </c>
      <c r="BA556">
        <f t="shared" si="500"/>
        <v>705.38489878760402</v>
      </c>
      <c r="BB556">
        <f t="shared" si="501"/>
        <v>1.5693786605864453</v>
      </c>
      <c r="BC556" s="42" t="str">
        <f t="shared" si="502"/>
        <v>-0.000488966993603863+0.0178210576534387i</v>
      </c>
      <c r="BD556">
        <f t="shared" si="503"/>
        <v>-34.978062262844759</v>
      </c>
      <c r="BE556" s="44">
        <f t="shared" si="504"/>
        <v>91.571664178755242</v>
      </c>
      <c r="BF556" s="42" t="str">
        <f t="shared" si="505"/>
        <v>-0.00115454975904593-0.000910501063341785i</v>
      </c>
      <c r="BG556" s="20">
        <f t="shared" si="506"/>
        <v>-56.651448462286005</v>
      </c>
      <c r="BH556" s="44">
        <f t="shared" si="507"/>
        <v>-141.73998043509766</v>
      </c>
      <c r="BI556" s="42" t="str">
        <f t="shared" si="460"/>
        <v>0.0108496948509077-0.00199062632210893i</v>
      </c>
      <c r="BJ556" s="20">
        <f t="shared" si="508"/>
        <v>-39.147862543958539</v>
      </c>
      <c r="BK556" s="44">
        <f t="shared" si="461"/>
        <v>-10.39660103572931</v>
      </c>
      <c r="BL556">
        <f t="shared" si="509"/>
        <v>-56.651448462286005</v>
      </c>
      <c r="BM556" s="44">
        <f t="shared" si="510"/>
        <v>-141.73998043509766</v>
      </c>
    </row>
    <row r="557" spans="14:65" x14ac:dyDescent="0.35">
      <c r="N557" s="9">
        <v>39</v>
      </c>
      <c r="O557" s="35">
        <f t="shared" si="462"/>
        <v>2454708.915685033</v>
      </c>
      <c r="P557" s="34" t="str">
        <f t="shared" si="463"/>
        <v>16.3709677419355</v>
      </c>
      <c r="Q557" s="4" t="str">
        <f t="shared" si="464"/>
        <v>1+2268.731062113i</v>
      </c>
      <c r="R557" s="4">
        <f t="shared" si="475"/>
        <v>2268.7312825005038</v>
      </c>
      <c r="S557" s="4">
        <f t="shared" si="476"/>
        <v>1.5703555517943075</v>
      </c>
      <c r="T557" s="4" t="str">
        <f t="shared" si="465"/>
        <v>1+2.46774255878958i</v>
      </c>
      <c r="U557" s="4">
        <f t="shared" si="477"/>
        <v>2.6626590725177985</v>
      </c>
      <c r="V557" s="4">
        <f t="shared" si="478"/>
        <v>1.1857906303919072</v>
      </c>
      <c r="W557" t="str">
        <f t="shared" si="466"/>
        <v>1-32.2946921596698i</v>
      </c>
      <c r="X557" s="4">
        <f t="shared" si="479"/>
        <v>32.310170870607259</v>
      </c>
      <c r="Y557" s="4">
        <f t="shared" si="480"/>
        <v>-1.5398413769326018</v>
      </c>
      <c r="Z557" t="str">
        <f t="shared" si="467"/>
        <v>-4.21414460637625+6.36008635418855i</v>
      </c>
      <c r="AA557" s="4">
        <f t="shared" si="481"/>
        <v>7.6295290284646962</v>
      </c>
      <c r="AB557" s="4">
        <f t="shared" si="482"/>
        <v>2.1559729476143081</v>
      </c>
      <c r="AC557" s="48" t="str">
        <f t="shared" si="483"/>
        <v>-0.0480689867410239+0.0656503127307368i</v>
      </c>
      <c r="AD557" s="20">
        <f t="shared" si="484"/>
        <v>-21.791032375382422</v>
      </c>
      <c r="AE557" s="44">
        <f t="shared" si="485"/>
        <v>126.21149039433135</v>
      </c>
      <c r="AF557" t="str">
        <f t="shared" si="486"/>
        <v>45.9520231294187</v>
      </c>
      <c r="AG557" t="str">
        <f t="shared" si="468"/>
        <v>1+1088.70995240717i</v>
      </c>
      <c r="AH557">
        <f t="shared" si="487"/>
        <v>1088.7104116662165</v>
      </c>
      <c r="AI557">
        <f t="shared" si="488"/>
        <v>1.5698778087666891</v>
      </c>
      <c r="AJ557" t="str">
        <f t="shared" si="469"/>
        <v>1+2.46774255878958i</v>
      </c>
      <c r="AK557">
        <f t="shared" si="489"/>
        <v>2.6626590725177985</v>
      </c>
      <c r="AL557">
        <f t="shared" si="490"/>
        <v>1.1857906303919072</v>
      </c>
      <c r="AM557" t="str">
        <f t="shared" si="470"/>
        <v>1-5.52114919032426i</v>
      </c>
      <c r="AN557">
        <f t="shared" si="491"/>
        <v>5.610979271198409</v>
      </c>
      <c r="AO557">
        <f t="shared" si="492"/>
        <v>-1.3916170912052495</v>
      </c>
      <c r="AP557" s="42" t="str">
        <f t="shared" si="493"/>
        <v>-0.12831040517933-0.617397039668474i</v>
      </c>
      <c r="AQ557">
        <f t="shared" si="494"/>
        <v>-4.0050702458630063</v>
      </c>
      <c r="AR557" s="44">
        <f t="shared" si="495"/>
        <v>-101.74036031029634</v>
      </c>
      <c r="AS557" t="str">
        <f t="shared" si="471"/>
        <v>-0.000166666666666667</v>
      </c>
      <c r="AT557" t="str">
        <f t="shared" si="472"/>
        <v>0.194643194324529i</v>
      </c>
      <c r="AU557">
        <f t="shared" si="496"/>
        <v>0.19464319432452901</v>
      </c>
      <c r="AV557">
        <f t="shared" si="497"/>
        <v>1.5707963267948966</v>
      </c>
      <c r="AW557" t="str">
        <f t="shared" si="473"/>
        <v>1+35.4615778951261i</v>
      </c>
      <c r="AX557">
        <f t="shared" si="498"/>
        <v>35.475674860558968</v>
      </c>
      <c r="AY557">
        <f t="shared" si="499"/>
        <v>1.5426042633141499</v>
      </c>
      <c r="AZ557" t="str">
        <f t="shared" si="474"/>
        <v>1+721.814698445952i</v>
      </c>
      <c r="BA557">
        <f t="shared" si="500"/>
        <v>721.81539114417649</v>
      </c>
      <c r="BB557">
        <f t="shared" si="501"/>
        <v>1.5694109305673347</v>
      </c>
      <c r="BC557" s="42" t="str">
        <f t="shared" si="502"/>
        <v>-0.000466977340175929+0.0174160209537369i</v>
      </c>
      <c r="BD557">
        <f t="shared" si="503"/>
        <v>-35.177900026341831</v>
      </c>
      <c r="BE557" s="44">
        <f t="shared" si="504"/>
        <v>91.535908896419031</v>
      </c>
      <c r="BF557" s="42" t="str">
        <f t="shared" si="505"/>
        <v>-0.00112092009456462-0.000867827688727291i</v>
      </c>
      <c r="BG557" s="20">
        <f t="shared" si="506"/>
        <v>-56.968932401724231</v>
      </c>
      <c r="BH557" s="44">
        <f t="shared" si="507"/>
        <v>-142.25260070924966</v>
      </c>
      <c r="BI557" s="42" t="str">
        <f t="shared" si="460"/>
        <v>0.0108125178313688-0.00194634627776881i</v>
      </c>
      <c r="BJ557" s="20">
        <f t="shared" si="508"/>
        <v>-39.182970272204841</v>
      </c>
      <c r="BK557" s="44">
        <f t="shared" si="461"/>
        <v>-10.204451413877335</v>
      </c>
      <c r="BL557">
        <f t="shared" si="509"/>
        <v>-56.968932401724231</v>
      </c>
      <c r="BM557" s="44">
        <f t="shared" si="510"/>
        <v>-142.25260070924966</v>
      </c>
    </row>
    <row r="558" spans="14:65" x14ac:dyDescent="0.35">
      <c r="N558" s="9">
        <v>40</v>
      </c>
      <c r="O558" s="35">
        <f t="shared" si="462"/>
        <v>2511886.431509587</v>
      </c>
      <c r="P558" s="34" t="str">
        <f t="shared" si="463"/>
        <v>16.3709677419355</v>
      </c>
      <c r="Q558" s="4" t="str">
        <f t="shared" si="464"/>
        <v>1+2321.57659722992i</v>
      </c>
      <c r="R558" s="4">
        <f t="shared" si="475"/>
        <v>2321.5768126007924</v>
      </c>
      <c r="S558" s="4">
        <f t="shared" si="476"/>
        <v>1.5703655850569986</v>
      </c>
      <c r="T558" s="4" t="str">
        <f t="shared" si="465"/>
        <v>1+2.52522366716237i</v>
      </c>
      <c r="U558" s="4">
        <f t="shared" si="477"/>
        <v>2.716018145962388</v>
      </c>
      <c r="V558" s="4">
        <f t="shared" si="478"/>
        <v>1.1937390626405591</v>
      </c>
      <c r="W558" t="str">
        <f t="shared" si="466"/>
        <v>1-33.0469321748544i</v>
      </c>
      <c r="X558" s="4">
        <f t="shared" si="479"/>
        <v>33.062058710392293</v>
      </c>
      <c r="Y558" s="4">
        <f t="shared" si="480"/>
        <v>-1.5405455628250604</v>
      </c>
      <c r="Z558" t="str">
        <f t="shared" si="467"/>
        <v>-4.45987967100223+6.50823179654162i</v>
      </c>
      <c r="AA558" s="4">
        <f t="shared" si="481"/>
        <v>7.8897153178891264</v>
      </c>
      <c r="AB558" s="4">
        <f t="shared" si="482"/>
        <v>2.171566117847862</v>
      </c>
      <c r="AC558" s="48" t="str">
        <f t="shared" si="483"/>
        <v>-0.046871330445328+0.0651502050064709i</v>
      </c>
      <c r="AD558" s="20">
        <f t="shared" si="484"/>
        <v>-21.910149555496858</v>
      </c>
      <c r="AE558" s="44">
        <f t="shared" si="485"/>
        <v>125.73255742907558</v>
      </c>
      <c r="AF558" t="str">
        <f t="shared" si="486"/>
        <v>45.9520231294187</v>
      </c>
      <c r="AG558" t="str">
        <f t="shared" si="468"/>
        <v>1+1114.06926492457i</v>
      </c>
      <c r="AH558">
        <f t="shared" si="487"/>
        <v>1114.0697137296083</v>
      </c>
      <c r="AI558">
        <f t="shared" si="488"/>
        <v>1.5698987167782521</v>
      </c>
      <c r="AJ558" t="str">
        <f t="shared" si="469"/>
        <v>1+2.52522366716237i</v>
      </c>
      <c r="AK558">
        <f t="shared" si="489"/>
        <v>2.716018145962388</v>
      </c>
      <c r="AL558">
        <f t="shared" si="490"/>
        <v>1.1937390626405591</v>
      </c>
      <c r="AM558" t="str">
        <f t="shared" si="470"/>
        <v>1-5.64975327579539i</v>
      </c>
      <c r="AN558">
        <f t="shared" si="491"/>
        <v>5.7375702241768449</v>
      </c>
      <c r="AO558">
        <f t="shared" si="492"/>
        <v>-1.3956118378636022</v>
      </c>
      <c r="AP558" s="42" t="str">
        <f t="shared" si="493"/>
        <v>-0.128312154925043-0.629828726227802i</v>
      </c>
      <c r="AQ558">
        <f t="shared" si="494"/>
        <v>-3.8389409983630269</v>
      </c>
      <c r="AR558" s="44">
        <f t="shared" si="495"/>
        <v>-101.5150287532711</v>
      </c>
      <c r="AS558" t="str">
        <f t="shared" si="471"/>
        <v>-0.000166666666666667</v>
      </c>
      <c r="AT558" t="str">
        <f t="shared" si="472"/>
        <v>0.199177016747432i</v>
      </c>
      <c r="AU558">
        <f t="shared" si="496"/>
        <v>0.19917701674743199</v>
      </c>
      <c r="AV558">
        <f t="shared" si="497"/>
        <v>1.5707963267948966</v>
      </c>
      <c r="AW558" t="str">
        <f t="shared" si="473"/>
        <v>1+36.2875841553008i</v>
      </c>
      <c r="AX558">
        <f t="shared" si="498"/>
        <v>36.301360357816314</v>
      </c>
      <c r="AY558">
        <f t="shared" si="499"/>
        <v>1.5432456645650583</v>
      </c>
      <c r="AZ558" t="str">
        <f t="shared" si="474"/>
        <v>1+738.627922644991i</v>
      </c>
      <c r="BA558">
        <f t="shared" si="500"/>
        <v>738.62859957549358</v>
      </c>
      <c r="BB558">
        <f t="shared" si="501"/>
        <v>1.5694424659965676</v>
      </c>
      <c r="BC558" s="42" t="str">
        <f t="shared" si="502"/>
        <v>-0.000445975846730384+0.0170201626684292i</v>
      </c>
      <c r="BD558">
        <f t="shared" si="503"/>
        <v>-35.37774508599928</v>
      </c>
      <c r="BE558" s="44">
        <f t="shared" si="504"/>
        <v>91.500966158767739</v>
      </c>
      <c r="BF558" s="42" t="str">
        <f t="shared" si="505"/>
        <v>-0.00108796360580891-0.0008268130865076i</v>
      </c>
      <c r="BG558" s="20">
        <f t="shared" si="506"/>
        <v>-57.287894641496138</v>
      </c>
      <c r="BH558" s="44">
        <f t="shared" si="507"/>
        <v>-142.76647641215663</v>
      </c>
      <c r="BI558" s="42" t="str">
        <f t="shared" si="460"/>
        <v>0.0107770114955852-0.00190300534968636i</v>
      </c>
      <c r="BJ558" s="20">
        <f t="shared" si="508"/>
        <v>-39.216686084362344</v>
      </c>
      <c r="BK558" s="44">
        <f t="shared" si="461"/>
        <v>-10.014062594503404</v>
      </c>
      <c r="BL558">
        <f t="shared" si="509"/>
        <v>-57.287894641496138</v>
      </c>
      <c r="BM558" s="44">
        <f t="shared" si="510"/>
        <v>-142.76647641215663</v>
      </c>
    </row>
    <row r="559" spans="14:65" x14ac:dyDescent="0.35">
      <c r="N559" s="9">
        <v>41</v>
      </c>
      <c r="O559" s="35">
        <f t="shared" si="462"/>
        <v>2570395.782768866</v>
      </c>
      <c r="P559" s="34" t="str">
        <f t="shared" si="463"/>
        <v>16.3709677419355</v>
      </c>
      <c r="Q559" s="4" t="str">
        <f t="shared" si="464"/>
        <v>1+2375.65306298837i</v>
      </c>
      <c r="R559" s="4">
        <f t="shared" si="475"/>
        <v>2375.6532734568032</v>
      </c>
      <c r="S559" s="4">
        <f t="shared" si="476"/>
        <v>1.5703753899348318</v>
      </c>
      <c r="T559" s="4" t="str">
        <f t="shared" si="465"/>
        <v>1+2.58404368254875i</v>
      </c>
      <c r="U559" s="4">
        <f t="shared" si="477"/>
        <v>2.7707908173155373</v>
      </c>
      <c r="V559" s="4">
        <f t="shared" si="478"/>
        <v>1.2015552173844908</v>
      </c>
      <c r="W559" t="str">
        <f t="shared" si="466"/>
        <v>1-33.8166941109058i</v>
      </c>
      <c r="X559" s="4">
        <f t="shared" si="479"/>
        <v>33.831476476656633</v>
      </c>
      <c r="Y559" s="4">
        <f t="shared" si="480"/>
        <v>-1.5412337484895884</v>
      </c>
      <c r="Z559" t="str">
        <f t="shared" si="467"/>
        <v>-4.71719587242917+6.6598279895398i</v>
      </c>
      <c r="AA559" s="4">
        <f t="shared" si="481"/>
        <v>8.1612036948675986</v>
      </c>
      <c r="AB559" s="4">
        <f t="shared" si="482"/>
        <v>2.1870750376498895</v>
      </c>
      <c r="AC559" s="48" t="str">
        <f t="shared" si="483"/>
        <v>-0.0456842167810595+0.064637356998094i</v>
      </c>
      <c r="AD559" s="20">
        <f t="shared" si="484"/>
        <v>-22.030764580645588</v>
      </c>
      <c r="AE559" s="44">
        <f t="shared" si="485"/>
        <v>125.25180254624357</v>
      </c>
      <c r="AF559" t="str">
        <f t="shared" si="486"/>
        <v>45.9520231294187</v>
      </c>
      <c r="AG559" t="str">
        <f t="shared" si="468"/>
        <v>1+1140.01927171268i</v>
      </c>
      <c r="AH559">
        <f t="shared" si="487"/>
        <v>1140.0197103016724</v>
      </c>
      <c r="AI559">
        <f t="shared" si="488"/>
        <v>1.5699191488661259</v>
      </c>
      <c r="AJ559" t="str">
        <f t="shared" si="469"/>
        <v>1+2.58404368254875i</v>
      </c>
      <c r="AK559">
        <f t="shared" si="489"/>
        <v>2.7707908173155373</v>
      </c>
      <c r="AL559">
        <f t="shared" si="490"/>
        <v>1.2015552173844908</v>
      </c>
      <c r="AM559" t="str">
        <f t="shared" si="470"/>
        <v>1-5.78135293523665i</v>
      </c>
      <c r="AN559">
        <f t="shared" si="491"/>
        <v>5.8672005046503592</v>
      </c>
      <c r="AO559">
        <f t="shared" si="492"/>
        <v>-1.3995211192128976</v>
      </c>
      <c r="AP559" s="42" t="str">
        <f t="shared" si="493"/>
        <v>-0.128313825919351-0.642594356173124i</v>
      </c>
      <c r="AQ559">
        <f t="shared" si="494"/>
        <v>-3.6714610728847132</v>
      </c>
      <c r="AR559" s="44">
        <f t="shared" si="495"/>
        <v>-101.29235206906834</v>
      </c>
      <c r="AS559" t="str">
        <f t="shared" si="471"/>
        <v>-0.000166666666666667</v>
      </c>
      <c r="AT559" t="str">
        <f t="shared" si="472"/>
        <v>0.203816445461033i</v>
      </c>
      <c r="AU559">
        <f t="shared" si="496"/>
        <v>0.203816445461033</v>
      </c>
      <c r="AV559">
        <f t="shared" si="497"/>
        <v>1.5707963267948966</v>
      </c>
      <c r="AW559" t="str">
        <f t="shared" si="473"/>
        <v>1+37.1328305729173i</v>
      </c>
      <c r="AX559">
        <f t="shared" si="498"/>
        <v>37.146293305752344</v>
      </c>
      <c r="AY559">
        <f t="shared" si="499"/>
        <v>1.5438724876515058</v>
      </c>
      <c r="AZ559" t="str">
        <f t="shared" si="474"/>
        <v>1+755.832777145509i</v>
      </c>
      <c r="BA559">
        <f t="shared" si="500"/>
        <v>755.83343866720577</v>
      </c>
      <c r="BB559">
        <f t="shared" si="501"/>
        <v>1.5694732835943948</v>
      </c>
      <c r="BC559" s="42" t="str">
        <f t="shared" si="502"/>
        <v>-0.000425918173870454+0.016633276626395i</v>
      </c>
      <c r="BD559">
        <f t="shared" si="503"/>
        <v>-35.577597113935532</v>
      </c>
      <c r="BE559" s="44">
        <f t="shared" si="504"/>
        <v>91.466817559703173</v>
      </c>
      <c r="BF559" s="42" t="str">
        <f t="shared" si="505"/>
        <v>-0.00105567330116226-0.000787408440236i</v>
      </c>
      <c r="BG559" s="20">
        <f t="shared" si="506"/>
        <v>-57.608361694581099</v>
      </c>
      <c r="BH559" s="44">
        <f t="shared" si="507"/>
        <v>-143.2813798940534</v>
      </c>
      <c r="BI559" s="42" t="str">
        <f t="shared" si="460"/>
        <v>0.0107431008752057-0.00186058674678694i</v>
      </c>
      <c r="BJ559" s="20">
        <f t="shared" si="508"/>
        <v>-39.249058186820221</v>
      </c>
      <c r="BK559" s="44">
        <f t="shared" si="461"/>
        <v>-9.8255345093651361</v>
      </c>
      <c r="BL559">
        <f t="shared" si="509"/>
        <v>-57.608361694581099</v>
      </c>
      <c r="BM559" s="44">
        <f t="shared" si="510"/>
        <v>-143.2813798940534</v>
      </c>
    </row>
    <row r="560" spans="14:65" ht="15" thickBot="1" x14ac:dyDescent="0.4">
      <c r="N560" s="9">
        <v>42</v>
      </c>
      <c r="O560" s="35">
        <f t="shared" si="462"/>
        <v>2630267.9918953842</v>
      </c>
      <c r="P560" s="34" t="str">
        <f t="shared" si="463"/>
        <v>16.3709677419355</v>
      </c>
      <c r="Q560" s="4" t="str">
        <f t="shared" si="464"/>
        <v>1+2430.9891314463i</v>
      </c>
      <c r="R560" s="4">
        <f t="shared" si="475"/>
        <v>2430.9893371238873</v>
      </c>
      <c r="S560" s="4">
        <f t="shared" si="476"/>
        <v>1.5703849716264757</v>
      </c>
      <c r="T560" s="4" t="str">
        <f t="shared" si="465"/>
        <v>1+2.64423379209949i</v>
      </c>
      <c r="U560" s="4">
        <f t="shared" si="477"/>
        <v>2.8270076666469879</v>
      </c>
      <c r="V560" s="4">
        <f t="shared" si="478"/>
        <v>1.2092394177719503</v>
      </c>
      <c r="W560" t="str">
        <f t="shared" si="466"/>
        <v>1-34.6043861057917i</v>
      </c>
      <c r="X560" s="4">
        <f t="shared" si="479"/>
        <v>34.618832125863371</v>
      </c>
      <c r="Y560" s="4">
        <f t="shared" si="480"/>
        <v>-1.5419062962024472</v>
      </c>
      <c r="Z560" t="str">
        <f t="shared" si="467"/>
        <v>-4.98663901281934+6.8149553114913i</v>
      </c>
      <c r="AA560" s="4">
        <f t="shared" si="481"/>
        <v>8.4445357801240508</v>
      </c>
      <c r="AB560" s="4">
        <f t="shared" si="482"/>
        <v>2.2024952130663604</v>
      </c>
      <c r="AC560" s="43" t="str">
        <f t="shared" si="483"/>
        <v>-0.0445082052385128+0.0641117579503729i</v>
      </c>
      <c r="AD560" s="47">
        <f t="shared" si="484"/>
        <v>-22.152901646492818</v>
      </c>
      <c r="AE560" s="46">
        <f t="shared" si="485"/>
        <v>124.76948069070292</v>
      </c>
      <c r="AF560" t="str">
        <f t="shared" si="486"/>
        <v>45.9520231294187</v>
      </c>
      <c r="AG560" t="str">
        <f t="shared" si="468"/>
        <v>1+1166.57373180859i</v>
      </c>
      <c r="AH560">
        <f t="shared" si="487"/>
        <v>1166.5741604140821</v>
      </c>
      <c r="AI560">
        <f t="shared" si="488"/>
        <v>1.5699391158636058</v>
      </c>
      <c r="AJ560" t="str">
        <f t="shared" si="469"/>
        <v>1+2.64423379209949i</v>
      </c>
      <c r="AK560">
        <f t="shared" si="489"/>
        <v>2.8270076666469879</v>
      </c>
      <c r="AL560">
        <f t="shared" si="490"/>
        <v>1.2092394177719503</v>
      </c>
      <c r="AM560" t="str">
        <f t="shared" si="470"/>
        <v>1-5.91601794452942i</v>
      </c>
      <c r="AN560">
        <f t="shared" si="491"/>
        <v>5.9999390263563601</v>
      </c>
      <c r="AO560">
        <f t="shared" si="492"/>
        <v>-1.4033465298196899</v>
      </c>
      <c r="AP560" s="45" t="str">
        <f t="shared" si="493"/>
        <v>-0.128315421706638-0.655700698019858i</v>
      </c>
      <c r="AQ560" s="40">
        <f t="shared" si="494"/>
        <v>-3.5026778511429097</v>
      </c>
      <c r="AR560" s="46">
        <f t="shared" si="495"/>
        <v>-101.07240372529301</v>
      </c>
      <c r="AS560" t="str">
        <f t="shared" si="471"/>
        <v>-0.000166666666666667</v>
      </c>
      <c r="AT560" t="str">
        <f t="shared" si="472"/>
        <v>0.208563940351848i</v>
      </c>
      <c r="AU560">
        <f t="shared" si="496"/>
        <v>0.208563940351848</v>
      </c>
      <c r="AV560">
        <f t="shared" si="497"/>
        <v>1.5707963267948966</v>
      </c>
      <c r="AW560" t="str">
        <f t="shared" si="473"/>
        <v>1+37.9977653088148i</v>
      </c>
      <c r="AX560">
        <f t="shared" si="498"/>
        <v>38.010921699740052</v>
      </c>
      <c r="AY560">
        <f t="shared" si="499"/>
        <v>1.5444850629519959</v>
      </c>
      <c r="AZ560" t="str">
        <f t="shared" si="474"/>
        <v>1+773.438384189099i</v>
      </c>
      <c r="BA560">
        <f t="shared" si="500"/>
        <v>773.43903065273628</v>
      </c>
      <c r="BB560">
        <f t="shared" si="501"/>
        <v>1.5695033997004801</v>
      </c>
      <c r="BC560" s="45" t="str">
        <f t="shared" si="502"/>
        <v>-0.000406761965930483+0.0162551611661501i</v>
      </c>
      <c r="BD560" s="40">
        <f t="shared" si="503"/>
        <v>-35.777455796982331</v>
      </c>
      <c r="BE560" s="46">
        <f t="shared" si="504"/>
        <v>91.433445106125177</v>
      </c>
      <c r="BF560" s="45" t="str">
        <f t="shared" si="505"/>
        <v>-0.00102404271306566-0.000749566274071265i</v>
      </c>
      <c r="BG560" s="47">
        <f t="shared" si="506"/>
        <v>-57.93035744347516</v>
      </c>
      <c r="BH560" s="46">
        <f t="shared" si="507"/>
        <v>-143.7970742031718</v>
      </c>
      <c r="BI560" s="45" t="str">
        <f t="shared" si="460"/>
        <v>0.0107107143562625-0.00181907375495537i</v>
      </c>
      <c r="BJ560" s="47">
        <f t="shared" si="508"/>
        <v>-39.280133648125243</v>
      </c>
      <c r="BK560" s="46">
        <f t="shared" si="461"/>
        <v>-9.6389586191678287</v>
      </c>
      <c r="BL560" s="40">
        <f t="shared" si="509"/>
        <v>-57.93035744347516</v>
      </c>
      <c r="BM560" s="46">
        <f t="shared" si="510"/>
        <v>-143.7970742031718</v>
      </c>
    </row>
    <row r="561" spans="14:30" x14ac:dyDescent="0.35">
      <c r="N561" s="9"/>
      <c r="P561" s="34"/>
      <c r="Q561" s="4"/>
      <c r="R561" s="4"/>
      <c r="S561" s="4"/>
      <c r="T561" s="4"/>
      <c r="U561" s="4"/>
      <c r="V561" s="4"/>
      <c r="X561" s="4"/>
      <c r="Y561" s="4"/>
      <c r="AA561" s="4"/>
      <c r="AB561" s="4"/>
      <c r="AC561" s="4"/>
      <c r="AD561" s="20"/>
    </row>
    <row r="562" spans="14:30" x14ac:dyDescent="0.35">
      <c r="N562" s="9"/>
      <c r="P562" s="34"/>
      <c r="Q562" s="4"/>
      <c r="R562" s="4"/>
      <c r="S562" s="4"/>
      <c r="T562" s="4"/>
      <c r="U562" s="4"/>
      <c r="V562" s="4"/>
      <c r="X562" s="4"/>
      <c r="Y562" s="4"/>
      <c r="AA562" s="4"/>
      <c r="AB562" s="4"/>
      <c r="AC562" s="4"/>
      <c r="AD562" s="20"/>
    </row>
    <row r="563" spans="14:30" x14ac:dyDescent="0.35">
      <c r="N563" s="9"/>
      <c r="P563" s="34"/>
      <c r="Q563" s="4"/>
      <c r="R563" s="4"/>
      <c r="S563" s="4"/>
      <c r="T563" s="4"/>
      <c r="U563" s="4"/>
      <c r="V563" s="4"/>
      <c r="X563" s="4"/>
      <c r="Y563" s="4"/>
      <c r="AA563" s="4"/>
      <c r="AB563" s="4"/>
      <c r="AC563" s="4"/>
      <c r="AD563" s="20"/>
    </row>
    <row r="564" spans="14:30" x14ac:dyDescent="0.35">
      <c r="N564" s="9"/>
      <c r="P564" s="34"/>
      <c r="Q564" s="4"/>
      <c r="R564" s="4"/>
      <c r="S564" s="4"/>
      <c r="T564" s="4"/>
      <c r="U564" s="4"/>
      <c r="V564" s="4"/>
      <c r="X564" s="4"/>
      <c r="Y564" s="4"/>
      <c r="AA564" s="4"/>
      <c r="AB564" s="4"/>
      <c r="AC564" s="4"/>
      <c r="AD564" s="20"/>
    </row>
    <row r="565" spans="14:30" x14ac:dyDescent="0.35">
      <c r="N565" s="9"/>
      <c r="P565" s="34"/>
      <c r="Q565" s="4"/>
      <c r="R565" s="4"/>
      <c r="S565" s="4"/>
      <c r="T565" s="4"/>
      <c r="U565" s="4"/>
      <c r="V565" s="4"/>
      <c r="X565" s="4"/>
      <c r="Y565" s="4"/>
      <c r="AA565" s="4"/>
      <c r="AB565" s="4"/>
      <c r="AC565" s="4"/>
      <c r="AD565" s="20"/>
    </row>
    <row r="566" spans="14:30" x14ac:dyDescent="0.35">
      <c r="N566" s="9"/>
      <c r="P566" s="34"/>
      <c r="Q566" s="4"/>
      <c r="R566" s="4"/>
      <c r="S566" s="4"/>
      <c r="T566" s="4"/>
      <c r="U566" s="4"/>
      <c r="V566" s="4"/>
      <c r="X566" s="4"/>
      <c r="Y566" s="4"/>
      <c r="AA566" s="4"/>
      <c r="AB566" s="4"/>
      <c r="AC566" s="4"/>
      <c r="AD566" s="20"/>
    </row>
    <row r="567" spans="14:30" x14ac:dyDescent="0.35">
      <c r="N567" s="9"/>
      <c r="P567" s="34"/>
      <c r="Q567" s="4"/>
      <c r="R567" s="4"/>
      <c r="S567" s="4"/>
      <c r="T567" s="4"/>
      <c r="U567" s="4"/>
      <c r="V567" s="4"/>
      <c r="X567" s="4"/>
      <c r="Y567" s="4"/>
      <c r="AA567" s="4"/>
      <c r="AB567" s="4"/>
      <c r="AC567" s="4"/>
      <c r="AD567" s="20"/>
    </row>
    <row r="568" spans="14:30" x14ac:dyDescent="0.35">
      <c r="N568" s="9"/>
      <c r="P568" s="34"/>
      <c r="Q568" s="4"/>
      <c r="R568" s="4"/>
      <c r="S568" s="4"/>
      <c r="T568" s="4"/>
      <c r="U568" s="4"/>
      <c r="V568" s="4"/>
      <c r="X568" s="4"/>
      <c r="Y568" s="4"/>
      <c r="AA568" s="4"/>
      <c r="AB568" s="4"/>
      <c r="AC568" s="4"/>
      <c r="AD568" s="20"/>
    </row>
    <row r="569" spans="14:30" x14ac:dyDescent="0.35">
      <c r="N569" s="9"/>
      <c r="P569" s="34"/>
      <c r="Q569" s="4"/>
      <c r="R569" s="4"/>
      <c r="S569" s="4"/>
      <c r="T569" s="4"/>
      <c r="U569" s="4"/>
      <c r="V569" s="4"/>
      <c r="X569" s="4"/>
      <c r="Y569" s="4"/>
      <c r="AA569" s="4"/>
      <c r="AB569" s="4"/>
      <c r="AC569" s="4"/>
      <c r="AD569" s="20"/>
    </row>
    <row r="570" spans="14:30" x14ac:dyDescent="0.35">
      <c r="N570" s="9"/>
      <c r="P570" s="34"/>
      <c r="Q570" s="4"/>
      <c r="R570" s="4"/>
      <c r="S570" s="4"/>
      <c r="T570" s="4"/>
      <c r="U570" s="4"/>
      <c r="V570" s="4"/>
      <c r="X570" s="4"/>
      <c r="Y570" s="4"/>
      <c r="AA570" s="4"/>
      <c r="AB570" s="4"/>
      <c r="AC570" s="4"/>
      <c r="AD570" s="20"/>
    </row>
    <row r="571" spans="14:30" x14ac:dyDescent="0.35">
      <c r="N571" s="9"/>
      <c r="P571" s="34"/>
      <c r="Q571" s="4"/>
      <c r="R571" s="4"/>
      <c r="S571" s="4"/>
      <c r="T571" s="4"/>
      <c r="U571" s="4"/>
      <c r="V571" s="4"/>
      <c r="X571" s="4"/>
      <c r="Y571" s="4"/>
      <c r="AA571" s="4"/>
      <c r="AB571" s="4"/>
      <c r="AC571" s="4"/>
      <c r="AD571" s="20"/>
    </row>
    <row r="572" spans="14:30" x14ac:dyDescent="0.35">
      <c r="N572" s="9"/>
      <c r="P572" s="34"/>
      <c r="Q572" s="4"/>
      <c r="R572" s="4"/>
      <c r="S572" s="4"/>
      <c r="T572" s="4"/>
      <c r="U572" s="4"/>
      <c r="V572" s="4"/>
      <c r="X572" s="4"/>
      <c r="Y572" s="4"/>
      <c r="AA572" s="4"/>
      <c r="AB572" s="4"/>
      <c r="AC572" s="4"/>
      <c r="AD572" s="20"/>
    </row>
    <row r="573" spans="14:30" x14ac:dyDescent="0.35">
      <c r="N573" s="9"/>
      <c r="P573" s="34"/>
      <c r="Q573" s="4"/>
      <c r="R573" s="4"/>
      <c r="S573" s="4"/>
      <c r="T573" s="4"/>
      <c r="U573" s="4"/>
      <c r="V573" s="4"/>
      <c r="X573" s="4"/>
      <c r="Y573" s="4"/>
      <c r="AA573" s="4"/>
      <c r="AB573" s="4"/>
      <c r="AC573" s="4"/>
      <c r="AD573" s="20"/>
    </row>
    <row r="574" spans="14:30" x14ac:dyDescent="0.35">
      <c r="N574" s="9"/>
      <c r="P574" s="34"/>
      <c r="Q574" s="4"/>
      <c r="R574" s="4"/>
      <c r="S574" s="4"/>
      <c r="T574" s="4"/>
      <c r="U574" s="4"/>
      <c r="V574" s="4"/>
      <c r="X574" s="4"/>
      <c r="Y574" s="4"/>
      <c r="AA574" s="4"/>
      <c r="AB574" s="4"/>
      <c r="AC574" s="4"/>
      <c r="AD574" s="20"/>
    </row>
    <row r="575" spans="14:30" x14ac:dyDescent="0.35">
      <c r="N575" s="9"/>
      <c r="P575" s="34"/>
      <c r="Q575" s="4"/>
      <c r="R575" s="4"/>
      <c r="S575" s="4"/>
      <c r="T575" s="4"/>
      <c r="U575" s="4"/>
      <c r="V575" s="4"/>
      <c r="X575" s="4"/>
      <c r="Y575" s="4"/>
      <c r="AA575" s="4"/>
      <c r="AB575" s="4"/>
      <c r="AC575" s="4"/>
      <c r="AD575" s="20"/>
    </row>
    <row r="576" spans="14:30" x14ac:dyDescent="0.35">
      <c r="N576" s="9"/>
      <c r="P576" s="34"/>
      <c r="Q576" s="4"/>
      <c r="R576" s="4"/>
      <c r="S576" s="4"/>
      <c r="T576" s="4"/>
      <c r="U576" s="4"/>
      <c r="V576" s="4"/>
      <c r="X576" s="4"/>
      <c r="Y576" s="4"/>
      <c r="AA576" s="4"/>
      <c r="AB576" s="4"/>
      <c r="AC576" s="4"/>
      <c r="AD576" s="20"/>
    </row>
    <row r="577" spans="14:30" x14ac:dyDescent="0.35">
      <c r="N577" s="9"/>
      <c r="P577" s="34"/>
      <c r="Q577" s="4"/>
      <c r="R577" s="4"/>
      <c r="S577" s="4"/>
      <c r="T577" s="4"/>
      <c r="U577" s="4"/>
      <c r="V577" s="4"/>
      <c r="X577" s="4"/>
      <c r="Y577" s="4"/>
      <c r="AA577" s="4"/>
      <c r="AB577" s="4"/>
      <c r="AC577" s="4"/>
      <c r="AD577" s="20"/>
    </row>
    <row r="578" spans="14:30" x14ac:dyDescent="0.35">
      <c r="N578" s="9"/>
      <c r="P578" s="34"/>
      <c r="Q578" s="4"/>
      <c r="R578" s="4"/>
      <c r="S578" s="4"/>
      <c r="T578" s="4"/>
      <c r="U578" s="4"/>
      <c r="V578" s="4"/>
      <c r="X578" s="4"/>
      <c r="Y578" s="4"/>
      <c r="AA578" s="4"/>
      <c r="AB578" s="4"/>
      <c r="AC578" s="4"/>
      <c r="AD578" s="20"/>
    </row>
    <row r="579" spans="14:30" x14ac:dyDescent="0.35">
      <c r="N579" s="9"/>
      <c r="P579" s="34"/>
      <c r="Q579" s="4"/>
      <c r="R579" s="4"/>
      <c r="S579" s="4"/>
      <c r="T579" s="4"/>
      <c r="U579" s="4"/>
      <c r="V579" s="4"/>
      <c r="X579" s="4"/>
      <c r="Y579" s="4"/>
      <c r="AA579" s="4"/>
      <c r="AB579" s="4"/>
      <c r="AC579" s="4"/>
      <c r="AD579" s="20"/>
    </row>
    <row r="580" spans="14:30" x14ac:dyDescent="0.35">
      <c r="N580" s="9"/>
      <c r="P580" s="34"/>
      <c r="Q580" s="4"/>
      <c r="R580" s="4"/>
      <c r="S580" s="4"/>
      <c r="T580" s="4"/>
      <c r="U580" s="4"/>
      <c r="V580" s="4"/>
      <c r="X580" s="4"/>
      <c r="Y580" s="4"/>
      <c r="AA580" s="4"/>
      <c r="AB580" s="4"/>
      <c r="AC580" s="4"/>
      <c r="AD580" s="20"/>
    </row>
    <row r="581" spans="14:30" x14ac:dyDescent="0.35">
      <c r="N581" s="9"/>
      <c r="P581" s="34"/>
      <c r="Q581" s="4"/>
      <c r="R581" s="4"/>
      <c r="S581" s="4"/>
      <c r="T581" s="4"/>
      <c r="U581" s="4"/>
      <c r="V581" s="4"/>
      <c r="X581" s="4"/>
      <c r="Y581" s="4"/>
      <c r="AA581" s="4"/>
      <c r="AB581" s="4"/>
      <c r="AC581" s="4"/>
      <c r="AD581" s="20"/>
    </row>
    <row r="582" spans="14:30" x14ac:dyDescent="0.35">
      <c r="N582" s="9"/>
      <c r="P582" s="34"/>
      <c r="Q582" s="4"/>
      <c r="R582" s="4"/>
      <c r="S582" s="4"/>
      <c r="T582" s="4"/>
      <c r="U582" s="4"/>
      <c r="V582" s="4"/>
      <c r="X582" s="4"/>
      <c r="Y582" s="4"/>
      <c r="AA582" s="4"/>
      <c r="AB582" s="4"/>
      <c r="AC582" s="4"/>
      <c r="AD582" s="20"/>
    </row>
    <row r="583" spans="14:30" x14ac:dyDescent="0.35">
      <c r="N583" s="9"/>
      <c r="P583" s="34"/>
      <c r="Q583" s="4"/>
      <c r="R583" s="4"/>
      <c r="S583" s="4"/>
      <c r="T583" s="4"/>
      <c r="U583" s="4"/>
      <c r="V583" s="4"/>
      <c r="X583" s="4"/>
      <c r="Y583" s="4"/>
      <c r="AA583" s="4"/>
      <c r="AB583" s="4"/>
      <c r="AC583" s="4"/>
      <c r="AD583" s="20"/>
    </row>
    <row r="584" spans="14:30" x14ac:dyDescent="0.35">
      <c r="N584" s="9"/>
      <c r="P584" s="34"/>
      <c r="Q584" s="4"/>
      <c r="R584" s="4"/>
      <c r="S584" s="4"/>
      <c r="T584" s="4"/>
      <c r="U584" s="4"/>
      <c r="V584" s="4"/>
      <c r="X584" s="4"/>
      <c r="Y584" s="4"/>
      <c r="AA584" s="4"/>
      <c r="AB584" s="4"/>
      <c r="AC584" s="4"/>
      <c r="AD584" s="20"/>
    </row>
    <row r="585" spans="14:30" x14ac:dyDescent="0.35">
      <c r="N585" s="9"/>
      <c r="P585" s="34"/>
      <c r="Q585" s="4"/>
      <c r="R585" s="4"/>
      <c r="S585" s="4"/>
      <c r="T585" s="4"/>
      <c r="U585" s="4"/>
      <c r="V585" s="4"/>
      <c r="X585" s="4"/>
      <c r="Y585" s="4"/>
      <c r="AA585" s="4"/>
      <c r="AB585" s="4"/>
      <c r="AC585" s="4"/>
      <c r="AD585" s="20"/>
    </row>
    <row r="586" spans="14:30" x14ac:dyDescent="0.35">
      <c r="N586" s="9"/>
      <c r="P586" s="34"/>
      <c r="Q586" s="4"/>
      <c r="R586" s="4"/>
      <c r="S586" s="4"/>
      <c r="T586" s="4"/>
      <c r="U586" s="4"/>
      <c r="V586" s="4"/>
      <c r="X586" s="4"/>
      <c r="Y586" s="4"/>
      <c r="AA586" s="4"/>
      <c r="AB586" s="4"/>
      <c r="AC586" s="4"/>
      <c r="AD586" s="20"/>
    </row>
    <row r="587" spans="14:30" x14ac:dyDescent="0.35">
      <c r="N587" s="9"/>
      <c r="P587" s="34"/>
      <c r="Q587" s="4"/>
      <c r="R587" s="4"/>
      <c r="S587" s="4"/>
      <c r="T587" s="4"/>
      <c r="U587" s="4"/>
      <c r="V587" s="4"/>
      <c r="X587" s="4"/>
      <c r="Y587" s="4"/>
      <c r="AA587" s="4"/>
      <c r="AB587" s="4"/>
      <c r="AC587" s="4"/>
      <c r="AD587" s="20"/>
    </row>
    <row r="588" spans="14:30" x14ac:dyDescent="0.35">
      <c r="N588" s="9"/>
      <c r="P588" s="34"/>
      <c r="Q588" s="4"/>
      <c r="R588" s="4"/>
      <c r="S588" s="4"/>
      <c r="T588" s="4"/>
      <c r="U588" s="4"/>
      <c r="V588" s="4"/>
      <c r="X588" s="4"/>
      <c r="Y588" s="4"/>
      <c r="AA588" s="4"/>
      <c r="AB588" s="4"/>
      <c r="AC588" s="4"/>
      <c r="AD588" s="20"/>
    </row>
    <row r="589" spans="14:30" x14ac:dyDescent="0.35">
      <c r="N589" s="9"/>
      <c r="P589" s="34"/>
      <c r="Q589" s="4"/>
      <c r="R589" s="4"/>
      <c r="S589" s="4"/>
      <c r="T589" s="4"/>
      <c r="U589" s="4"/>
      <c r="V589" s="4"/>
      <c r="X589" s="4"/>
      <c r="Y589" s="4"/>
      <c r="AA589" s="4"/>
      <c r="AB589" s="4"/>
      <c r="AC589" s="4"/>
      <c r="AD589" s="20"/>
    </row>
    <row r="590" spans="14:30" x14ac:dyDescent="0.35">
      <c r="N590" s="9"/>
      <c r="P590" s="34"/>
      <c r="Q590" s="4"/>
      <c r="R590" s="4"/>
      <c r="S590" s="4"/>
      <c r="T590" s="4"/>
      <c r="U590" s="4"/>
      <c r="V590" s="4"/>
      <c r="X590" s="4"/>
      <c r="Y590" s="4"/>
      <c r="AA590" s="4"/>
      <c r="AB590" s="4"/>
      <c r="AC590" s="4"/>
      <c r="AD590" s="20"/>
    </row>
    <row r="591" spans="14:30" x14ac:dyDescent="0.35">
      <c r="N591" s="9"/>
      <c r="P591" s="34"/>
      <c r="Q591" s="4"/>
      <c r="R591" s="4"/>
      <c r="S591" s="4"/>
      <c r="T591" s="4"/>
      <c r="U591" s="4"/>
      <c r="V591" s="4"/>
      <c r="X591" s="4"/>
      <c r="Y591" s="4"/>
      <c r="AA591" s="4"/>
      <c r="AB591" s="4"/>
      <c r="AC591" s="4"/>
      <c r="AD591" s="20"/>
    </row>
    <row r="592" spans="14:30" x14ac:dyDescent="0.35">
      <c r="N592" s="9"/>
      <c r="P592" s="34"/>
      <c r="Q592" s="4"/>
      <c r="R592" s="4"/>
      <c r="S592" s="4"/>
      <c r="T592" s="4"/>
      <c r="U592" s="4"/>
      <c r="V592" s="4"/>
      <c r="X592" s="4"/>
      <c r="Y592" s="4"/>
      <c r="AA592" s="4"/>
      <c r="AB592" s="4"/>
      <c r="AC592" s="4"/>
      <c r="AD592" s="20"/>
    </row>
    <row r="593" spans="14:30" x14ac:dyDescent="0.35">
      <c r="N593" s="9"/>
      <c r="P593" s="34"/>
      <c r="Q593" s="4"/>
      <c r="R593" s="4"/>
      <c r="S593" s="4"/>
      <c r="T593" s="4"/>
      <c r="U593" s="4"/>
      <c r="V593" s="4"/>
      <c r="X593" s="4"/>
      <c r="Y593" s="4"/>
      <c r="AA593" s="4"/>
      <c r="AB593" s="4"/>
      <c r="AC593" s="4"/>
      <c r="AD593" s="20"/>
    </row>
    <row r="594" spans="14:30" x14ac:dyDescent="0.35">
      <c r="N594" s="9"/>
      <c r="P594" s="34"/>
      <c r="Q594" s="4"/>
      <c r="R594" s="4"/>
      <c r="S594" s="4"/>
      <c r="T594" s="4"/>
      <c r="U594" s="4"/>
      <c r="V594" s="4"/>
      <c r="X594" s="4"/>
      <c r="Y594" s="4"/>
      <c r="AA594" s="4"/>
      <c r="AB594" s="4"/>
      <c r="AC594" s="4"/>
      <c r="AD594" s="20"/>
    </row>
    <row r="595" spans="14:30" x14ac:dyDescent="0.35">
      <c r="N595" s="9"/>
      <c r="P595" s="34"/>
      <c r="Q595" s="4"/>
      <c r="R595" s="4"/>
      <c r="S595" s="4"/>
      <c r="T595" s="4"/>
      <c r="U595" s="4"/>
      <c r="V595" s="4"/>
      <c r="X595" s="4"/>
      <c r="Y595" s="4"/>
      <c r="AA595" s="4"/>
      <c r="AB595" s="4"/>
      <c r="AC595" s="4"/>
      <c r="AD595" s="20"/>
    </row>
    <row r="596" spans="14:30" x14ac:dyDescent="0.35">
      <c r="N596" s="9"/>
      <c r="P596" s="34"/>
      <c r="Q596" s="4"/>
      <c r="R596" s="4"/>
      <c r="S596" s="4"/>
      <c r="T596" s="4"/>
      <c r="U596" s="4"/>
      <c r="V596" s="4"/>
      <c r="X596" s="4"/>
      <c r="Y596" s="4"/>
      <c r="AA596" s="4"/>
      <c r="AB596" s="4"/>
      <c r="AC596" s="4"/>
      <c r="AD596" s="20"/>
    </row>
    <row r="597" spans="14:30" x14ac:dyDescent="0.35">
      <c r="N597" s="9"/>
      <c r="P597" s="34"/>
      <c r="Q597" s="4"/>
      <c r="R597" s="4"/>
      <c r="S597" s="4"/>
      <c r="T597" s="4"/>
      <c r="U597" s="4"/>
      <c r="V597" s="4"/>
      <c r="X597" s="4"/>
      <c r="Y597" s="4"/>
      <c r="AA597" s="4"/>
      <c r="AB597" s="4"/>
      <c r="AC597" s="4"/>
      <c r="AD597" s="20"/>
    </row>
    <row r="598" spans="14:30" x14ac:dyDescent="0.35">
      <c r="N598" s="9"/>
      <c r="P598" s="34"/>
      <c r="Q598" s="4"/>
      <c r="R598" s="4"/>
      <c r="S598" s="4"/>
      <c r="T598" s="4"/>
      <c r="U598" s="4"/>
      <c r="V598" s="4"/>
      <c r="X598" s="4"/>
      <c r="Y598" s="4"/>
      <c r="AA598" s="4"/>
      <c r="AB598" s="4"/>
      <c r="AC598" s="4"/>
      <c r="AD598" s="20"/>
    </row>
    <row r="599" spans="14:30" x14ac:dyDescent="0.35">
      <c r="N599" s="9"/>
      <c r="P599" s="34"/>
      <c r="Q599" s="4"/>
      <c r="R599" s="4"/>
      <c r="S599" s="4"/>
      <c r="T599" s="4"/>
      <c r="U599" s="4"/>
      <c r="V599" s="4"/>
      <c r="X599" s="4"/>
      <c r="Y599" s="4"/>
      <c r="AA599" s="4"/>
      <c r="AB599" s="4"/>
      <c r="AC599" s="4"/>
      <c r="AD599" s="20"/>
    </row>
    <row r="600" spans="14:30" x14ac:dyDescent="0.35">
      <c r="N600" s="9"/>
      <c r="P600" s="34"/>
      <c r="Q600" s="4"/>
      <c r="R600" s="4"/>
      <c r="S600" s="4"/>
      <c r="T600" s="4"/>
      <c r="U600" s="4"/>
      <c r="V600" s="4"/>
      <c r="X600" s="4"/>
      <c r="Y600" s="4"/>
      <c r="AA600" s="4"/>
      <c r="AB600" s="4"/>
      <c r="AC600" s="4"/>
      <c r="AD600" s="20"/>
    </row>
    <row r="601" spans="14:30" x14ac:dyDescent="0.35">
      <c r="N601" s="9"/>
      <c r="P601" s="34"/>
      <c r="Q601" s="4"/>
      <c r="R601" s="4"/>
      <c r="S601" s="4"/>
      <c r="T601" s="4"/>
      <c r="U601" s="4"/>
      <c r="V601" s="4"/>
      <c r="X601" s="4"/>
      <c r="Y601" s="4"/>
      <c r="AA601" s="4"/>
      <c r="AB601" s="4"/>
      <c r="AC601" s="4"/>
      <c r="AD601" s="20"/>
    </row>
    <row r="602" spans="14:30" x14ac:dyDescent="0.35">
      <c r="N602" s="9"/>
      <c r="P602" s="34"/>
      <c r="Q602" s="4"/>
      <c r="R602" s="4"/>
      <c r="S602" s="4"/>
      <c r="T602" s="4"/>
      <c r="U602" s="4"/>
      <c r="V602" s="4"/>
      <c r="X602" s="4"/>
      <c r="Y602" s="4"/>
      <c r="AA602" s="4"/>
      <c r="AB602" s="4"/>
      <c r="AC602" s="4"/>
      <c r="AD602" s="20"/>
    </row>
    <row r="603" spans="14:30" x14ac:dyDescent="0.35">
      <c r="N603" s="9"/>
      <c r="P603" s="34"/>
      <c r="Q603" s="4"/>
      <c r="R603" s="4"/>
      <c r="S603" s="4"/>
      <c r="T603" s="4"/>
      <c r="U603" s="4"/>
      <c r="V603" s="4"/>
      <c r="X603" s="4"/>
      <c r="Y603" s="4"/>
      <c r="AA603" s="4"/>
      <c r="AB603" s="4"/>
      <c r="AC603" s="4"/>
      <c r="AD603" s="20"/>
    </row>
    <row r="604" spans="14:30" x14ac:dyDescent="0.35">
      <c r="N604" s="9"/>
      <c r="P604" s="34"/>
      <c r="Q604" s="4"/>
      <c r="R604" s="4"/>
      <c r="S604" s="4"/>
      <c r="T604" s="4"/>
      <c r="U604" s="4"/>
      <c r="V604" s="4"/>
      <c r="X604" s="4"/>
      <c r="Y604" s="4"/>
      <c r="AA604" s="4"/>
      <c r="AB604" s="4"/>
      <c r="AC604" s="4"/>
      <c r="AD604" s="20"/>
    </row>
    <row r="605" spans="14:30" x14ac:dyDescent="0.35">
      <c r="N605" s="9"/>
      <c r="P605" s="34"/>
      <c r="Q605" s="4"/>
      <c r="R605" s="4"/>
      <c r="S605" s="4"/>
      <c r="T605" s="4"/>
      <c r="U605" s="4"/>
      <c r="V605" s="4"/>
      <c r="X605" s="4"/>
      <c r="Y605" s="4"/>
      <c r="AA605" s="4"/>
      <c r="AB605" s="4"/>
      <c r="AC605" s="4"/>
      <c r="AD605" s="20"/>
    </row>
    <row r="606" spans="14:30" x14ac:dyDescent="0.35">
      <c r="N606" s="9"/>
      <c r="P606" s="34"/>
      <c r="Q606" s="4"/>
      <c r="R606" s="4"/>
      <c r="S606" s="4"/>
      <c r="T606" s="4"/>
      <c r="U606" s="4"/>
      <c r="V606" s="4"/>
      <c r="X606" s="4"/>
      <c r="Y606" s="4"/>
      <c r="AA606" s="4"/>
      <c r="AB606" s="4"/>
      <c r="AC606" s="4"/>
      <c r="AD606" s="20"/>
    </row>
    <row r="607" spans="14:30" x14ac:dyDescent="0.35">
      <c r="N607" s="9"/>
      <c r="P607" s="34"/>
      <c r="Q607" s="4"/>
      <c r="R607" s="4"/>
      <c r="S607" s="4"/>
      <c r="T607" s="4"/>
      <c r="U607" s="4"/>
      <c r="V607" s="4"/>
      <c r="X607" s="4"/>
      <c r="Y607" s="4"/>
      <c r="AA607" s="4"/>
      <c r="AB607" s="4"/>
      <c r="AC607" s="4"/>
      <c r="AD607" s="20"/>
    </row>
    <row r="608" spans="14:30" x14ac:dyDescent="0.35">
      <c r="N608" s="9"/>
      <c r="P608" s="34"/>
      <c r="Q608" s="4"/>
      <c r="R608" s="4"/>
      <c r="S608" s="4"/>
      <c r="T608" s="4"/>
      <c r="U608" s="4"/>
      <c r="V608" s="4"/>
      <c r="X608" s="4"/>
      <c r="Y608" s="4"/>
      <c r="AA608" s="4"/>
      <c r="AB608" s="4"/>
      <c r="AC608" s="4"/>
      <c r="AD608" s="20"/>
    </row>
    <row r="609" spans="14:30" x14ac:dyDescent="0.35">
      <c r="N609" s="9"/>
      <c r="P609" s="34"/>
      <c r="Q609" s="4"/>
      <c r="R609" s="4"/>
      <c r="S609" s="4"/>
      <c r="T609" s="4"/>
      <c r="U609" s="4"/>
      <c r="V609" s="4"/>
      <c r="X609" s="4"/>
      <c r="Y609" s="4"/>
      <c r="AA609" s="4"/>
      <c r="AB609" s="4"/>
      <c r="AC609" s="4"/>
      <c r="AD609" s="20"/>
    </row>
    <row r="610" spans="14:30" x14ac:dyDescent="0.35">
      <c r="N610" s="9"/>
      <c r="P610" s="34"/>
      <c r="Q610" s="4"/>
      <c r="R610" s="4"/>
      <c r="S610" s="4"/>
      <c r="T610" s="4"/>
      <c r="U610" s="4"/>
      <c r="V610" s="4"/>
      <c r="X610" s="4"/>
      <c r="Y610" s="4"/>
      <c r="AA610" s="4"/>
      <c r="AB610" s="4"/>
      <c r="AC610" s="4"/>
      <c r="AD610" s="20"/>
    </row>
    <row r="611" spans="14:30" x14ac:dyDescent="0.35">
      <c r="N611" s="9"/>
      <c r="P611" s="34"/>
      <c r="Q611" s="4"/>
      <c r="R611" s="4"/>
      <c r="S611" s="4"/>
      <c r="T611" s="4"/>
      <c r="U611" s="4"/>
      <c r="V611" s="4"/>
      <c r="X611" s="4"/>
      <c r="Y611" s="4"/>
      <c r="AA611" s="4"/>
      <c r="AB611" s="4"/>
      <c r="AC611" s="4"/>
      <c r="AD611" s="20"/>
    </row>
    <row r="612" spans="14:30" x14ac:dyDescent="0.35">
      <c r="N612" s="9"/>
      <c r="P612" s="34"/>
      <c r="Q612" s="4"/>
      <c r="R612" s="4"/>
      <c r="S612" s="4"/>
      <c r="T612" s="4"/>
      <c r="U612" s="4"/>
      <c r="V612" s="4"/>
      <c r="X612" s="4"/>
      <c r="Y612" s="4"/>
      <c r="AA612" s="4"/>
      <c r="AB612" s="4"/>
      <c r="AC612" s="4"/>
      <c r="AD612" s="20"/>
    </row>
    <row r="613" spans="14:30" x14ac:dyDescent="0.35">
      <c r="N613" s="9"/>
      <c r="P613" s="34"/>
      <c r="Q613" s="4"/>
      <c r="R613" s="4"/>
      <c r="S613" s="4"/>
      <c r="T613" s="4"/>
      <c r="U613" s="4"/>
      <c r="V613" s="4"/>
      <c r="X613" s="4"/>
      <c r="Y613" s="4"/>
      <c r="AA613" s="4"/>
      <c r="AB613" s="4"/>
      <c r="AC613" s="4"/>
      <c r="AD613" s="20"/>
    </row>
    <row r="614" spans="14:30" x14ac:dyDescent="0.35">
      <c r="N614" s="9"/>
      <c r="P614" s="34"/>
      <c r="Q614" s="4"/>
      <c r="R614" s="4"/>
      <c r="S614" s="4"/>
      <c r="T614" s="4"/>
      <c r="U614" s="4"/>
      <c r="V614" s="4"/>
      <c r="X614" s="4"/>
      <c r="Y614" s="4"/>
      <c r="AA614" s="4"/>
      <c r="AB614" s="4"/>
      <c r="AC614" s="4"/>
      <c r="AD614" s="20"/>
    </row>
    <row r="615" spans="14:30" x14ac:dyDescent="0.35">
      <c r="N615" s="9"/>
      <c r="P615" s="34"/>
      <c r="Q615" s="4"/>
      <c r="R615" s="4"/>
      <c r="S615" s="4"/>
      <c r="T615" s="4"/>
      <c r="U615" s="4"/>
      <c r="V615" s="4"/>
      <c r="X615" s="4"/>
      <c r="Y615" s="4"/>
      <c r="AA615" s="4"/>
      <c r="AB615" s="4"/>
      <c r="AC615" s="4"/>
      <c r="AD615" s="20"/>
    </row>
    <row r="616" spans="14:30" x14ac:dyDescent="0.35">
      <c r="N616" s="9"/>
      <c r="P616" s="34"/>
      <c r="Q616" s="4"/>
      <c r="R616" s="4"/>
      <c r="S616" s="4"/>
      <c r="T616" s="4"/>
      <c r="U616" s="4"/>
      <c r="V616" s="4"/>
      <c r="X616" s="4"/>
      <c r="Y616" s="4"/>
      <c r="AA616" s="4"/>
      <c r="AB616" s="4"/>
      <c r="AC616" s="4"/>
      <c r="AD616" s="20"/>
    </row>
    <row r="617" spans="14:30" x14ac:dyDescent="0.35">
      <c r="N617" s="9"/>
      <c r="P617" s="34"/>
      <c r="Q617" s="4"/>
      <c r="R617" s="4"/>
      <c r="S617" s="4"/>
      <c r="T617" s="4"/>
      <c r="U617" s="4"/>
      <c r="V617" s="4"/>
      <c r="X617" s="4"/>
      <c r="Y617" s="4"/>
      <c r="AA617" s="4"/>
      <c r="AB617" s="4"/>
      <c r="AC617" s="4"/>
      <c r="AD617" s="20"/>
    </row>
    <row r="618" spans="14:30" x14ac:dyDescent="0.35">
      <c r="N618" s="9"/>
      <c r="P618" s="34"/>
      <c r="Q618" s="4"/>
      <c r="R618" s="4"/>
      <c r="S618" s="4"/>
      <c r="T618" s="4"/>
      <c r="U618" s="4"/>
      <c r="V618" s="4"/>
      <c r="X618" s="4"/>
      <c r="Y618" s="4"/>
      <c r="AA618" s="4"/>
      <c r="AB618" s="4"/>
      <c r="AC618" s="4"/>
      <c r="AD618" s="20"/>
    </row>
    <row r="619" spans="14:30" x14ac:dyDescent="0.35">
      <c r="N619" s="9"/>
      <c r="P619" s="34"/>
      <c r="Q619" s="4"/>
      <c r="R619" s="4"/>
      <c r="S619" s="4"/>
      <c r="T619" s="4"/>
      <c r="U619" s="4"/>
      <c r="V619" s="4"/>
      <c r="X619" s="4"/>
      <c r="Y619" s="4"/>
      <c r="AA619" s="4"/>
      <c r="AB619" s="4"/>
      <c r="AC619" s="4"/>
      <c r="AD619" s="20"/>
    </row>
    <row r="620" spans="14:30" x14ac:dyDescent="0.35">
      <c r="N620" s="9"/>
      <c r="P620" s="34"/>
      <c r="Q620" s="4"/>
      <c r="R620" s="4"/>
      <c r="S620" s="4"/>
      <c r="T620" s="4"/>
      <c r="U620" s="4"/>
      <c r="V620" s="4"/>
      <c r="X620" s="4"/>
      <c r="Y620" s="4"/>
      <c r="AA620" s="4"/>
      <c r="AB620" s="4"/>
      <c r="AC620" s="4"/>
      <c r="AD620" s="20"/>
    </row>
    <row r="621" spans="14:30" x14ac:dyDescent="0.35">
      <c r="N621" s="9"/>
      <c r="P621" s="34"/>
      <c r="Q621" s="4"/>
      <c r="R621" s="4"/>
      <c r="S621" s="4"/>
      <c r="T621" s="4"/>
      <c r="U621" s="4"/>
      <c r="V621" s="4"/>
      <c r="X621" s="4"/>
      <c r="Y621" s="4"/>
      <c r="AA621" s="4"/>
      <c r="AB621" s="4"/>
      <c r="AC621" s="4"/>
      <c r="AD621" s="20"/>
    </row>
    <row r="622" spans="14:30" x14ac:dyDescent="0.35">
      <c r="N622" s="9"/>
      <c r="P622" s="34"/>
      <c r="Q622" s="4"/>
      <c r="R622" s="4"/>
      <c r="S622" s="4"/>
      <c r="T622" s="4"/>
      <c r="U622" s="4"/>
      <c r="V622" s="4"/>
      <c r="X622" s="4"/>
      <c r="Y622" s="4"/>
      <c r="AA622" s="4"/>
      <c r="AB622" s="4"/>
      <c r="AC622" s="4"/>
      <c r="AD622" s="20"/>
    </row>
    <row r="623" spans="14:30" x14ac:dyDescent="0.35">
      <c r="N623" s="9"/>
      <c r="P623" s="34"/>
      <c r="Q623" s="4"/>
      <c r="R623" s="4"/>
      <c r="S623" s="4"/>
      <c r="T623" s="4"/>
      <c r="U623" s="4"/>
      <c r="V623" s="4"/>
      <c r="X623" s="4"/>
      <c r="Y623" s="4"/>
      <c r="AA623" s="4"/>
      <c r="AB623" s="4"/>
      <c r="AC623" s="4"/>
      <c r="AD623" s="20"/>
    </row>
    <row r="624" spans="14:30" x14ac:dyDescent="0.35">
      <c r="N624" s="9"/>
      <c r="P624" s="34"/>
      <c r="Q624" s="4"/>
      <c r="R624" s="4"/>
      <c r="S624" s="4"/>
      <c r="T624" s="4"/>
      <c r="U624" s="4"/>
      <c r="V624" s="4"/>
      <c r="X624" s="4"/>
      <c r="Y624" s="4"/>
      <c r="AA624" s="4"/>
      <c r="AB624" s="4"/>
      <c r="AC624" s="4"/>
      <c r="AD624" s="20"/>
    </row>
    <row r="625" spans="14:30" x14ac:dyDescent="0.35">
      <c r="N625" s="9"/>
      <c r="P625" s="34"/>
      <c r="Q625" s="4"/>
      <c r="R625" s="4"/>
      <c r="S625" s="4"/>
      <c r="T625" s="4"/>
      <c r="U625" s="4"/>
      <c r="V625" s="4"/>
      <c r="X625" s="4"/>
      <c r="Y625" s="4"/>
      <c r="AA625" s="4"/>
      <c r="AB625" s="4"/>
      <c r="AC625" s="4"/>
      <c r="AD625" s="20"/>
    </row>
    <row r="626" spans="14:30" x14ac:dyDescent="0.35">
      <c r="N626" s="9"/>
      <c r="P626" s="34"/>
      <c r="Q626" s="4"/>
      <c r="R626" s="4"/>
      <c r="S626" s="4"/>
      <c r="T626" s="4"/>
      <c r="U626" s="4"/>
      <c r="V626" s="4"/>
      <c r="X626" s="4"/>
      <c r="Y626" s="4"/>
      <c r="AA626" s="4"/>
      <c r="AB626" s="4"/>
      <c r="AC626" s="4"/>
      <c r="AD626" s="20"/>
    </row>
    <row r="627" spans="14:30" x14ac:dyDescent="0.35">
      <c r="N627" s="9"/>
      <c r="P627" s="34"/>
      <c r="Q627" s="4"/>
      <c r="R627" s="4"/>
      <c r="S627" s="4"/>
      <c r="T627" s="4"/>
      <c r="U627" s="4"/>
      <c r="V627" s="4"/>
      <c r="X627" s="4"/>
      <c r="Y627" s="4"/>
      <c r="AA627" s="4"/>
      <c r="AB627" s="4"/>
      <c r="AC627" s="4"/>
      <c r="AD627" s="20"/>
    </row>
    <row r="628" spans="14:30" x14ac:dyDescent="0.35">
      <c r="N628" s="9"/>
      <c r="P628" s="34"/>
      <c r="Q628" s="4"/>
      <c r="R628" s="4"/>
      <c r="S628" s="4"/>
      <c r="T628" s="4"/>
      <c r="U628" s="4"/>
      <c r="V628" s="4"/>
      <c r="X628" s="4"/>
      <c r="Y628" s="4"/>
      <c r="AA628" s="4"/>
      <c r="AB628" s="4"/>
      <c r="AC628" s="4"/>
      <c r="AD628" s="20"/>
    </row>
    <row r="629" spans="14:30" x14ac:dyDescent="0.35">
      <c r="N629" s="9"/>
      <c r="P629" s="34"/>
      <c r="Q629" s="4"/>
      <c r="R629" s="4"/>
      <c r="S629" s="4"/>
      <c r="T629" s="4"/>
      <c r="U629" s="4"/>
      <c r="V629" s="4"/>
      <c r="X629" s="4"/>
      <c r="Y629" s="4"/>
      <c r="AA629" s="4"/>
      <c r="AB629" s="4"/>
      <c r="AC629" s="4"/>
      <c r="AD629" s="20"/>
    </row>
    <row r="630" spans="14:30" x14ac:dyDescent="0.35">
      <c r="N630" s="9"/>
      <c r="P630" s="34"/>
      <c r="Q630" s="4"/>
      <c r="R630" s="4"/>
      <c r="S630" s="4"/>
      <c r="T630" s="4"/>
      <c r="U630" s="4"/>
      <c r="V630" s="4"/>
      <c r="X630" s="4"/>
      <c r="Y630" s="4"/>
      <c r="AA630" s="4"/>
      <c r="AB630" s="4"/>
      <c r="AC630" s="4"/>
      <c r="AD630" s="20"/>
    </row>
    <row r="631" spans="14:30" x14ac:dyDescent="0.35">
      <c r="N631" s="9"/>
      <c r="P631" s="34"/>
      <c r="Q631" s="4"/>
      <c r="R631" s="4"/>
      <c r="S631" s="4"/>
      <c r="T631" s="4"/>
      <c r="U631" s="4"/>
      <c r="V631" s="4"/>
      <c r="X631" s="4"/>
      <c r="Y631" s="4"/>
      <c r="AA631" s="4"/>
      <c r="AB631" s="4"/>
      <c r="AC631" s="4"/>
      <c r="AD631" s="20"/>
    </row>
    <row r="632" spans="14:30" x14ac:dyDescent="0.35">
      <c r="N632" s="9"/>
      <c r="P632" s="34"/>
      <c r="Q632" s="4"/>
      <c r="R632" s="4"/>
      <c r="S632" s="4"/>
      <c r="T632" s="4"/>
      <c r="U632" s="4"/>
      <c r="V632" s="4"/>
      <c r="X632" s="4"/>
      <c r="Y632" s="4"/>
      <c r="AA632" s="4"/>
      <c r="AB632" s="4"/>
      <c r="AC632" s="4"/>
      <c r="AD632" s="20"/>
    </row>
    <row r="633" spans="14:30" x14ac:dyDescent="0.35">
      <c r="N633" s="9"/>
      <c r="P633" s="34"/>
      <c r="Q633" s="4"/>
      <c r="R633" s="4"/>
      <c r="S633" s="4"/>
      <c r="T633" s="4"/>
      <c r="U633" s="4"/>
      <c r="V633" s="4"/>
      <c r="X633" s="4"/>
      <c r="Y633" s="4"/>
      <c r="AA633" s="4"/>
      <c r="AB633" s="4"/>
      <c r="AC633" s="4"/>
      <c r="AD633" s="20"/>
    </row>
    <row r="634" spans="14:30" x14ac:dyDescent="0.35">
      <c r="N634" s="9"/>
      <c r="P634" s="34"/>
      <c r="Q634" s="4"/>
      <c r="R634" s="4"/>
      <c r="S634" s="4"/>
      <c r="T634" s="4"/>
      <c r="U634" s="4"/>
      <c r="V634" s="4"/>
      <c r="X634" s="4"/>
      <c r="Y634" s="4"/>
      <c r="AA634" s="4"/>
      <c r="AB634" s="4"/>
      <c r="AC634" s="4"/>
      <c r="AD634" s="20"/>
    </row>
    <row r="635" spans="14:30" x14ac:dyDescent="0.35">
      <c r="N635" s="9"/>
      <c r="P635" s="34"/>
      <c r="Q635" s="4"/>
      <c r="R635" s="4"/>
      <c r="S635" s="4"/>
      <c r="T635" s="4"/>
      <c r="U635" s="4"/>
      <c r="V635" s="4"/>
      <c r="X635" s="4"/>
      <c r="Y635" s="4"/>
      <c r="AA635" s="4"/>
      <c r="AB635" s="4"/>
      <c r="AC635" s="4"/>
      <c r="AD635" s="20"/>
    </row>
    <row r="636" spans="14:30" x14ac:dyDescent="0.35">
      <c r="N636" s="9"/>
      <c r="P636" s="34"/>
      <c r="Q636" s="4"/>
      <c r="R636" s="4"/>
      <c r="S636" s="4"/>
      <c r="T636" s="4"/>
      <c r="U636" s="4"/>
      <c r="V636" s="4"/>
      <c r="X636" s="4"/>
      <c r="Y636" s="4"/>
      <c r="AA636" s="4"/>
      <c r="AB636" s="4"/>
      <c r="AC636" s="4"/>
      <c r="AD636" s="20"/>
    </row>
    <row r="637" spans="14:30" x14ac:dyDescent="0.35">
      <c r="N637" s="9"/>
      <c r="P637" s="34"/>
      <c r="Q637" s="4"/>
      <c r="R637" s="4"/>
      <c r="S637" s="4"/>
      <c r="T637" s="4"/>
      <c r="U637" s="4"/>
      <c r="V637" s="4"/>
      <c r="X637" s="4"/>
      <c r="Y637" s="4"/>
      <c r="AA637" s="4"/>
      <c r="AB637" s="4"/>
      <c r="AC637" s="4"/>
      <c r="AD637" s="20"/>
    </row>
    <row r="638" spans="14:30" x14ac:dyDescent="0.35">
      <c r="N638" s="9"/>
      <c r="P638" s="34"/>
      <c r="Q638" s="4"/>
      <c r="R638" s="4"/>
      <c r="S638" s="4"/>
      <c r="T638" s="4"/>
      <c r="U638" s="4"/>
      <c r="V638" s="4"/>
      <c r="X638" s="4"/>
      <c r="Y638" s="4"/>
      <c r="AA638" s="4"/>
      <c r="AB638" s="4"/>
      <c r="AC638" s="4"/>
      <c r="AD638" s="20"/>
    </row>
    <row r="639" spans="14:30" x14ac:dyDescent="0.35">
      <c r="N639" s="9"/>
      <c r="P639" s="34"/>
      <c r="Q639" s="4"/>
      <c r="R639" s="4"/>
      <c r="S639" s="4"/>
      <c r="T639" s="4"/>
      <c r="U639" s="4"/>
      <c r="V639" s="4"/>
      <c r="X639" s="4"/>
      <c r="Y639" s="4"/>
      <c r="AA639" s="4"/>
      <c r="AB639" s="4"/>
      <c r="AC639" s="4"/>
      <c r="AD639" s="20"/>
    </row>
    <row r="640" spans="14:30" x14ac:dyDescent="0.35">
      <c r="N640" s="9"/>
      <c r="P640" s="34"/>
      <c r="Q640" s="4"/>
      <c r="R640" s="4"/>
      <c r="S640" s="4"/>
      <c r="T640" s="4"/>
      <c r="U640" s="4"/>
      <c r="V640" s="4"/>
      <c r="X640" s="4"/>
      <c r="Y640" s="4"/>
      <c r="AA640" s="4"/>
      <c r="AB640" s="4"/>
      <c r="AC640" s="4"/>
      <c r="AD640" s="20"/>
    </row>
    <row r="641" spans="14:30" x14ac:dyDescent="0.35">
      <c r="N641" s="9"/>
      <c r="P641" s="34"/>
      <c r="Q641" s="4"/>
      <c r="R641" s="4"/>
      <c r="S641" s="4"/>
      <c r="T641" s="4"/>
      <c r="U641" s="4"/>
      <c r="V641" s="4"/>
      <c r="X641" s="4"/>
      <c r="Y641" s="4"/>
      <c r="AA641" s="4"/>
      <c r="AB641" s="4"/>
      <c r="AC641" s="4"/>
      <c r="AD641" s="20"/>
    </row>
    <row r="642" spans="14:30" x14ac:dyDescent="0.35">
      <c r="N642" s="9"/>
      <c r="P642" s="34"/>
      <c r="Q642" s="4"/>
      <c r="R642" s="4"/>
      <c r="S642" s="4"/>
      <c r="T642" s="4"/>
      <c r="U642" s="4"/>
      <c r="V642" s="4"/>
      <c r="X642" s="4"/>
      <c r="Y642" s="4"/>
      <c r="AA642" s="4"/>
      <c r="AB642" s="4"/>
      <c r="AC642" s="4"/>
      <c r="AD642" s="20"/>
    </row>
    <row r="643" spans="14:30" x14ac:dyDescent="0.35">
      <c r="N643" s="9"/>
      <c r="P643" s="34"/>
      <c r="Q643" s="4"/>
      <c r="R643" s="4"/>
      <c r="S643" s="4"/>
      <c r="T643" s="4"/>
      <c r="U643" s="4"/>
      <c r="V643" s="4"/>
      <c r="X643" s="4"/>
      <c r="Y643" s="4"/>
      <c r="AA643" s="4"/>
      <c r="AB643" s="4"/>
      <c r="AC643" s="4"/>
      <c r="AD643" s="20"/>
    </row>
    <row r="644" spans="14:30" x14ac:dyDescent="0.35">
      <c r="N644" s="9"/>
      <c r="P644" s="34"/>
      <c r="Q644" s="4"/>
      <c r="R644" s="4"/>
      <c r="S644" s="4"/>
      <c r="T644" s="4"/>
      <c r="U644" s="4"/>
      <c r="V644" s="4"/>
      <c r="X644" s="4"/>
      <c r="Y644" s="4"/>
      <c r="AA644" s="4"/>
      <c r="AB644" s="4"/>
      <c r="AC644" s="4"/>
      <c r="AD644" s="20"/>
    </row>
    <row r="645" spans="14:30" x14ac:dyDescent="0.35">
      <c r="N645" s="9"/>
      <c r="P645" s="34"/>
      <c r="Q645" s="4"/>
      <c r="R645" s="4"/>
      <c r="S645" s="4"/>
      <c r="T645" s="4"/>
      <c r="U645" s="4"/>
      <c r="V645" s="4"/>
      <c r="X645" s="4"/>
      <c r="Y645" s="4"/>
      <c r="AA645" s="4"/>
      <c r="AB645" s="4"/>
      <c r="AC645" s="4"/>
      <c r="AD645" s="20"/>
    </row>
    <row r="646" spans="14:30" x14ac:dyDescent="0.35">
      <c r="N646" s="9"/>
      <c r="P646" s="34"/>
      <c r="Q646" s="4"/>
      <c r="R646" s="4"/>
      <c r="S646" s="4"/>
      <c r="T646" s="4"/>
      <c r="U646" s="4"/>
      <c r="V646" s="4"/>
      <c r="X646" s="4"/>
      <c r="Y646" s="4"/>
      <c r="AA646" s="4"/>
      <c r="AB646" s="4"/>
      <c r="AC646" s="4"/>
      <c r="AD646" s="20"/>
    </row>
    <row r="647" spans="14:30" x14ac:dyDescent="0.35">
      <c r="N647" s="9"/>
      <c r="P647" s="34"/>
      <c r="Q647" s="4"/>
      <c r="R647" s="4"/>
      <c r="S647" s="4"/>
      <c r="T647" s="4"/>
      <c r="U647" s="4"/>
      <c r="V647" s="4"/>
      <c r="X647" s="4"/>
      <c r="Y647" s="4"/>
      <c r="AA647" s="4"/>
      <c r="AB647" s="4"/>
      <c r="AC647" s="4"/>
      <c r="AD647" s="20"/>
    </row>
    <row r="648" spans="14:30" x14ac:dyDescent="0.35">
      <c r="N648" s="9"/>
      <c r="P648" s="34"/>
      <c r="Q648" s="4"/>
      <c r="R648" s="4"/>
      <c r="S648" s="4"/>
      <c r="T648" s="4"/>
      <c r="U648" s="4"/>
      <c r="V648" s="4"/>
      <c r="X648" s="4"/>
      <c r="Y648" s="4"/>
      <c r="AA648" s="4"/>
      <c r="AB648" s="4"/>
      <c r="AC648" s="4"/>
      <c r="AD648" s="20"/>
    </row>
    <row r="649" spans="14:30" x14ac:dyDescent="0.35">
      <c r="N649" s="9"/>
      <c r="P649" s="34"/>
      <c r="Q649" s="4"/>
      <c r="R649" s="4"/>
      <c r="S649" s="4"/>
      <c r="T649" s="4"/>
      <c r="U649" s="4"/>
      <c r="V649" s="4"/>
      <c r="X649" s="4"/>
      <c r="Y649" s="4"/>
      <c r="AA649" s="4"/>
      <c r="AB649" s="4"/>
      <c r="AC649" s="4"/>
      <c r="AD649" s="20"/>
    </row>
    <row r="650" spans="14:30" x14ac:dyDescent="0.35">
      <c r="N650" s="9"/>
      <c r="P650" s="34"/>
      <c r="Q650" s="4"/>
      <c r="R650" s="4"/>
      <c r="S650" s="4"/>
      <c r="T650" s="4"/>
      <c r="U650" s="4"/>
      <c r="V650" s="4"/>
      <c r="X650" s="4"/>
      <c r="Y650" s="4"/>
      <c r="AA650" s="4"/>
      <c r="AB650" s="4"/>
      <c r="AC650" s="4"/>
      <c r="AD650" s="20"/>
    </row>
    <row r="651" spans="14:30" x14ac:dyDescent="0.35">
      <c r="N651" s="9"/>
      <c r="P651" s="34"/>
      <c r="Q651" s="4"/>
      <c r="R651" s="4"/>
      <c r="S651" s="4"/>
      <c r="T651" s="4"/>
      <c r="U651" s="4"/>
      <c r="V651" s="4"/>
      <c r="X651" s="4"/>
      <c r="Y651" s="4"/>
      <c r="AA651" s="4"/>
      <c r="AB651" s="4"/>
      <c r="AC651" s="4"/>
      <c r="AD651" s="20"/>
    </row>
    <row r="652" spans="14:30" x14ac:dyDescent="0.35">
      <c r="N652" s="9"/>
      <c r="P652" s="34"/>
      <c r="Q652" s="4"/>
      <c r="R652" s="4"/>
      <c r="S652" s="4"/>
      <c r="T652" s="4"/>
      <c r="U652" s="4"/>
      <c r="V652" s="4"/>
      <c r="X652" s="4"/>
      <c r="Y652" s="4"/>
      <c r="AA652" s="4"/>
      <c r="AB652" s="4"/>
      <c r="AC652" s="4"/>
      <c r="AD652" s="20"/>
    </row>
    <row r="653" spans="14:30" x14ac:dyDescent="0.35">
      <c r="N653" s="9"/>
      <c r="P653" s="34"/>
      <c r="Q653" s="4"/>
      <c r="R653" s="4"/>
      <c r="S653" s="4"/>
      <c r="T653" s="4"/>
      <c r="U653" s="4"/>
      <c r="V653" s="4"/>
      <c r="X653" s="4"/>
      <c r="Y653" s="4"/>
      <c r="AA653" s="4"/>
      <c r="AB653" s="4"/>
      <c r="AC653" s="4"/>
      <c r="AD653" s="20"/>
    </row>
    <row r="654" spans="14:30" x14ac:dyDescent="0.35">
      <c r="N654" s="9"/>
      <c r="P654" s="34"/>
      <c r="Q654" s="4"/>
      <c r="R654" s="4"/>
      <c r="S654" s="4"/>
      <c r="T654" s="4"/>
      <c r="U654" s="4"/>
      <c r="V654" s="4"/>
      <c r="X654" s="4"/>
      <c r="Y654" s="4"/>
      <c r="AA654" s="4"/>
      <c r="AB654" s="4"/>
      <c r="AC654" s="4"/>
      <c r="AD654" s="20"/>
    </row>
    <row r="655" spans="14:30" x14ac:dyDescent="0.35">
      <c r="N655" s="9"/>
      <c r="P655" s="34"/>
      <c r="Q655" s="4"/>
      <c r="R655" s="4"/>
      <c r="S655" s="4"/>
      <c r="T655" s="4"/>
      <c r="U655" s="4"/>
      <c r="V655" s="4"/>
      <c r="X655" s="4"/>
      <c r="Y655" s="4"/>
      <c r="AA655" s="4"/>
      <c r="AB655" s="4"/>
      <c r="AC655" s="4"/>
      <c r="AD655" s="20"/>
    </row>
    <row r="656" spans="14:30" x14ac:dyDescent="0.35">
      <c r="N656" s="9"/>
      <c r="P656" s="34"/>
      <c r="Q656" s="4"/>
      <c r="R656" s="4"/>
      <c r="S656" s="4"/>
      <c r="T656" s="4"/>
      <c r="U656" s="4"/>
      <c r="V656" s="4"/>
      <c r="X656" s="4"/>
      <c r="Y656" s="4"/>
      <c r="AA656" s="4"/>
      <c r="AB656" s="4"/>
      <c r="AC656" s="4"/>
      <c r="AD656" s="20"/>
    </row>
    <row r="657" spans="14:30" x14ac:dyDescent="0.35">
      <c r="N657" s="9"/>
      <c r="P657" s="34"/>
      <c r="Q657" s="4"/>
      <c r="R657" s="4"/>
      <c r="S657" s="4"/>
      <c r="T657" s="4"/>
      <c r="U657" s="4"/>
      <c r="V657" s="4"/>
      <c r="X657" s="4"/>
      <c r="Y657" s="4"/>
      <c r="AA657" s="4"/>
      <c r="AB657" s="4"/>
      <c r="AC657" s="4"/>
      <c r="AD657" s="20"/>
    </row>
    <row r="658" spans="14:30" x14ac:dyDescent="0.35">
      <c r="N658" s="9"/>
      <c r="P658" s="34"/>
      <c r="Q658" s="4"/>
      <c r="R658" s="4"/>
      <c r="S658" s="4"/>
      <c r="T658" s="4"/>
      <c r="U658" s="4"/>
      <c r="V658" s="4"/>
      <c r="X658" s="4"/>
      <c r="Y658" s="4"/>
      <c r="AA658" s="4"/>
      <c r="AB658" s="4"/>
      <c r="AC658" s="4"/>
      <c r="AD658" s="20"/>
    </row>
    <row r="659" spans="14:30" x14ac:dyDescent="0.35">
      <c r="N659" s="9"/>
      <c r="P659" s="34"/>
      <c r="Q659" s="4"/>
      <c r="R659" s="4"/>
      <c r="S659" s="4"/>
      <c r="T659" s="4"/>
      <c r="U659" s="4"/>
      <c r="V659" s="4"/>
      <c r="X659" s="4"/>
      <c r="Y659" s="4"/>
      <c r="AA659" s="4"/>
      <c r="AB659" s="4"/>
      <c r="AC659" s="4"/>
      <c r="AD659" s="20"/>
    </row>
    <row r="660" spans="14:30" x14ac:dyDescent="0.35">
      <c r="N660" s="9"/>
      <c r="P660" s="34"/>
      <c r="Q660" s="4"/>
      <c r="R660" s="4"/>
      <c r="S660" s="4"/>
      <c r="T660" s="4"/>
      <c r="U660" s="4"/>
      <c r="V660" s="4"/>
      <c r="X660" s="4"/>
      <c r="Y660" s="4"/>
      <c r="AA660" s="4"/>
      <c r="AB660" s="4"/>
      <c r="AC660" s="4"/>
      <c r="AD660" s="20"/>
    </row>
    <row r="661" spans="14:30" x14ac:dyDescent="0.35">
      <c r="N661" s="9"/>
      <c r="P661" s="34"/>
      <c r="Q661" s="4"/>
      <c r="R661" s="4"/>
      <c r="S661" s="4"/>
      <c r="T661" s="4"/>
      <c r="U661" s="4"/>
      <c r="V661" s="4"/>
      <c r="X661" s="4"/>
      <c r="Y661" s="4"/>
      <c r="AA661" s="4"/>
      <c r="AB661" s="4"/>
      <c r="AC661" s="4"/>
      <c r="AD661" s="20"/>
    </row>
    <row r="662" spans="14:30" x14ac:dyDescent="0.35">
      <c r="N662" s="9"/>
      <c r="P662" s="34"/>
      <c r="Q662" s="4"/>
      <c r="R662" s="4"/>
      <c r="S662" s="4"/>
      <c r="T662" s="4"/>
      <c r="U662" s="4"/>
      <c r="V662" s="4"/>
      <c r="X662" s="4"/>
      <c r="Y662" s="4"/>
      <c r="AA662" s="4"/>
      <c r="AB662" s="4"/>
      <c r="AC662" s="4"/>
      <c r="AD662" s="20"/>
    </row>
    <row r="663" spans="14:30" x14ac:dyDescent="0.35">
      <c r="N663" s="9"/>
      <c r="P663" s="34"/>
      <c r="Q663" s="4"/>
      <c r="R663" s="4"/>
      <c r="S663" s="4"/>
      <c r="T663" s="4"/>
      <c r="U663" s="4"/>
      <c r="V663" s="4"/>
      <c r="X663" s="4"/>
      <c r="Y663" s="4"/>
      <c r="AA663" s="4"/>
      <c r="AB663" s="4"/>
      <c r="AC663" s="4"/>
      <c r="AD663" s="20"/>
    </row>
    <row r="664" spans="14:30" x14ac:dyDescent="0.35">
      <c r="N664" s="9"/>
      <c r="P664" s="34"/>
      <c r="Q664" s="4"/>
      <c r="R664" s="4"/>
      <c r="S664" s="4"/>
      <c r="T664" s="4"/>
      <c r="U664" s="4"/>
      <c r="V664" s="4"/>
      <c r="X664" s="4"/>
      <c r="Y664" s="4"/>
      <c r="AA664" s="4"/>
      <c r="AB664" s="4"/>
      <c r="AC664" s="4"/>
      <c r="AD664" s="20"/>
    </row>
    <row r="665" spans="14:30" x14ac:dyDescent="0.35">
      <c r="N665" s="9"/>
      <c r="P665" s="34"/>
      <c r="Q665" s="4"/>
      <c r="R665" s="4"/>
      <c r="S665" s="4"/>
      <c r="T665" s="4"/>
      <c r="U665" s="4"/>
      <c r="V665" s="4"/>
      <c r="X665" s="4"/>
      <c r="Y665" s="4"/>
      <c r="AA665" s="4"/>
      <c r="AB665" s="4"/>
      <c r="AC665" s="4"/>
      <c r="AD665" s="20"/>
    </row>
    <row r="666" spans="14:30" x14ac:dyDescent="0.35">
      <c r="N666" s="9"/>
      <c r="P666" s="34"/>
      <c r="Q666" s="4"/>
      <c r="R666" s="4"/>
      <c r="S666" s="4"/>
      <c r="T666" s="4"/>
      <c r="U666" s="4"/>
      <c r="V666" s="4"/>
      <c r="X666" s="4"/>
      <c r="Y666" s="4"/>
      <c r="AA666" s="4"/>
      <c r="AB666" s="4"/>
      <c r="AC666" s="4"/>
      <c r="AD666" s="20"/>
    </row>
    <row r="667" spans="14:30" x14ac:dyDescent="0.35">
      <c r="N667" s="9"/>
      <c r="P667" s="34"/>
      <c r="Q667" s="4"/>
      <c r="R667" s="4"/>
      <c r="S667" s="4"/>
      <c r="T667" s="4"/>
      <c r="U667" s="4"/>
      <c r="V667" s="4"/>
      <c r="X667" s="4"/>
      <c r="Y667" s="4"/>
      <c r="AA667" s="4"/>
      <c r="AB667" s="4"/>
      <c r="AC667" s="4"/>
      <c r="AD667" s="20"/>
    </row>
    <row r="668" spans="14:30" x14ac:dyDescent="0.35">
      <c r="N668" s="9"/>
      <c r="P668" s="34"/>
      <c r="Q668" s="4"/>
      <c r="R668" s="4"/>
      <c r="S668" s="4"/>
      <c r="T668" s="4"/>
      <c r="U668" s="4"/>
      <c r="V668" s="4"/>
      <c r="X668" s="4"/>
      <c r="Y668" s="4"/>
      <c r="AA668" s="4"/>
      <c r="AB668" s="4"/>
      <c r="AC668" s="4"/>
      <c r="AD668" s="20"/>
    </row>
    <row r="669" spans="14:30" x14ac:dyDescent="0.35">
      <c r="N669" s="9"/>
      <c r="P669" s="34"/>
      <c r="Q669" s="4"/>
      <c r="R669" s="4"/>
      <c r="S669" s="4"/>
      <c r="T669" s="4"/>
      <c r="U669" s="4"/>
      <c r="V669" s="4"/>
      <c r="X669" s="4"/>
      <c r="Y669" s="4"/>
      <c r="AA669" s="4"/>
      <c r="AB669" s="4"/>
      <c r="AC669" s="4"/>
      <c r="AD669" s="20"/>
    </row>
    <row r="670" spans="14:30" x14ac:dyDescent="0.35">
      <c r="N670" s="9"/>
      <c r="P670" s="34"/>
      <c r="Q670" s="4"/>
      <c r="R670" s="4"/>
      <c r="S670" s="4"/>
      <c r="T670" s="4"/>
      <c r="U670" s="4"/>
      <c r="V670" s="4"/>
      <c r="X670" s="4"/>
      <c r="Y670" s="4"/>
      <c r="AA670" s="4"/>
      <c r="AB670" s="4"/>
      <c r="AC670" s="4"/>
      <c r="AD670" s="20"/>
    </row>
    <row r="671" spans="14:30" x14ac:dyDescent="0.35">
      <c r="N671" s="9"/>
      <c r="P671" s="34"/>
      <c r="Q671" s="4"/>
      <c r="R671" s="4"/>
      <c r="S671" s="4"/>
      <c r="T671" s="4"/>
      <c r="U671" s="4"/>
      <c r="V671" s="4"/>
      <c r="X671" s="4"/>
      <c r="Y671" s="4"/>
      <c r="AA671" s="4"/>
      <c r="AB671" s="4"/>
      <c r="AC671" s="4"/>
      <c r="AD671" s="20"/>
    </row>
    <row r="672" spans="14:30" x14ac:dyDescent="0.35">
      <c r="N672" s="9"/>
      <c r="P672" s="34"/>
      <c r="Q672" s="4"/>
      <c r="R672" s="4"/>
      <c r="S672" s="4"/>
      <c r="T672" s="4"/>
      <c r="U672" s="4"/>
      <c r="V672" s="4"/>
      <c r="X672" s="4"/>
      <c r="Y672" s="4"/>
      <c r="AA672" s="4"/>
      <c r="AB672" s="4"/>
      <c r="AC672" s="4"/>
      <c r="AD672" s="20"/>
    </row>
    <row r="673" spans="14:30" x14ac:dyDescent="0.35">
      <c r="N673" s="9"/>
      <c r="P673" s="34"/>
      <c r="Q673" s="4"/>
      <c r="R673" s="4"/>
      <c r="S673" s="4"/>
      <c r="T673" s="4"/>
      <c r="U673" s="4"/>
      <c r="V673" s="4"/>
      <c r="X673" s="4"/>
      <c r="Y673" s="4"/>
      <c r="AA673" s="4"/>
      <c r="AB673" s="4"/>
      <c r="AC673" s="4"/>
      <c r="AD673" s="20"/>
    </row>
    <row r="674" spans="14:30" x14ac:dyDescent="0.35">
      <c r="N674" s="9"/>
      <c r="P674" s="34"/>
      <c r="Q674" s="4"/>
      <c r="R674" s="4"/>
      <c r="S674" s="4"/>
      <c r="T674" s="4"/>
      <c r="U674" s="4"/>
      <c r="V674" s="4"/>
      <c r="X674" s="4"/>
      <c r="Y674" s="4"/>
      <c r="AA674" s="4"/>
      <c r="AB674" s="4"/>
      <c r="AC674" s="4"/>
      <c r="AD674" s="20"/>
    </row>
    <row r="675" spans="14:30" x14ac:dyDescent="0.35">
      <c r="N675" s="9"/>
      <c r="P675" s="34"/>
      <c r="Q675" s="4"/>
      <c r="R675" s="4"/>
      <c r="S675" s="4"/>
      <c r="T675" s="4"/>
      <c r="U675" s="4"/>
      <c r="V675" s="4"/>
      <c r="X675" s="4"/>
      <c r="Y675" s="4"/>
      <c r="AA675" s="4"/>
      <c r="AB675" s="4"/>
      <c r="AC675" s="4"/>
      <c r="AD675" s="20"/>
    </row>
    <row r="676" spans="14:30" x14ac:dyDescent="0.35">
      <c r="N676" s="9"/>
      <c r="P676" s="34"/>
      <c r="Q676" s="4"/>
      <c r="R676" s="4"/>
      <c r="S676" s="4"/>
      <c r="T676" s="4"/>
      <c r="U676" s="4"/>
      <c r="V676" s="4"/>
      <c r="X676" s="4"/>
      <c r="Y676" s="4"/>
      <c r="AA676" s="4"/>
      <c r="AB676" s="4"/>
      <c r="AC676" s="4"/>
      <c r="AD676" s="20"/>
    </row>
    <row r="677" spans="14:30" x14ac:dyDescent="0.35">
      <c r="N677" s="9"/>
      <c r="P677" s="34"/>
      <c r="Q677" s="4"/>
      <c r="R677" s="4"/>
      <c r="S677" s="4"/>
      <c r="T677" s="4"/>
      <c r="U677" s="4"/>
      <c r="V677" s="4"/>
      <c r="X677" s="4"/>
      <c r="Y677" s="4"/>
      <c r="AA677" s="4"/>
      <c r="AB677" s="4"/>
      <c r="AC677" s="4"/>
      <c r="AD677" s="20"/>
    </row>
    <row r="678" spans="14:30" x14ac:dyDescent="0.35">
      <c r="N678" s="9"/>
      <c r="P678" s="34"/>
      <c r="Q678" s="4"/>
      <c r="R678" s="4"/>
      <c r="S678" s="4"/>
      <c r="T678" s="4"/>
      <c r="U678" s="4"/>
      <c r="V678" s="4"/>
      <c r="X678" s="4"/>
      <c r="Y678" s="4"/>
      <c r="AA678" s="4"/>
      <c r="AB678" s="4"/>
      <c r="AC678" s="4"/>
      <c r="AD678" s="20"/>
    </row>
    <row r="679" spans="14:30" x14ac:dyDescent="0.35">
      <c r="N679" s="9"/>
      <c r="P679" s="34"/>
      <c r="Q679" s="4"/>
      <c r="R679" s="4"/>
      <c r="S679" s="4"/>
      <c r="T679" s="4"/>
      <c r="U679" s="4"/>
      <c r="V679" s="4"/>
      <c r="X679" s="4"/>
      <c r="Y679" s="4"/>
      <c r="AA679" s="4"/>
      <c r="AB679" s="4"/>
      <c r="AC679" s="4"/>
      <c r="AD679" s="20"/>
    </row>
    <row r="680" spans="14:30" x14ac:dyDescent="0.35">
      <c r="N680" s="9"/>
      <c r="P680" s="34"/>
      <c r="Q680" s="4"/>
      <c r="R680" s="4"/>
      <c r="S680" s="4"/>
      <c r="T680" s="4"/>
      <c r="U680" s="4"/>
      <c r="V680" s="4"/>
      <c r="X680" s="4"/>
      <c r="Y680" s="4"/>
      <c r="AA680" s="4"/>
      <c r="AB680" s="4"/>
      <c r="AC680" s="4"/>
      <c r="AD680" s="20"/>
    </row>
    <row r="681" spans="14:30" x14ac:dyDescent="0.35">
      <c r="N681" s="9"/>
      <c r="P681" s="34"/>
      <c r="Q681" s="4"/>
      <c r="R681" s="4"/>
      <c r="S681" s="4"/>
      <c r="T681" s="4"/>
      <c r="U681" s="4"/>
      <c r="V681" s="4"/>
      <c r="X681" s="4"/>
      <c r="Y681" s="4"/>
      <c r="AA681" s="4"/>
      <c r="AB681" s="4"/>
      <c r="AC681" s="4"/>
      <c r="AD681" s="20"/>
    </row>
    <row r="682" spans="14:30" x14ac:dyDescent="0.35">
      <c r="N682" s="9"/>
      <c r="P682" s="34"/>
      <c r="Q682" s="4"/>
      <c r="R682" s="4"/>
      <c r="S682" s="4"/>
      <c r="T682" s="4"/>
      <c r="U682" s="4"/>
      <c r="V682" s="4"/>
      <c r="X682" s="4"/>
      <c r="Y682" s="4"/>
      <c r="AA682" s="4"/>
      <c r="AB682" s="4"/>
      <c r="AC682" s="4"/>
      <c r="AD682" s="20"/>
    </row>
    <row r="683" spans="14:30" x14ac:dyDescent="0.35">
      <c r="N683" s="9"/>
      <c r="P683" s="34"/>
      <c r="Q683" s="4"/>
      <c r="R683" s="4"/>
      <c r="S683" s="4"/>
      <c r="T683" s="4"/>
      <c r="U683" s="4"/>
      <c r="V683" s="4"/>
      <c r="X683" s="4"/>
      <c r="Y683" s="4"/>
      <c r="AA683" s="4"/>
      <c r="AB683" s="4"/>
      <c r="AC683" s="4"/>
      <c r="AD683" s="20"/>
    </row>
    <row r="684" spans="14:30" x14ac:dyDescent="0.35">
      <c r="N684" s="9"/>
      <c r="P684" s="34"/>
      <c r="Q684" s="4"/>
      <c r="R684" s="4"/>
      <c r="S684" s="4"/>
      <c r="T684" s="4"/>
      <c r="U684" s="4"/>
      <c r="V684" s="4"/>
      <c r="X684" s="4"/>
      <c r="Y684" s="4"/>
      <c r="AA684" s="4"/>
      <c r="AB684" s="4"/>
      <c r="AC684" s="4"/>
      <c r="AD684" s="20"/>
    </row>
    <row r="685" spans="14:30" x14ac:dyDescent="0.35">
      <c r="N685" s="9"/>
      <c r="P685" s="34"/>
      <c r="Q685" s="4"/>
      <c r="R685" s="4"/>
      <c r="S685" s="4"/>
      <c r="T685" s="4"/>
      <c r="U685" s="4"/>
      <c r="V685" s="4"/>
      <c r="X685" s="4"/>
      <c r="Y685" s="4"/>
      <c r="AA685" s="4"/>
      <c r="AB685" s="4"/>
      <c r="AC685" s="4"/>
      <c r="AD685" s="20"/>
    </row>
    <row r="686" spans="14:30" x14ac:dyDescent="0.35">
      <c r="N686" s="9"/>
      <c r="P686" s="34"/>
      <c r="Q686" s="4"/>
      <c r="R686" s="4"/>
      <c r="S686" s="4"/>
      <c r="T686" s="4"/>
      <c r="U686" s="4"/>
      <c r="V686" s="4"/>
      <c r="X686" s="4"/>
      <c r="Y686" s="4"/>
      <c r="AA686" s="4"/>
      <c r="AB686" s="4"/>
      <c r="AC686" s="4"/>
      <c r="AD686" s="20"/>
    </row>
    <row r="687" spans="14:30" x14ac:dyDescent="0.35">
      <c r="N687" s="9"/>
      <c r="P687" s="34"/>
      <c r="Q687" s="4"/>
      <c r="R687" s="4"/>
      <c r="S687" s="4"/>
      <c r="T687" s="4"/>
      <c r="U687" s="4"/>
      <c r="V687" s="4"/>
      <c r="X687" s="4"/>
      <c r="Y687" s="4"/>
      <c r="AA687" s="4"/>
      <c r="AB687" s="4"/>
      <c r="AC687" s="4"/>
      <c r="AD687" s="20"/>
    </row>
    <row r="688" spans="14:30" x14ac:dyDescent="0.35">
      <c r="N688" s="9"/>
      <c r="P688" s="34"/>
      <c r="Q688" s="4"/>
      <c r="R688" s="4"/>
      <c r="S688" s="4"/>
      <c r="T688" s="4"/>
      <c r="U688" s="4"/>
      <c r="V688" s="4"/>
      <c r="X688" s="4"/>
      <c r="Y688" s="4"/>
      <c r="AA688" s="4"/>
      <c r="AB688" s="4"/>
      <c r="AC688" s="4"/>
      <c r="AD688" s="20"/>
    </row>
    <row r="689" spans="14:30" x14ac:dyDescent="0.35">
      <c r="N689" s="9"/>
      <c r="P689" s="34"/>
      <c r="Q689" s="4"/>
      <c r="R689" s="4"/>
      <c r="S689" s="4"/>
      <c r="T689" s="4"/>
      <c r="U689" s="4"/>
      <c r="V689" s="4"/>
      <c r="X689" s="4"/>
      <c r="Y689" s="4"/>
      <c r="AA689" s="4"/>
      <c r="AB689" s="4"/>
      <c r="AC689" s="4"/>
      <c r="AD689" s="20"/>
    </row>
    <row r="690" spans="14:30" x14ac:dyDescent="0.35">
      <c r="N690" s="9"/>
      <c r="P690" s="34"/>
      <c r="Q690" s="4"/>
      <c r="R690" s="4"/>
      <c r="S690" s="4"/>
      <c r="T690" s="4"/>
      <c r="U690" s="4"/>
      <c r="V690" s="4"/>
      <c r="X690" s="4"/>
      <c r="Y690" s="4"/>
      <c r="AA690" s="4"/>
      <c r="AB690" s="4"/>
      <c r="AC690" s="4"/>
      <c r="AD690" s="20"/>
    </row>
    <row r="691" spans="14:30" x14ac:dyDescent="0.35">
      <c r="N691" s="9"/>
      <c r="P691" s="34"/>
      <c r="Q691" s="4"/>
      <c r="R691" s="4"/>
      <c r="S691" s="4"/>
      <c r="T691" s="4"/>
      <c r="U691" s="4"/>
      <c r="V691" s="4"/>
      <c r="X691" s="4"/>
      <c r="Y691" s="4"/>
      <c r="AA691" s="4"/>
      <c r="AB691" s="4"/>
      <c r="AC691" s="4"/>
      <c r="AD691" s="20"/>
    </row>
    <row r="692" spans="14:30" x14ac:dyDescent="0.35">
      <c r="N692" s="9"/>
      <c r="P692" s="34"/>
      <c r="Q692" s="4"/>
      <c r="R692" s="4"/>
      <c r="S692" s="4"/>
      <c r="T692" s="4"/>
      <c r="U692" s="4"/>
      <c r="V692" s="4"/>
      <c r="X692" s="4"/>
      <c r="Y692" s="4"/>
      <c r="AA692" s="4"/>
      <c r="AB692" s="4"/>
      <c r="AC692" s="4"/>
      <c r="AD692" s="20"/>
    </row>
    <row r="693" spans="14:30" x14ac:dyDescent="0.35">
      <c r="N693" s="9"/>
      <c r="P693" s="34"/>
      <c r="Q693" s="4"/>
      <c r="R693" s="4"/>
      <c r="S693" s="4"/>
      <c r="T693" s="4"/>
      <c r="U693" s="4"/>
      <c r="V693" s="4"/>
      <c r="X693" s="4"/>
      <c r="Y693" s="4"/>
      <c r="AA693" s="4"/>
      <c r="AB693" s="4"/>
      <c r="AC693" s="4"/>
      <c r="AD693" s="20"/>
    </row>
    <row r="694" spans="14:30" x14ac:dyDescent="0.35">
      <c r="N694" s="9"/>
      <c r="P694" s="34"/>
      <c r="Q694" s="4"/>
      <c r="R694" s="4"/>
      <c r="S694" s="4"/>
      <c r="T694" s="4"/>
      <c r="U694" s="4"/>
      <c r="V694" s="4"/>
      <c r="X694" s="4"/>
      <c r="Y694" s="4"/>
      <c r="AA694" s="4"/>
      <c r="AB694" s="4"/>
      <c r="AC694" s="4"/>
      <c r="AD694" s="20"/>
    </row>
    <row r="695" spans="14:30" x14ac:dyDescent="0.35">
      <c r="N695" s="9"/>
      <c r="P695" s="34"/>
      <c r="Q695" s="4"/>
      <c r="R695" s="4"/>
      <c r="S695" s="4"/>
      <c r="T695" s="4"/>
      <c r="U695" s="4"/>
      <c r="V695" s="4"/>
      <c r="X695" s="4"/>
      <c r="Y695" s="4"/>
      <c r="AA695" s="4"/>
      <c r="AB695" s="4"/>
      <c r="AC695" s="4"/>
      <c r="AD695" s="20"/>
    </row>
    <row r="696" spans="14:30" x14ac:dyDescent="0.35">
      <c r="N696" s="9"/>
      <c r="P696" s="34"/>
      <c r="Q696" s="4"/>
      <c r="R696" s="4"/>
      <c r="S696" s="4"/>
      <c r="T696" s="4"/>
      <c r="U696" s="4"/>
      <c r="V696" s="4"/>
      <c r="X696" s="4"/>
      <c r="Y696" s="4"/>
      <c r="AA696" s="4"/>
      <c r="AB696" s="4"/>
      <c r="AC696" s="4"/>
      <c r="AD696" s="20"/>
    </row>
    <row r="697" spans="14:30" x14ac:dyDescent="0.35">
      <c r="N697" s="9"/>
      <c r="P697" s="34"/>
      <c r="Q697" s="4"/>
      <c r="R697" s="4"/>
      <c r="S697" s="4"/>
      <c r="T697" s="4"/>
      <c r="U697" s="4"/>
      <c r="V697" s="4"/>
      <c r="X697" s="4"/>
      <c r="Y697" s="4"/>
      <c r="AA697" s="4"/>
      <c r="AB697" s="4"/>
      <c r="AC697" s="4"/>
      <c r="AD697" s="20"/>
    </row>
    <row r="698" spans="14:30" x14ac:dyDescent="0.35">
      <c r="N698" s="9"/>
      <c r="P698" s="34"/>
      <c r="Q698" s="4"/>
      <c r="R698" s="4"/>
      <c r="S698" s="4"/>
      <c r="T698" s="4"/>
      <c r="U698" s="4"/>
      <c r="V698" s="4"/>
      <c r="X698" s="4"/>
      <c r="Y698" s="4"/>
      <c r="AA698" s="4"/>
      <c r="AB698" s="4"/>
      <c r="AC698" s="4"/>
      <c r="AD698" s="20"/>
    </row>
    <row r="699" spans="14:30" x14ac:dyDescent="0.35">
      <c r="N699" s="9"/>
      <c r="P699" s="34"/>
      <c r="Q699" s="4"/>
      <c r="R699" s="4"/>
      <c r="S699" s="4"/>
      <c r="T699" s="4"/>
      <c r="U699" s="4"/>
      <c r="V699" s="4"/>
      <c r="X699" s="4"/>
      <c r="Y699" s="4"/>
      <c r="AA699" s="4"/>
      <c r="AB699" s="4"/>
      <c r="AC699" s="4"/>
      <c r="AD699" s="20"/>
    </row>
    <row r="700" spans="14:30" x14ac:dyDescent="0.35">
      <c r="N700" s="9"/>
      <c r="P700" s="34"/>
      <c r="Q700" s="4"/>
      <c r="R700" s="4"/>
      <c r="S700" s="4"/>
      <c r="T700" s="4"/>
      <c r="U700" s="4"/>
      <c r="V700" s="4"/>
      <c r="X700" s="4"/>
      <c r="Y700" s="4"/>
      <c r="AA700" s="4"/>
      <c r="AB700" s="4"/>
      <c r="AC700" s="4"/>
      <c r="AD700" s="20"/>
    </row>
    <row r="701" spans="14:30" x14ac:dyDescent="0.35">
      <c r="N701" s="9"/>
      <c r="P701" s="34"/>
      <c r="Q701" s="4"/>
      <c r="R701" s="4"/>
      <c r="S701" s="4"/>
      <c r="T701" s="4"/>
      <c r="U701" s="4"/>
      <c r="V701" s="4"/>
      <c r="X701" s="4"/>
      <c r="Y701" s="4"/>
      <c r="AA701" s="4"/>
      <c r="AB701" s="4"/>
      <c r="AC701" s="4"/>
      <c r="AD701" s="20"/>
    </row>
    <row r="702" spans="14:30" x14ac:dyDescent="0.35">
      <c r="N702" s="9"/>
      <c r="P702" s="34"/>
      <c r="Q702" s="4"/>
      <c r="R702" s="4"/>
      <c r="S702" s="4"/>
      <c r="T702" s="4"/>
      <c r="U702" s="4"/>
      <c r="V702" s="4"/>
      <c r="X702" s="4"/>
      <c r="Y702" s="4"/>
      <c r="AA702" s="4"/>
      <c r="AB702" s="4"/>
      <c r="AC702" s="4"/>
      <c r="AD702" s="20"/>
    </row>
    <row r="703" spans="14:30" x14ac:dyDescent="0.35">
      <c r="N703" s="9"/>
      <c r="P703" s="34"/>
      <c r="Q703" s="4"/>
      <c r="R703" s="4"/>
      <c r="S703" s="4"/>
      <c r="T703" s="4"/>
      <c r="U703" s="4"/>
      <c r="V703" s="4"/>
      <c r="X703" s="4"/>
      <c r="Y703" s="4"/>
      <c r="AA703" s="4"/>
      <c r="AB703" s="4"/>
      <c r="AC703" s="4"/>
      <c r="AD703" s="20"/>
    </row>
    <row r="704" spans="14:30" x14ac:dyDescent="0.35">
      <c r="N704" s="9"/>
      <c r="P704" s="34"/>
      <c r="Q704" s="4"/>
      <c r="R704" s="4"/>
      <c r="S704" s="4"/>
      <c r="T704" s="4"/>
      <c r="U704" s="4"/>
      <c r="V704" s="4"/>
      <c r="X704" s="4"/>
      <c r="Y704" s="4"/>
      <c r="AA704" s="4"/>
      <c r="AB704" s="4"/>
      <c r="AC704" s="4"/>
      <c r="AD704" s="20"/>
    </row>
    <row r="705" spans="14:30" x14ac:dyDescent="0.35">
      <c r="N705" s="9"/>
      <c r="P705" s="34"/>
      <c r="Q705" s="4"/>
      <c r="R705" s="4"/>
      <c r="S705" s="4"/>
      <c r="T705" s="4"/>
      <c r="U705" s="4"/>
      <c r="V705" s="4"/>
      <c r="X705" s="4"/>
      <c r="Y705" s="4"/>
      <c r="AA705" s="4"/>
      <c r="AB705" s="4"/>
      <c r="AC705" s="4"/>
      <c r="AD705" s="20"/>
    </row>
    <row r="706" spans="14:30" x14ac:dyDescent="0.35">
      <c r="N706" s="9"/>
      <c r="P706" s="34"/>
      <c r="Q706" s="4"/>
      <c r="R706" s="4"/>
      <c r="S706" s="4"/>
      <c r="T706" s="4"/>
      <c r="U706" s="4"/>
      <c r="V706" s="4"/>
      <c r="X706" s="4"/>
      <c r="Y706" s="4"/>
      <c r="AA706" s="4"/>
      <c r="AB706" s="4"/>
      <c r="AC706" s="4"/>
      <c r="AD706" s="20"/>
    </row>
    <row r="707" spans="14:30" x14ac:dyDescent="0.35">
      <c r="N707" s="9"/>
      <c r="P707" s="34"/>
      <c r="Q707" s="4"/>
      <c r="R707" s="4"/>
      <c r="S707" s="4"/>
      <c r="T707" s="4"/>
      <c r="U707" s="4"/>
      <c r="V707" s="4"/>
      <c r="X707" s="4"/>
      <c r="Y707" s="4"/>
      <c r="AA707" s="4"/>
      <c r="AB707" s="4"/>
      <c r="AC707" s="4"/>
      <c r="AD707" s="20"/>
    </row>
    <row r="708" spans="14:30" x14ac:dyDescent="0.35">
      <c r="N708" s="9"/>
      <c r="P708" s="34"/>
      <c r="Q708" s="4"/>
      <c r="R708" s="4"/>
      <c r="S708" s="4"/>
      <c r="T708" s="4"/>
      <c r="U708" s="4"/>
      <c r="V708" s="4"/>
      <c r="X708" s="4"/>
      <c r="Y708" s="4"/>
      <c r="AA708" s="4"/>
      <c r="AB708" s="4"/>
      <c r="AC708" s="4"/>
      <c r="AD708" s="20"/>
    </row>
  </sheetData>
  <mergeCells count="46">
    <mergeCell ref="AF2:AR2"/>
    <mergeCell ref="BL16:BM16"/>
    <mergeCell ref="BI16:BK16"/>
    <mergeCell ref="BI17:BK17"/>
    <mergeCell ref="BI4:BK4"/>
    <mergeCell ref="BI5:BK5"/>
    <mergeCell ref="BF5:BH5"/>
    <mergeCell ref="AG5:AI5"/>
    <mergeCell ref="AJ5:AL5"/>
    <mergeCell ref="AM5:AO5"/>
    <mergeCell ref="AP5:AR5"/>
    <mergeCell ref="BC17:BE17"/>
    <mergeCell ref="BF16:BH16"/>
    <mergeCell ref="BF17:BH17"/>
    <mergeCell ref="AT17:AV17"/>
    <mergeCell ref="AW17:AY17"/>
    <mergeCell ref="A1:M1"/>
    <mergeCell ref="N1:X1"/>
    <mergeCell ref="P4:AE4"/>
    <mergeCell ref="BL5:BM5"/>
    <mergeCell ref="BL4:BM4"/>
    <mergeCell ref="AS4:BE4"/>
    <mergeCell ref="BF4:BH4"/>
    <mergeCell ref="Q5:S5"/>
    <mergeCell ref="T5:V5"/>
    <mergeCell ref="W5:Y5"/>
    <mergeCell ref="Z5:AB5"/>
    <mergeCell ref="AC5:AE5"/>
    <mergeCell ref="AT5:AV5"/>
    <mergeCell ref="AW5:AY5"/>
    <mergeCell ref="AZ5:BB5"/>
    <mergeCell ref="BC5:BE5"/>
    <mergeCell ref="E6:K6"/>
    <mergeCell ref="Q17:S17"/>
    <mergeCell ref="T17:V17"/>
    <mergeCell ref="W17:Y17"/>
    <mergeCell ref="P16:AE16"/>
    <mergeCell ref="Z17:AB17"/>
    <mergeCell ref="AC17:AE17"/>
    <mergeCell ref="AZ17:BB17"/>
    <mergeCell ref="AS16:BE16"/>
    <mergeCell ref="AF16:AR16"/>
    <mergeCell ref="AG17:AI17"/>
    <mergeCell ref="AJ17:AL17"/>
    <mergeCell ref="AM17:AO17"/>
    <mergeCell ref="AP17:AR17"/>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2"/>
  <sheetViews>
    <sheetView zoomScale="85" zoomScaleNormal="85" workbookViewId="0">
      <selection activeCell="B19" sqref="B19"/>
    </sheetView>
  </sheetViews>
  <sheetFormatPr defaultRowHeight="14.5" x14ac:dyDescent="0.35"/>
  <cols>
    <col min="1" max="1" width="26.81640625" customWidth="1"/>
    <col min="2" max="2" width="25.54296875" customWidth="1"/>
    <col min="3" max="3" width="10.1796875" customWidth="1"/>
  </cols>
  <sheetData>
    <row r="1" spans="1:9" ht="27.75" x14ac:dyDescent="0.4">
      <c r="A1" s="191" t="s">
        <v>77</v>
      </c>
      <c r="B1" s="191"/>
      <c r="C1" s="191"/>
      <c r="D1" s="191"/>
      <c r="E1" s="191"/>
      <c r="F1" s="191"/>
      <c r="G1" s="191"/>
      <c r="H1" s="191"/>
      <c r="I1" s="191"/>
    </row>
    <row r="2" spans="1:9" ht="15" x14ac:dyDescent="0.25">
      <c r="A2" s="5"/>
      <c r="B2" s="5" t="s">
        <v>16</v>
      </c>
      <c r="C2" s="6"/>
      <c r="D2" s="4"/>
      <c r="E2" s="5"/>
      <c r="F2" s="5"/>
      <c r="G2" s="5"/>
      <c r="H2" s="5"/>
      <c r="I2" s="5"/>
    </row>
    <row r="3" spans="1:9" x14ac:dyDescent="0.35">
      <c r="A3" s="5"/>
      <c r="B3" s="5" t="s">
        <v>17</v>
      </c>
      <c r="C3" s="7"/>
      <c r="D3" s="4"/>
      <c r="E3" s="5"/>
      <c r="F3" s="5"/>
      <c r="G3" s="5"/>
      <c r="H3" s="5"/>
      <c r="I3" s="5"/>
    </row>
    <row r="4" spans="1:9" x14ac:dyDescent="0.35">
      <c r="A4" s="5"/>
      <c r="B4" s="5" t="s">
        <v>18</v>
      </c>
      <c r="C4" s="8"/>
      <c r="D4" s="4"/>
      <c r="E4" s="5"/>
      <c r="F4" s="5"/>
      <c r="G4" s="5"/>
      <c r="H4" s="5"/>
      <c r="I4" s="5"/>
    </row>
    <row r="5" spans="1:9" x14ac:dyDescent="0.35">
      <c r="A5" s="9" t="s">
        <v>19</v>
      </c>
      <c r="B5" s="9" t="s">
        <v>20</v>
      </c>
      <c r="C5" s="9" t="s">
        <v>21</v>
      </c>
      <c r="D5" s="4"/>
      <c r="E5" s="192" t="s">
        <v>22</v>
      </c>
      <c r="F5" s="192"/>
      <c r="G5" s="192"/>
      <c r="H5" s="192"/>
      <c r="I5" s="9"/>
    </row>
    <row r="6" spans="1:9" x14ac:dyDescent="0.35">
      <c r="A6" s="9"/>
      <c r="B6" s="9"/>
      <c r="C6" s="9"/>
      <c r="D6" s="4"/>
      <c r="E6" s="5"/>
      <c r="F6" s="5"/>
      <c r="G6" s="5"/>
      <c r="H6" s="5"/>
      <c r="I6" s="9"/>
    </row>
    <row r="7" spans="1:9" x14ac:dyDescent="0.35">
      <c r="A7" s="9" t="s">
        <v>56</v>
      </c>
      <c r="B7" s="9"/>
      <c r="C7" s="9"/>
      <c r="D7" s="4"/>
      <c r="E7" s="5"/>
      <c r="F7" s="5"/>
      <c r="G7" s="5"/>
      <c r="H7" s="5"/>
      <c r="I7" s="9"/>
    </row>
    <row r="8" spans="1:9" x14ac:dyDescent="0.35">
      <c r="A8" s="9"/>
      <c r="B8" s="9"/>
      <c r="C8" s="9"/>
      <c r="D8" s="4"/>
      <c r="E8" s="5"/>
      <c r="F8" s="5"/>
      <c r="G8" s="5"/>
      <c r="H8" s="5"/>
      <c r="I8" s="9"/>
    </row>
    <row r="9" spans="1:9" x14ac:dyDescent="0.35">
      <c r="A9" t="s">
        <v>45</v>
      </c>
      <c r="B9" s="12">
        <v>0.8</v>
      </c>
      <c r="D9" t="s">
        <v>48</v>
      </c>
    </row>
    <row r="10" spans="1:9" x14ac:dyDescent="0.35">
      <c r="A10" t="s">
        <v>49</v>
      </c>
      <c r="B10" s="13">
        <f>(1-B9)/(2.2*10^6)</f>
        <v>9.0909090909090888E-8</v>
      </c>
      <c r="C10" t="s">
        <v>52</v>
      </c>
      <c r="D10" t="s">
        <v>55</v>
      </c>
    </row>
    <row r="11" spans="1:9" x14ac:dyDescent="0.35">
      <c r="A11" t="s">
        <v>46</v>
      </c>
      <c r="B11" s="12">
        <v>0.85</v>
      </c>
      <c r="D11" t="s">
        <v>48</v>
      </c>
    </row>
    <row r="12" spans="1:9" x14ac:dyDescent="0.35">
      <c r="A12" t="s">
        <v>50</v>
      </c>
      <c r="B12" s="13">
        <f>(1-B11)/(2.2*10^6)</f>
        <v>6.8181818181818186E-8</v>
      </c>
      <c r="C12" t="s">
        <v>52</v>
      </c>
      <c r="D12" t="s">
        <v>54</v>
      </c>
    </row>
    <row r="13" spans="1:9" x14ac:dyDescent="0.35">
      <c r="A13" t="s">
        <v>47</v>
      </c>
      <c r="B13" s="12">
        <v>0.9</v>
      </c>
      <c r="D13" t="s">
        <v>48</v>
      </c>
    </row>
    <row r="14" spans="1:9" x14ac:dyDescent="0.35">
      <c r="A14" t="s">
        <v>51</v>
      </c>
      <c r="B14" s="13">
        <f>(1-B13)/(2.2*10^6)</f>
        <v>4.5454545454545444E-8</v>
      </c>
      <c r="C14" t="s">
        <v>52</v>
      </c>
      <c r="D14" t="s">
        <v>53</v>
      </c>
    </row>
    <row r="16" spans="1:9" x14ac:dyDescent="0.35">
      <c r="A16" t="s">
        <v>57</v>
      </c>
      <c r="B16" s="12">
        <v>0.9</v>
      </c>
      <c r="D16" t="s">
        <v>63</v>
      </c>
    </row>
    <row r="17" spans="1:4" x14ac:dyDescent="0.35">
      <c r="A17" t="s">
        <v>58</v>
      </c>
      <c r="B17" s="12">
        <v>0.93</v>
      </c>
      <c r="D17" t="s">
        <v>60</v>
      </c>
    </row>
    <row r="18" spans="1:4" x14ac:dyDescent="0.35">
      <c r="A18" t="s">
        <v>59</v>
      </c>
      <c r="B18" s="12">
        <v>0.96</v>
      </c>
      <c r="D18" t="s">
        <v>64</v>
      </c>
    </row>
    <row r="19" spans="1:4" x14ac:dyDescent="0.35">
      <c r="B19">
        <f>IF(((1-D_limit_min)/Constants!B12)&lt;Fsw,2,1)</f>
        <v>2</v>
      </c>
      <c r="D19" t="s">
        <v>453</v>
      </c>
    </row>
    <row r="20" spans="1:4" x14ac:dyDescent="0.35">
      <c r="A20" t="s">
        <v>75</v>
      </c>
      <c r="B20" s="1">
        <f>CHOOSE(B19,D_limit_min,(1-Constants!B10*Fsw))</f>
        <v>0.80454545454545456</v>
      </c>
      <c r="D20" t="s">
        <v>76</v>
      </c>
    </row>
    <row r="22" spans="1:4" x14ac:dyDescent="0.35">
      <c r="A22" t="s">
        <v>81</v>
      </c>
      <c r="B22" s="12">
        <f>50*10^-9</f>
        <v>5.0000000000000004E-8</v>
      </c>
      <c r="C22" t="s">
        <v>52</v>
      </c>
      <c r="D22" t="s">
        <v>82</v>
      </c>
    </row>
    <row r="23" spans="1:4" x14ac:dyDescent="0.35">
      <c r="B23" s="12"/>
    </row>
    <row r="24" spans="1:4" ht="15.5" x14ac:dyDescent="0.35">
      <c r="A24" s="28" t="s">
        <v>139</v>
      </c>
    </row>
    <row r="25" spans="1:4" x14ac:dyDescent="0.35">
      <c r="A25" t="s">
        <v>116</v>
      </c>
      <c r="B25" s="12">
        <f>30*10^-6</f>
        <v>2.9999999999999997E-5</v>
      </c>
      <c r="C25" t="s">
        <v>11</v>
      </c>
      <c r="D25" t="s">
        <v>117</v>
      </c>
    </row>
    <row r="26" spans="1:4" x14ac:dyDescent="0.35">
      <c r="A26" t="s">
        <v>118</v>
      </c>
      <c r="B26" s="12">
        <v>1333</v>
      </c>
      <c r="C26" s="2" t="s">
        <v>36</v>
      </c>
      <c r="D26" t="s">
        <v>119</v>
      </c>
    </row>
    <row r="27" spans="1:4" x14ac:dyDescent="0.35">
      <c r="A27" t="s">
        <v>122</v>
      </c>
      <c r="B27" s="12">
        <f>0.1</f>
        <v>0.1</v>
      </c>
      <c r="C27" s="2" t="s">
        <v>10</v>
      </c>
      <c r="D27" t="s">
        <v>123</v>
      </c>
    </row>
    <row r="29" spans="1:4" x14ac:dyDescent="0.35">
      <c r="A29" t="s">
        <v>198</v>
      </c>
      <c r="B29" s="12">
        <f>0.145</f>
        <v>0.14499999999999999</v>
      </c>
      <c r="C29" t="s">
        <v>147</v>
      </c>
      <c r="D29" t="s">
        <v>200</v>
      </c>
    </row>
    <row r="30" spans="1:4" x14ac:dyDescent="0.35">
      <c r="A30" t="s">
        <v>202</v>
      </c>
      <c r="B30" s="12">
        <v>1</v>
      </c>
      <c r="C30" t="s">
        <v>147</v>
      </c>
      <c r="D30" t="s">
        <v>203</v>
      </c>
    </row>
    <row r="32" spans="1:4" x14ac:dyDescent="0.35">
      <c r="A32" s="32" t="s">
        <v>223</v>
      </c>
    </row>
    <row r="33" spans="1:4" x14ac:dyDescent="0.35">
      <c r="A33" t="s">
        <v>242</v>
      </c>
      <c r="B33">
        <v>1</v>
      </c>
      <c r="C33" t="s">
        <v>10</v>
      </c>
      <c r="D33" t="s">
        <v>243</v>
      </c>
    </row>
    <row r="34" spans="1:4" x14ac:dyDescent="0.35">
      <c r="A34" t="s">
        <v>226</v>
      </c>
      <c r="B34">
        <f>(2*10^-3)/1</f>
        <v>2E-3</v>
      </c>
      <c r="C34" t="s">
        <v>228</v>
      </c>
      <c r="D34" t="s">
        <v>227</v>
      </c>
    </row>
    <row r="36" spans="1:4" x14ac:dyDescent="0.35">
      <c r="A36" s="32" t="s">
        <v>277</v>
      </c>
    </row>
    <row r="37" spans="1:4" x14ac:dyDescent="0.35">
      <c r="A37" t="s">
        <v>278</v>
      </c>
      <c r="B37">
        <f>10*10^-6</f>
        <v>9.9999999999999991E-6</v>
      </c>
      <c r="C37" t="s">
        <v>11</v>
      </c>
      <c r="D37" t="s">
        <v>279</v>
      </c>
    </row>
    <row r="39" spans="1:4" x14ac:dyDescent="0.35">
      <c r="A39" s="32" t="s">
        <v>297</v>
      </c>
    </row>
    <row r="40" spans="1:4" x14ac:dyDescent="0.35">
      <c r="A40" t="s">
        <v>298</v>
      </c>
      <c r="B40">
        <v>1.5</v>
      </c>
      <c r="C40" t="s">
        <v>10</v>
      </c>
      <c r="D40" t="s">
        <v>301</v>
      </c>
    </row>
    <row r="41" spans="1:4" x14ac:dyDescent="0.35">
      <c r="A41" t="s">
        <v>299</v>
      </c>
      <c r="B41">
        <v>1.45</v>
      </c>
      <c r="C41" t="s">
        <v>10</v>
      </c>
      <c r="D41" t="s">
        <v>300</v>
      </c>
    </row>
    <row r="42" spans="1:4" x14ac:dyDescent="0.35">
      <c r="A42" t="s">
        <v>304</v>
      </c>
      <c r="B42">
        <f>5*10^-6</f>
        <v>4.9999999999999996E-6</v>
      </c>
      <c r="C42" t="s">
        <v>11</v>
      </c>
      <c r="D42" t="s">
        <v>305</v>
      </c>
    </row>
    <row r="44" spans="1:4" x14ac:dyDescent="0.35">
      <c r="A44" s="32" t="s">
        <v>361</v>
      </c>
    </row>
    <row r="45" spans="1:4" x14ac:dyDescent="0.35">
      <c r="A45" t="s">
        <v>362</v>
      </c>
      <c r="B45">
        <v>6.75</v>
      </c>
      <c r="C45" t="s">
        <v>10</v>
      </c>
      <c r="D45" t="s">
        <v>363</v>
      </c>
    </row>
    <row r="47" spans="1:4" x14ac:dyDescent="0.35">
      <c r="A47" s="32" t="s">
        <v>379</v>
      </c>
    </row>
    <row r="48" spans="1:4" x14ac:dyDescent="0.35">
      <c r="A48" t="s">
        <v>380</v>
      </c>
      <c r="B48">
        <f>450*(10^-6)</f>
        <v>4.4999999999999999E-4</v>
      </c>
      <c r="C48" t="s">
        <v>11</v>
      </c>
      <c r="D48" t="s">
        <v>381</v>
      </c>
    </row>
    <row r="50" spans="1:4" x14ac:dyDescent="0.35">
      <c r="A50" t="s">
        <v>420</v>
      </c>
    </row>
    <row r="51" spans="1:4" x14ac:dyDescent="0.35">
      <c r="A51" t="s">
        <v>421</v>
      </c>
      <c r="B51">
        <v>1.5</v>
      </c>
      <c r="C51" t="s">
        <v>10</v>
      </c>
      <c r="D51" t="s">
        <v>422</v>
      </c>
    </row>
    <row r="52" spans="1:4" x14ac:dyDescent="0.35">
      <c r="A52" t="s">
        <v>424</v>
      </c>
      <c r="B52">
        <v>45</v>
      </c>
      <c r="D52" t="s">
        <v>423</v>
      </c>
    </row>
  </sheetData>
  <mergeCells count="2">
    <mergeCell ref="A1:I1"/>
    <mergeCell ref="E5:H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B3"/>
  <sheetViews>
    <sheetView topLeftCell="B1" zoomScale="70" zoomScaleNormal="70" workbookViewId="0">
      <selection activeCell="E3" sqref="E3"/>
    </sheetView>
  </sheetViews>
  <sheetFormatPr defaultRowHeight="14.5" x14ac:dyDescent="0.35"/>
  <cols>
    <col min="3" max="3" width="144.81640625" customWidth="1"/>
  </cols>
  <sheetData>
    <row r="2" spans="2:2" ht="15" x14ac:dyDescent="0.25">
      <c r="B2" t="str">
        <f>"Eff_vs_IOUT"</f>
        <v>Eff_vs_IOUT</v>
      </c>
    </row>
    <row r="3" spans="2:2" ht="379.75" customHeight="1"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
  <sheetViews>
    <sheetView workbookViewId="0">
      <selection activeCell="B36" sqref="B36"/>
    </sheetView>
  </sheetViews>
  <sheetFormatPr defaultRowHeight="14.5" x14ac:dyDescent="0.35"/>
  <cols>
    <col min="2" max="2" width="71.26953125" customWidth="1"/>
  </cols>
  <sheetData>
    <row r="2" ht="294.5" customHeight="1"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D5"/>
  <sheetViews>
    <sheetView workbookViewId="0">
      <selection activeCell="B3" sqref="B3"/>
    </sheetView>
  </sheetViews>
  <sheetFormatPr defaultRowHeight="14.5" x14ac:dyDescent="0.35"/>
  <sheetData>
    <row r="2" spans="1:4" ht="14.75" x14ac:dyDescent="0.25">
      <c r="A2" t="s">
        <v>396</v>
      </c>
    </row>
    <row r="3" spans="1:4" ht="14.75" x14ac:dyDescent="0.25">
      <c r="B3">
        <f>VIN_min</f>
        <v>6.5</v>
      </c>
    </row>
    <row r="4" spans="1:4" x14ac:dyDescent="0.35">
      <c r="B4">
        <f>VIN_nom</f>
        <v>10</v>
      </c>
      <c r="D4">
        <v>2.5</v>
      </c>
    </row>
    <row r="5" spans="1:4" x14ac:dyDescent="0.35">
      <c r="B5">
        <f>VIN_max</f>
        <v>35</v>
      </c>
    </row>
  </sheetData>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workbookViewId="0">
      <selection activeCell="C31" sqref="C31"/>
    </sheetView>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147</vt:i4>
      </vt:variant>
    </vt:vector>
  </HeadingPairs>
  <TitlesOfParts>
    <vt:vector size="156" baseType="lpstr">
      <vt:lpstr>Design Converter</vt:lpstr>
      <vt:lpstr>Variable_Management</vt:lpstr>
      <vt:lpstr>Eff_vs_IOUT</vt:lpstr>
      <vt:lpstr>Loop_Modeling</vt:lpstr>
      <vt:lpstr>Constants</vt:lpstr>
      <vt:lpstr>Plot_Management_Eff</vt:lpstr>
      <vt:lpstr>Plot_Management_Sch</vt:lpstr>
      <vt:lpstr>Lists</vt:lpstr>
      <vt:lpstr>Sheet1</vt:lpstr>
      <vt:lpstr>Acs</vt:lpstr>
      <vt:lpstr>Adc</vt:lpstr>
      <vt:lpstr>Adc_ea</vt:lpstr>
      <vt:lpstr>ADC_VINmin</vt:lpstr>
      <vt:lpstr>Cac</vt:lpstr>
      <vt:lpstr>Cac_min</vt:lpstr>
      <vt:lpstr>CCOMP</vt:lpstr>
      <vt:lpstr>CCOMP_Calc</vt:lpstr>
      <vt:lpstr>CCOMP_calc_CCM</vt:lpstr>
      <vt:lpstr>CCOMP_CALC_DCM</vt:lpstr>
      <vt:lpstr>CHF</vt:lpstr>
      <vt:lpstr>CHF_calc</vt:lpstr>
      <vt:lpstr>CHF_CALC_CCM</vt:lpstr>
      <vt:lpstr>CHF_CALC_DCM</vt:lpstr>
      <vt:lpstr>Comp_calc_CCM</vt:lpstr>
      <vt:lpstr>Cout</vt:lpstr>
      <vt:lpstr>Cout_min</vt:lpstr>
      <vt:lpstr>D_limit_max</vt:lpstr>
      <vt:lpstr>D_limit_min</vt:lpstr>
      <vt:lpstr>D_limit_nom</vt:lpstr>
      <vt:lpstr>DC_DCM_max</vt:lpstr>
      <vt:lpstr>Dc_max_IC</vt:lpstr>
      <vt:lpstr>Dc_max_ideal</vt:lpstr>
      <vt:lpstr>Dc_VIN_max</vt:lpstr>
      <vt:lpstr>Dc_VIN_min</vt:lpstr>
      <vt:lpstr>Dc_VIN_nom</vt:lpstr>
      <vt:lpstr>DC_VIN_Var</vt:lpstr>
      <vt:lpstr>DC_VIN_var_DCM</vt:lpstr>
      <vt:lpstr>EFF_est</vt:lpstr>
      <vt:lpstr>Eff_vs_IOUT</vt:lpstr>
      <vt:lpstr>fcross</vt:lpstr>
      <vt:lpstr>fcross_est</vt:lpstr>
      <vt:lpstr>fp_ea_est</vt:lpstr>
      <vt:lpstr>Fsw</vt:lpstr>
      <vt:lpstr>fz_ea_est</vt:lpstr>
      <vt:lpstr>fz_rhp</vt:lpstr>
      <vt:lpstr>Gcomp</vt:lpstr>
      <vt:lpstr>gfs</vt:lpstr>
      <vt:lpstr>gm_ea</vt:lpstr>
      <vt:lpstr>Gplant_fc_dB</vt:lpstr>
      <vt:lpstr>IL_coupled</vt:lpstr>
      <vt:lpstr>IL_pk</vt:lpstr>
      <vt:lpstr>IL_pk_max</vt:lpstr>
      <vt:lpstr>ILA_avg_VIN_max</vt:lpstr>
      <vt:lpstr>ILA_avg_VIN_min</vt:lpstr>
      <vt:lpstr>ILA_avg_VIN_nom</vt:lpstr>
      <vt:lpstr>ILAp_VINmax</vt:lpstr>
      <vt:lpstr>ILAp_VINmin</vt:lpstr>
      <vt:lpstr>ILAp_VINnom</vt:lpstr>
      <vt:lpstr>ILArip_VINmax</vt:lpstr>
      <vt:lpstr>ILArip_VINmin</vt:lpstr>
      <vt:lpstr>ILArip_VINnom</vt:lpstr>
      <vt:lpstr>ILB_avg_VIN_max</vt:lpstr>
      <vt:lpstr>ILB_avg_VIN_min</vt:lpstr>
      <vt:lpstr>ILB_avg_VIN_nom</vt:lpstr>
      <vt:lpstr>ILBp_VIN_max</vt:lpstr>
      <vt:lpstr>ILBp_VIN_min</vt:lpstr>
      <vt:lpstr>ILBp_VIN_nom</vt:lpstr>
      <vt:lpstr>ILBrip_VIN_max</vt:lpstr>
      <vt:lpstr>ILBrip_VIN_nom</vt:lpstr>
      <vt:lpstr>ILBrip_VINmin</vt:lpstr>
      <vt:lpstr>ILrip</vt:lpstr>
      <vt:lpstr>IOUT</vt:lpstr>
      <vt:lpstr>IOUT_VAR</vt:lpstr>
      <vt:lpstr>Ipk_margin</vt:lpstr>
      <vt:lpstr>Ipk_selected</vt:lpstr>
      <vt:lpstr>IQ</vt:lpstr>
      <vt:lpstr>IRMS_COUT</vt:lpstr>
      <vt:lpstr>Isl</vt:lpstr>
      <vt:lpstr>Iss</vt:lpstr>
      <vt:lpstr>ISW_peak_VIN_min</vt:lpstr>
      <vt:lpstr>ISW_peak_VIN_nom</vt:lpstr>
      <vt:lpstr>Kslope</vt:lpstr>
      <vt:lpstr>Lm</vt:lpstr>
      <vt:lpstr>Lm_A</vt:lpstr>
      <vt:lpstr>Lm_B</vt:lpstr>
      <vt:lpstr>Lopt_2</vt:lpstr>
      <vt:lpstr>M_L_DCM</vt:lpstr>
      <vt:lpstr>POUT</vt:lpstr>
      <vt:lpstr>'Design Converter'!Print_Area</vt:lpstr>
      <vt:lpstr>Q</vt:lpstr>
      <vt:lpstr>Q_VINmin</vt:lpstr>
      <vt:lpstr>Qg_tot</vt:lpstr>
      <vt:lpstr>Qgd</vt:lpstr>
      <vt:lpstr>Qgs</vt:lpstr>
      <vt:lpstr>Qrr</vt:lpstr>
      <vt:lpstr>R_cs</vt:lpstr>
      <vt:lpstr>R_sl</vt:lpstr>
      <vt:lpstr>RCOMP</vt:lpstr>
      <vt:lpstr>RCOMP_Calc</vt:lpstr>
      <vt:lpstr>Rcomp_calc_CCM</vt:lpstr>
      <vt:lpstr>RCOMP_CALC_DCM</vt:lpstr>
      <vt:lpstr>Rcs_max</vt:lpstr>
      <vt:lpstr>Rcs_w_sl</vt:lpstr>
      <vt:lpstr>Rcs_wo_sl</vt:lpstr>
      <vt:lpstr>Rdcr</vt:lpstr>
      <vt:lpstr>RDS_on</vt:lpstr>
      <vt:lpstr>Resr</vt:lpstr>
      <vt:lpstr>RFBB</vt:lpstr>
      <vt:lpstr>RFBB_calc</vt:lpstr>
      <vt:lpstr>RFBT</vt:lpstr>
      <vt:lpstr>Rgate</vt:lpstr>
      <vt:lpstr>ROUT</vt:lpstr>
      <vt:lpstr>Rsl_int</vt:lpstr>
      <vt:lpstr>RT</vt:lpstr>
      <vt:lpstr>Ruvlo_bottom_calc</vt:lpstr>
      <vt:lpstr>Ruvlo_top</vt:lpstr>
      <vt:lpstr>Ruvlo_top_calc</vt:lpstr>
      <vt:lpstr>SCH_1</vt:lpstr>
      <vt:lpstr>Se_VINmin</vt:lpstr>
      <vt:lpstr>Sn_VINmin</vt:lpstr>
      <vt:lpstr>tf_sw</vt:lpstr>
      <vt:lpstr>tr_sw</vt:lpstr>
      <vt:lpstr>tss</vt:lpstr>
      <vt:lpstr>UV_fall</vt:lpstr>
      <vt:lpstr>UV_I_hyst</vt:lpstr>
      <vt:lpstr>UV_rise</vt:lpstr>
      <vt:lpstr>Vcc</vt:lpstr>
      <vt:lpstr>Vcl</vt:lpstr>
      <vt:lpstr>VCrr</vt:lpstr>
      <vt:lpstr>Vd_rect</vt:lpstr>
      <vt:lpstr>VIN_max</vt:lpstr>
      <vt:lpstr>VIN_min</vt:lpstr>
      <vt:lpstr>VIN_nom</vt:lpstr>
      <vt:lpstr>VIN_op_max</vt:lpstr>
      <vt:lpstr>VIN_op_min</vt:lpstr>
      <vt:lpstr>VIN_var</vt:lpstr>
      <vt:lpstr>VOUT</vt:lpstr>
      <vt:lpstr>Vout_rip_sel</vt:lpstr>
      <vt:lpstr>Vref</vt:lpstr>
      <vt:lpstr>Vth</vt:lpstr>
      <vt:lpstr>Vuvlo_off</vt:lpstr>
      <vt:lpstr>Vuvlo_on</vt:lpstr>
      <vt:lpstr>wp_lf</vt:lpstr>
      <vt:lpstr>wp_lf_DCM</vt:lpstr>
      <vt:lpstr>wp_lf_VINmin</vt:lpstr>
      <vt:lpstr>wp0_ea</vt:lpstr>
      <vt:lpstr>wp1_ea</vt:lpstr>
      <vt:lpstr>wsl</vt:lpstr>
      <vt:lpstr>wsl_VINmin</vt:lpstr>
      <vt:lpstr>wz_ea</vt:lpstr>
      <vt:lpstr>wz_esr</vt:lpstr>
      <vt:lpstr>wz_esr_VINmin</vt:lpstr>
      <vt:lpstr>wz_rhp</vt:lpstr>
      <vt:lpstr>wz_RHP_VINmin</vt:lpstr>
      <vt:lpstr>wz1_dcm</vt:lpstr>
      <vt:lpstr>wz2_dcm</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Tomasz Jastrzębski</cp:lastModifiedBy>
  <cp:lastPrinted>2018-08-09T07:13:51Z</cp:lastPrinted>
  <dcterms:created xsi:type="dcterms:W3CDTF">2018-06-26T09:13:29Z</dcterms:created>
  <dcterms:modified xsi:type="dcterms:W3CDTF">2025-07-17T10:13:47Z</dcterms:modified>
</cp:coreProperties>
</file>