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975" yWindow="375" windowWidth="12120" windowHeight="7905" activeTab="1"/>
  </bookViews>
  <sheets>
    <sheet name="circuit" sheetId="20" r:id="rId1"/>
    <sheet name="TPS40057" sheetId="18" r:id="rId2"/>
  </sheets>
  <calcPr calcId="145621"/>
</workbook>
</file>

<file path=xl/calcChain.xml><?xml version="1.0" encoding="utf-8"?>
<calcChain xmlns="http://schemas.openxmlformats.org/spreadsheetml/2006/main">
  <c r="F1" i="18" l="1"/>
  <c r="B25" i="18" l="1"/>
  <c r="B19" i="18" l="1"/>
  <c r="B8" i="18"/>
  <c r="B24" i="18" l="1"/>
  <c r="B20" i="18"/>
  <c r="B18" i="18"/>
  <c r="B13" i="18"/>
  <c r="B10" i="18"/>
  <c r="B17" i="18" s="1"/>
  <c r="B9" i="18"/>
  <c r="B11" i="18" s="1"/>
  <c r="B5" i="18"/>
  <c r="B6" i="18" s="1"/>
  <c r="B23" i="18" s="1"/>
  <c r="B26" i="18" s="1"/>
  <c r="B14" i="18"/>
  <c r="B16" i="18" s="1"/>
  <c r="B21" i="18" l="1"/>
</calcChain>
</file>

<file path=xl/sharedStrings.xml><?xml version="1.0" encoding="utf-8"?>
<sst xmlns="http://schemas.openxmlformats.org/spreadsheetml/2006/main" count="52" uniqueCount="41">
  <si>
    <t>VIN</t>
    <phoneticPr fontId="1"/>
  </si>
  <si>
    <t>VOUT</t>
    <phoneticPr fontId="1"/>
  </si>
  <si>
    <t>IOUT</t>
    <phoneticPr fontId="1"/>
  </si>
  <si>
    <t>A</t>
    <phoneticPr fontId="1"/>
  </si>
  <si>
    <t>V</t>
    <phoneticPr fontId="1"/>
  </si>
  <si>
    <t>Fs</t>
    <phoneticPr fontId="1"/>
  </si>
  <si>
    <t>Hz</t>
    <phoneticPr fontId="1"/>
  </si>
  <si>
    <t>ΔIL</t>
    <phoneticPr fontId="1"/>
  </si>
  <si>
    <t>L</t>
    <phoneticPr fontId="1"/>
  </si>
  <si>
    <t>uH</t>
    <phoneticPr fontId="1"/>
  </si>
  <si>
    <t>s</t>
    <phoneticPr fontId="1"/>
  </si>
  <si>
    <t>Duty</t>
    <phoneticPr fontId="1"/>
  </si>
  <si>
    <t>ns</t>
    <phoneticPr fontId="1"/>
  </si>
  <si>
    <t>min_on_time</t>
    <phoneticPr fontId="1"/>
  </si>
  <si>
    <t>R_bottom</t>
    <phoneticPr fontId="1"/>
  </si>
  <si>
    <t>R_top</t>
    <phoneticPr fontId="1"/>
  </si>
  <si>
    <t>RT</t>
    <phoneticPr fontId="1"/>
  </si>
  <si>
    <t>kΩ</t>
    <phoneticPr fontId="1"/>
  </si>
  <si>
    <t>VIN_min</t>
    <phoneticPr fontId="1"/>
  </si>
  <si>
    <t>V</t>
    <phoneticPr fontId="1"/>
  </si>
  <si>
    <t>RKFF</t>
    <phoneticPr fontId="1"/>
  </si>
  <si>
    <t>Ω</t>
    <phoneticPr fontId="1"/>
  </si>
  <si>
    <t>VPD</t>
    <phoneticPr fontId="1"/>
  </si>
  <si>
    <t>RHYS</t>
    <phoneticPr fontId="1"/>
  </si>
  <si>
    <t>A</t>
    <phoneticPr fontId="1"/>
  </si>
  <si>
    <t>F</t>
    <phoneticPr fontId="1"/>
  </si>
  <si>
    <t>Iin</t>
    <phoneticPr fontId="1"/>
  </si>
  <si>
    <t>Cin</t>
    <phoneticPr fontId="1"/>
  </si>
  <si>
    <t>Cout(min)</t>
    <phoneticPr fontId="1"/>
  </si>
  <si>
    <t>Vripple</t>
    <phoneticPr fontId="1"/>
  </si>
  <si>
    <t>V</t>
    <phoneticPr fontId="1"/>
  </si>
  <si>
    <t>F</t>
    <phoneticPr fontId="1"/>
  </si>
  <si>
    <t>Rc</t>
    <phoneticPr fontId="1"/>
  </si>
  <si>
    <t>Cout</t>
    <phoneticPr fontId="1"/>
  </si>
  <si>
    <t>uF</t>
    <phoneticPr fontId="1"/>
  </si>
  <si>
    <t>Vf</t>
    <phoneticPr fontId="1"/>
  </si>
  <si>
    <t>ΔV</t>
    <phoneticPr fontId="1"/>
  </si>
  <si>
    <t>V</t>
    <phoneticPr fontId="1"/>
  </si>
  <si>
    <t>Cesr</t>
    <phoneticPr fontId="1"/>
  </si>
  <si>
    <t>&gt;150ns</t>
    <phoneticPr fontId="1"/>
  </si>
  <si>
    <t>=B19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</si>
</sst>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.00_ ;_ * &quot;¥&quot;&quot;¥&quot;&quot;¥&quot;&quot;¥&quot;&quot;¥&quot;&quot;¥&quot;&quot;¥&quot;&quot;¥&quot;&quot;¥&quot;&quot;¥&quot;&quot;¥&quot;&quot;¥&quot;&quot;¥&quot;&quot;¥&quot;&quot;¥&quot;\-#,##0.00_ ;_ * &quot;-&quot;??_ ;_ @_ "/>
    <numFmt numFmtId="177" formatCode="_ * #,##0_ ;_ * &quot;¥&quot;&quot;¥&quot;&quot;¥&quot;&quot;¥&quot;&quot;¥&quot;&quot;¥&quot;&quot;¥&quot;&quot;¥&quot;&quot;¥&quot;&quot;¥&quot;&quot;¥&quot;&quot;¥&quot;\-#,##0_ ;_ * &quot;-&quot;_ ;_ @_ "/>
  </numFmts>
  <fonts count="5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2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2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新細明體"/>
      <family val="1"/>
      <charset val="136"/>
    </font>
    <font>
      <sz val="11"/>
      <color indexed="9"/>
      <name val="ＭＳ Ｐゴシック"/>
      <family val="3"/>
      <charset val="128"/>
    </font>
    <font>
      <sz val="12"/>
      <color indexed="22"/>
      <name val="新細明體"/>
      <family val="1"/>
      <charset val="136"/>
    </font>
    <font>
      <sz val="12"/>
      <name val="中ゴシック体"/>
      <family val="3"/>
      <charset val="128"/>
    </font>
    <font>
      <sz val="8"/>
      <name val="Arial"/>
      <family val="2"/>
    </font>
    <font>
      <sz val="7"/>
      <name val="Small Fonts"/>
      <family val="3"/>
      <charset val="128"/>
    </font>
    <font>
      <sz val="10"/>
      <name val="Times New Roman"/>
      <family val="1"/>
    </font>
    <font>
      <sz val="10"/>
      <name val="Arial"/>
      <family val="2"/>
    </font>
    <font>
      <sz val="12"/>
      <name val="바탕체"/>
      <family val="3"/>
      <charset val="255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新細明體"/>
      <family val="1"/>
      <charset val="136"/>
    </font>
    <font>
      <b/>
      <sz val="11"/>
      <color indexed="52"/>
      <name val="ＭＳ Ｐゴシック"/>
      <family val="3"/>
      <charset val="128"/>
    </font>
    <font>
      <b/>
      <sz val="12"/>
      <color indexed="52"/>
      <name val="新細明體"/>
      <family val="1"/>
      <charset val="136"/>
    </font>
    <font>
      <sz val="11"/>
      <color indexed="10"/>
      <name val="ＭＳ Ｐゴシック"/>
      <family val="3"/>
      <charset val="128"/>
    </font>
    <font>
      <sz val="12"/>
      <color indexed="53"/>
      <name val="新細明體"/>
      <family val="1"/>
      <charset val="136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2"/>
      <color indexed="17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3"/>
      <charset val="128"/>
    </font>
    <font>
      <sz val="12"/>
      <color indexed="8"/>
      <name val="Verdana"/>
      <family val="2"/>
    </font>
    <font>
      <sz val="11"/>
      <name val="ＭＳ 明朝"/>
      <family val="1"/>
      <charset val="128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11"/>
      <color indexed="17"/>
      <name val="ＭＳ Ｐゴシック"/>
      <family val="3"/>
      <charset val="128"/>
    </font>
    <font>
      <sz val="12"/>
      <color indexed="52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color indexed="22"/>
      <name val="新細明體"/>
      <family val="1"/>
      <charset val="136"/>
    </font>
    <font>
      <i/>
      <sz val="12"/>
      <color indexed="23"/>
      <name val="新細明體"/>
      <family val="1"/>
      <charset val="136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110">
    <xf numFmtId="0" fontId="0" fillId="0" borderId="0"/>
    <xf numFmtId="0" fontId="6" fillId="0" borderId="0"/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176" fontId="13" fillId="23" borderId="0" applyFont="0" applyBorder="0"/>
    <xf numFmtId="38" fontId="14" fillId="23" borderId="0" applyNumberFormat="0" applyBorder="0" applyAlignment="0" applyProtection="0"/>
    <xf numFmtId="10" fontId="14" fillId="24" borderId="1" applyNumberFormat="0" applyBorder="0" applyAlignment="0" applyProtection="0"/>
    <xf numFmtId="37" fontId="15" fillId="0" borderId="0"/>
    <xf numFmtId="177" fontId="13" fillId="0" borderId="0"/>
    <xf numFmtId="0" fontId="16" fillId="0" borderId="0"/>
    <xf numFmtId="1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28" borderId="2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6" fillId="12" borderId="3" applyNumberFormat="0" applyFon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6" fillId="11" borderId="5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1" borderId="11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0" borderId="5" applyNumberFormat="0" applyAlignment="0" applyProtection="0">
      <alignment vertical="center"/>
    </xf>
    <xf numFmtId="0" fontId="40" fillId="12" borderId="12" applyNumberFormat="0" applyFont="0" applyAlignment="0" applyProtection="0">
      <alignment vertical="center"/>
    </xf>
    <xf numFmtId="0" fontId="22" fillId="0" borderId="0">
      <alignment vertical="center"/>
    </xf>
    <xf numFmtId="0" fontId="6" fillId="0" borderId="0"/>
    <xf numFmtId="0" fontId="6" fillId="0" borderId="0"/>
    <xf numFmtId="0" fontId="22" fillId="0" borderId="0">
      <alignment vertical="center"/>
    </xf>
    <xf numFmtId="0" fontId="41" fillId="0" borderId="0"/>
    <xf numFmtId="0" fontId="2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6" fillId="11" borderId="11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22" borderId="2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9" fontId="0" fillId="3" borderId="0" xfId="0" applyNumberFormat="1" applyFill="1"/>
    <xf numFmtId="0" fontId="7" fillId="4" borderId="1" xfId="1" applyFont="1" applyFill="1" applyBorder="1" applyAlignment="1">
      <alignment vertical="top"/>
    </xf>
    <xf numFmtId="0" fontId="8" fillId="0" borderId="0" xfId="2">
      <alignment vertical="center"/>
    </xf>
    <xf numFmtId="0" fontId="8" fillId="0" borderId="0" xfId="2" applyAlignment="1">
      <alignment horizontal="center" vertical="center"/>
    </xf>
  </cellXfs>
  <cellStyles count="110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20% - 輔色1" xfId="9"/>
    <cellStyle name="20% - 輔色2" xfId="10"/>
    <cellStyle name="20% - 輔色3" xfId="11"/>
    <cellStyle name="20% - 輔色4" xfId="12"/>
    <cellStyle name="20% - 輔色5" xfId="13"/>
    <cellStyle name="20% - 輔色6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40% - 輔色1" xfId="21"/>
    <cellStyle name="40% - 輔色2" xfId="22"/>
    <cellStyle name="40% - 輔色3" xfId="23"/>
    <cellStyle name="40% - 輔色4" xfId="24"/>
    <cellStyle name="40% - 輔色5" xfId="25"/>
    <cellStyle name="40% - 輔色6" xfId="26"/>
    <cellStyle name="60% - アクセント 1 2" xfId="27"/>
    <cellStyle name="60% - アクセント 2 2" xfId="28"/>
    <cellStyle name="60% - アクセント 3 2" xfId="29"/>
    <cellStyle name="60% - アクセント 4 2" xfId="30"/>
    <cellStyle name="60% - アクセント 5 2" xfId="31"/>
    <cellStyle name="60% - アクセント 6 2" xfId="32"/>
    <cellStyle name="60% - 輔色1" xfId="33"/>
    <cellStyle name="60% - 輔色2" xfId="34"/>
    <cellStyle name="60% - 輔色3" xfId="35"/>
    <cellStyle name="60% - 輔色4" xfId="36"/>
    <cellStyle name="60% - 輔色5" xfId="37"/>
    <cellStyle name="60% - 輔色6" xfId="38"/>
    <cellStyle name="custom" xfId="39"/>
    <cellStyle name="Grey" xfId="40"/>
    <cellStyle name="Input [yellow]" xfId="41"/>
    <cellStyle name="no dec" xfId="42"/>
    <cellStyle name="Normal - Style1" xfId="43"/>
    <cellStyle name="Normal_A1_T3" xfId="44"/>
    <cellStyle name="Percent [2]" xfId="45"/>
    <cellStyle name="Percent_laroux" xfId="46"/>
    <cellStyle name="アクセント 1 2" xfId="47"/>
    <cellStyle name="アクセント 2 2" xfId="48"/>
    <cellStyle name="アクセント 3 2" xfId="49"/>
    <cellStyle name="アクセント 4 2" xfId="50"/>
    <cellStyle name="アクセント 5 2" xfId="51"/>
    <cellStyle name="アクセント 6 2" xfId="52"/>
    <cellStyle name="スタイル 1" xfId="53"/>
    <cellStyle name="タイトル 2" xfId="54"/>
    <cellStyle name="チェック セル 2" xfId="55"/>
    <cellStyle name="どちらでもない 2" xfId="56"/>
    <cellStyle name="パーセント 2" xfId="57"/>
    <cellStyle name="パーセント 2 2" xfId="58"/>
    <cellStyle name="パーセント 3" xfId="59"/>
    <cellStyle name="メモ 2" xfId="60"/>
    <cellStyle name="リンク セル 2" xfId="61"/>
    <cellStyle name="悪い 2" xfId="62"/>
    <cellStyle name="一般 2" xfId="63"/>
    <cellStyle name="一般_C93889.00 split table" xfId="64"/>
    <cellStyle name="計算 2" xfId="65"/>
    <cellStyle name="計算方式" xfId="66"/>
    <cellStyle name="警告文 2" xfId="67"/>
    <cellStyle name="警告文字" xfId="68"/>
    <cellStyle name="桁区切り 2" xfId="69"/>
    <cellStyle name="見出し 1 2" xfId="70"/>
    <cellStyle name="見出し 2 2" xfId="71"/>
    <cellStyle name="見出し 3 2" xfId="72"/>
    <cellStyle name="見出し 4 2" xfId="73"/>
    <cellStyle name="好" xfId="74"/>
    <cellStyle name="合計" xfId="75"/>
    <cellStyle name="集計 2" xfId="76"/>
    <cellStyle name="出力 2" xfId="77"/>
    <cellStyle name="説明文 2" xfId="78"/>
    <cellStyle name="中等" xfId="79"/>
    <cellStyle name="入力 2" xfId="80"/>
    <cellStyle name="備註" xfId="81"/>
    <cellStyle name="標準" xfId="0" builtinId="0"/>
    <cellStyle name="標準 2" xfId="2"/>
    <cellStyle name="標準 2 2" xfId="82"/>
    <cellStyle name="標準 2 3" xfId="83"/>
    <cellStyle name="標準 3" xfId="84"/>
    <cellStyle name="標準 3 2" xfId="85"/>
    <cellStyle name="標準 4" xfId="86"/>
    <cellStyle name="標準 5" xfId="87"/>
    <cellStyle name="標準 6" xfId="88"/>
    <cellStyle name="標準 7" xfId="89"/>
    <cellStyle name="標準 8" xfId="90"/>
    <cellStyle name="標準 9" xfId="91"/>
    <cellStyle name="標準_PegasusTconPCB(ES2)_130523" xfId="1"/>
    <cellStyle name="標題" xfId="92"/>
    <cellStyle name="標題 1" xfId="93"/>
    <cellStyle name="標題 2" xfId="94"/>
    <cellStyle name="標題 3" xfId="95"/>
    <cellStyle name="標題 4" xfId="96"/>
    <cellStyle name="輔色1" xfId="97"/>
    <cellStyle name="輔色2" xfId="98"/>
    <cellStyle name="輔色3" xfId="99"/>
    <cellStyle name="輔色4" xfId="100"/>
    <cellStyle name="輔色5" xfId="101"/>
    <cellStyle name="輔色6" xfId="102"/>
    <cellStyle name="輸出" xfId="103"/>
    <cellStyle name="輸入" xfId="104"/>
    <cellStyle name="良い 2" xfId="105"/>
    <cellStyle name="連結的儲存格" xfId="106"/>
    <cellStyle name="壞" xfId="107"/>
    <cellStyle name="檢查儲存格" xfId="108"/>
    <cellStyle name="說明文字" xfId="10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389164</xdr:colOff>
      <xdr:row>31</xdr:row>
      <xdr:rowOff>76200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00025"/>
          <a:ext cx="10761889" cy="607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49"/>
  <sheetViews>
    <sheetView zoomScale="85" zoomScaleNormal="85" workbookViewId="0">
      <selection activeCell="A18" sqref="A18"/>
    </sheetView>
  </sheetViews>
  <sheetFormatPr defaultRowHeight="15.75"/>
  <cols>
    <col min="1" max="2" width="9" style="9"/>
    <col min="3" max="3" width="8.625" style="9" customWidth="1"/>
    <col min="4" max="4" width="22.625" style="9" customWidth="1"/>
    <col min="5" max="5" width="9.625" style="9" bestFit="1" customWidth="1"/>
    <col min="6" max="6" width="9.25" style="9" bestFit="1" customWidth="1"/>
    <col min="7" max="7" width="13.25" style="9" bestFit="1" customWidth="1"/>
    <col min="8" max="8" width="12.75" style="9" bestFit="1" customWidth="1"/>
    <col min="9" max="16384" width="9" style="9"/>
  </cols>
  <sheetData>
    <row r="2" spans="1:1">
      <c r="A2" s="8"/>
    </row>
    <row r="48" spans="1:1">
      <c r="A48" s="10"/>
    </row>
    <row r="49" spans="1:1">
      <c r="A49" s="10"/>
    </row>
  </sheetData>
  <phoneticPr fontId="1"/>
  <pageMargins left="0.7" right="0.7" top="0.75" bottom="0.75" header="0.3" footer="0.3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H1" sqref="H1"/>
    </sheetView>
  </sheetViews>
  <sheetFormatPr defaultRowHeight="13.5"/>
  <cols>
    <col min="1" max="1" width="13.25" customWidth="1"/>
    <col min="2" max="2" width="12.75" bestFit="1" customWidth="1"/>
    <col min="4" max="4" width="2.75" customWidth="1"/>
    <col min="6" max="6" width="12.75" bestFit="1" customWidth="1"/>
  </cols>
  <sheetData>
    <row r="1" spans="1:7">
      <c r="A1" t="s">
        <v>0</v>
      </c>
      <c r="B1" s="1">
        <v>12</v>
      </c>
      <c r="C1" t="s">
        <v>4</v>
      </c>
      <c r="E1" t="s">
        <v>18</v>
      </c>
      <c r="F1">
        <f>B1-1.2</f>
        <v>10.8</v>
      </c>
      <c r="G1" t="s">
        <v>19</v>
      </c>
    </row>
    <row r="2" spans="1:7">
      <c r="A2" t="s">
        <v>1</v>
      </c>
      <c r="B2" s="1">
        <v>3.6</v>
      </c>
      <c r="C2" t="s">
        <v>4</v>
      </c>
    </row>
    <row r="3" spans="1:7">
      <c r="A3" t="s">
        <v>2</v>
      </c>
      <c r="B3" s="1">
        <v>1</v>
      </c>
      <c r="C3" t="s">
        <v>3</v>
      </c>
    </row>
    <row r="4" spans="1:7">
      <c r="A4" t="s">
        <v>5</v>
      </c>
      <c r="B4" s="1">
        <v>545000</v>
      </c>
      <c r="C4" t="s">
        <v>6</v>
      </c>
    </row>
    <row r="5" spans="1:7">
      <c r="A5" t="s">
        <v>7</v>
      </c>
      <c r="B5">
        <f>B3*0.4</f>
        <v>0.4</v>
      </c>
      <c r="C5" t="s">
        <v>3</v>
      </c>
    </row>
    <row r="6" spans="1:7">
      <c r="A6" t="s">
        <v>8</v>
      </c>
      <c r="B6">
        <f>(B2/(B4*B5))*(1-(B2/F1))*1000000</f>
        <v>11.009174311926607</v>
      </c>
      <c r="C6" t="s">
        <v>9</v>
      </c>
    </row>
    <row r="7" spans="1:7">
      <c r="A7" t="s">
        <v>14</v>
      </c>
      <c r="B7" s="1">
        <v>24.2</v>
      </c>
      <c r="C7" t="s">
        <v>17</v>
      </c>
    </row>
    <row r="8" spans="1:7">
      <c r="A8" t="s">
        <v>15</v>
      </c>
      <c r="B8">
        <f>((B2/0.7)-1)*B7</f>
        <v>100.25714285714287</v>
      </c>
      <c r="C8" t="s">
        <v>17</v>
      </c>
    </row>
    <row r="9" spans="1:7">
      <c r="A9" s="3"/>
      <c r="B9" s="3">
        <f>1/B4</f>
        <v>1.8348623853211009E-6</v>
      </c>
      <c r="C9" s="3" t="s">
        <v>10</v>
      </c>
    </row>
    <row r="10" spans="1:7">
      <c r="A10" s="4" t="s">
        <v>11</v>
      </c>
      <c r="B10" s="4">
        <f>B2/B1</f>
        <v>0.3</v>
      </c>
      <c r="C10" s="4"/>
    </row>
    <row r="11" spans="1:7">
      <c r="A11" t="s">
        <v>13</v>
      </c>
      <c r="B11">
        <f>B9*B10*1000000000</f>
        <v>550.45871559633031</v>
      </c>
      <c r="C11" t="s">
        <v>12</v>
      </c>
      <c r="E11" s="2" t="s">
        <v>39</v>
      </c>
    </row>
    <row r="13" spans="1:7">
      <c r="A13" t="s">
        <v>16</v>
      </c>
      <c r="B13">
        <f>(1/((B4/1000)*17.82*(1*0.000001)))-17</f>
        <v>85.966463822732948</v>
      </c>
      <c r="C13" t="s">
        <v>17</v>
      </c>
    </row>
    <row r="14" spans="1:7">
      <c r="A14" t="s">
        <v>20</v>
      </c>
      <c r="B14">
        <f>(F1-3.48)*(58.14*B13+1340)</f>
        <v>46394.820312705036</v>
      </c>
      <c r="C14" t="s">
        <v>21</v>
      </c>
    </row>
    <row r="15" spans="1:7">
      <c r="A15" t="s">
        <v>22</v>
      </c>
      <c r="B15">
        <v>8</v>
      </c>
      <c r="C15" t="s">
        <v>19</v>
      </c>
    </row>
    <row r="16" spans="1:7">
      <c r="A16" t="s">
        <v>23</v>
      </c>
      <c r="B16">
        <f>(B14*(B15-3.5))/(0.2*(F1-3.5))</f>
        <v>142997.7338405292</v>
      </c>
      <c r="C16" t="s">
        <v>21</v>
      </c>
    </row>
    <row r="17" spans="1:5">
      <c r="A17" s="3" t="s">
        <v>26</v>
      </c>
      <c r="B17" s="4">
        <f>B3*SQRT(B10)</f>
        <v>0.54772255750516607</v>
      </c>
      <c r="C17" s="4" t="s">
        <v>24</v>
      </c>
    </row>
    <row r="18" spans="1:5">
      <c r="A18" s="4" t="s">
        <v>27</v>
      </c>
      <c r="B18" s="4">
        <f>(3.3*5)/(0.5*10*300000)</f>
        <v>1.1E-5</v>
      </c>
      <c r="C18" s="4" t="s">
        <v>25</v>
      </c>
    </row>
    <row r="19" spans="1:5">
      <c r="A19" t="s">
        <v>29</v>
      </c>
      <c r="B19" s="1">
        <f>B2*0.01</f>
        <v>3.6000000000000004E-2</v>
      </c>
      <c r="C19" t="s">
        <v>30</v>
      </c>
    </row>
    <row r="20" spans="1:5">
      <c r="A20" s="5" t="s">
        <v>28</v>
      </c>
      <c r="B20" s="6">
        <f>B5/(8*(B4/1000)*(B19*1000))</f>
        <v>2.5484199796126396E-6</v>
      </c>
      <c r="C20" s="6" t="s">
        <v>31</v>
      </c>
    </row>
    <row r="21" spans="1:5">
      <c r="A21" t="s">
        <v>32</v>
      </c>
      <c r="B21">
        <f>B19/B5</f>
        <v>9.0000000000000011E-2</v>
      </c>
      <c r="C21" t="s">
        <v>21</v>
      </c>
    </row>
    <row r="22" spans="1:5">
      <c r="A22" t="s">
        <v>35</v>
      </c>
      <c r="B22" s="1">
        <v>3.8</v>
      </c>
      <c r="C22" t="s">
        <v>30</v>
      </c>
    </row>
    <row r="23" spans="1:5">
      <c r="A23" t="s">
        <v>33</v>
      </c>
      <c r="B23">
        <f>(B6*((B3)^2))/(((B22)^2)-((B2)^2))</f>
        <v>7.4386312918423085</v>
      </c>
      <c r="C23" t="s">
        <v>34</v>
      </c>
    </row>
    <row r="24" spans="1:5">
      <c r="A24" s="5" t="s">
        <v>33</v>
      </c>
      <c r="B24" s="6">
        <f>100*0.000001</f>
        <v>9.9999999999999991E-5</v>
      </c>
      <c r="C24" s="6" t="s">
        <v>25</v>
      </c>
    </row>
    <row r="25" spans="1:5">
      <c r="A25" t="s">
        <v>38</v>
      </c>
      <c r="B25" s="1">
        <f>0.059</f>
        <v>5.8999999999999997E-2</v>
      </c>
      <c r="C25" t="s">
        <v>21</v>
      </c>
    </row>
    <row r="26" spans="1:5">
      <c r="A26" t="s">
        <v>36</v>
      </c>
      <c r="B26">
        <f>B5*(B25+(1/(8*(B23*0.000001)*B4)))</f>
        <v>3.5933333333333317E-2</v>
      </c>
      <c r="C26" t="s">
        <v>37</v>
      </c>
      <c r="E26" s="7" t="s">
        <v>40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circuit</vt:lpstr>
      <vt:lpstr>TPS40057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2017-12-05T02:30:49Z</dcterms:modified>
</cp:coreProperties>
</file>