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guevel\Documents\grayback\"/>
    </mc:Choice>
  </mc:AlternateContent>
  <xr:revisionPtr revIDLastSave="0" documentId="13_ncr:1_{0F72E2E3-B805-48BD-A1BC-B465B2F6E19E}" xr6:coauthVersionLast="47" xr6:coauthVersionMax="47" xr10:uidLastSave="{00000000-0000-0000-0000-000000000000}"/>
  <bookViews>
    <workbookView xWindow="-120" yWindow="-120" windowWidth="38640" windowHeight="21120" xr2:uid="{286109E9-4905-42EB-8A8D-D32B949EF2D5}"/>
  </bookViews>
  <sheets>
    <sheet name="Calculation Sheet" sheetId="1" r:id="rId1"/>
  </sheets>
  <definedNames>
    <definedName name="_xlnm._FilterDatabase" localSheetId="0" hidden="1">'Calculation Sheet'!$B$1:$I$38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0" i="1"/>
  <c r="D32" i="1" l="1"/>
  <c r="D28" i="1"/>
  <c r="D24" i="1"/>
  <c r="D14" i="1" l="1"/>
  <c r="D35" i="1"/>
  <c r="D41" i="1" l="1"/>
  <c r="D39" i="1"/>
  <c r="D37" i="1"/>
  <c r="D20" i="1" l="1"/>
  <c r="D18" i="1"/>
  <c r="D43" i="1"/>
  <c r="D21" i="1" l="1"/>
  <c r="D26" i="1"/>
  <c r="D23" i="1"/>
</calcChain>
</file>

<file path=xl/sharedStrings.xml><?xml version="1.0" encoding="utf-8"?>
<sst xmlns="http://schemas.openxmlformats.org/spreadsheetml/2006/main" count="85" uniqueCount="83">
  <si>
    <t>Yes</t>
  </si>
  <si>
    <t>Parameter</t>
  </si>
  <si>
    <t>Description</t>
  </si>
  <si>
    <t xml:space="preserve">Value </t>
  </si>
  <si>
    <t>Latch-off</t>
  </si>
  <si>
    <t>Step 1: System Parameters</t>
  </si>
  <si>
    <t>Minimum Input Operating Voltage</t>
  </si>
  <si>
    <t>Infinite</t>
  </si>
  <si>
    <t>Nominal Input Operating Voltage</t>
  </si>
  <si>
    <t>Maximum Input Operating Voltage</t>
  </si>
  <si>
    <t>Maximum continuous load current</t>
  </si>
  <si>
    <t>Maximum Output Load Capacitance</t>
  </si>
  <si>
    <t>Maximum Ambient Operating Temperature</t>
  </si>
  <si>
    <t>Targeted threshold for overcurrent &amp; short-circuit protection and active current sharing</t>
  </si>
  <si>
    <t xml:space="preserve"> </t>
  </si>
  <si>
    <t>Calculated value of resistance on the IMON pin</t>
  </si>
  <si>
    <t>Enter the value of resistance on the IMON pin</t>
  </si>
  <si>
    <t>Targeted transient overcurrent blanking interval</t>
  </si>
  <si>
    <r>
      <t>V</t>
    </r>
    <r>
      <rPr>
        <b/>
        <vertAlign val="subscript"/>
        <sz val="12"/>
        <color theme="1"/>
        <rFont val="Arial"/>
        <family val="2"/>
      </rPr>
      <t>IN (MIN)</t>
    </r>
    <r>
      <rPr>
        <b/>
        <sz val="12"/>
        <color theme="1"/>
        <rFont val="Arial"/>
        <family val="2"/>
      </rPr>
      <t xml:space="preserve"> (V)</t>
    </r>
  </si>
  <si>
    <r>
      <t>V</t>
    </r>
    <r>
      <rPr>
        <b/>
        <vertAlign val="subscript"/>
        <sz val="12"/>
        <rFont val="Arial"/>
        <family val="2"/>
      </rPr>
      <t>IN (NOM)</t>
    </r>
    <r>
      <rPr>
        <b/>
        <sz val="12"/>
        <rFont val="Arial"/>
        <family val="2"/>
      </rPr>
      <t xml:space="preserve"> (V)</t>
    </r>
  </si>
  <si>
    <r>
      <t>V</t>
    </r>
    <r>
      <rPr>
        <b/>
        <vertAlign val="subscript"/>
        <sz val="12"/>
        <rFont val="Arial"/>
        <family val="2"/>
      </rPr>
      <t>IN (MAX)</t>
    </r>
    <r>
      <rPr>
        <b/>
        <sz val="12"/>
        <rFont val="Arial"/>
        <family val="2"/>
      </rPr>
      <t xml:space="preserve"> (V)</t>
    </r>
  </si>
  <si>
    <r>
      <t>I</t>
    </r>
    <r>
      <rPr>
        <b/>
        <vertAlign val="subscript"/>
        <sz val="12"/>
        <rFont val="Arial"/>
        <family val="2"/>
      </rPr>
      <t>OUT (MAX)</t>
    </r>
    <r>
      <rPr>
        <b/>
        <sz val="12"/>
        <rFont val="Arial"/>
        <family val="2"/>
      </rPr>
      <t xml:space="preserve"> (A)</t>
    </r>
  </si>
  <si>
    <r>
      <t>C</t>
    </r>
    <r>
      <rPr>
        <b/>
        <vertAlign val="subscript"/>
        <sz val="12"/>
        <rFont val="Arial"/>
        <family val="2"/>
      </rPr>
      <t>LOAD</t>
    </r>
    <r>
      <rPr>
        <b/>
        <sz val="12"/>
        <rFont val="Arial"/>
        <family val="2"/>
      </rPr>
      <t xml:space="preserve"> (</t>
    </r>
    <r>
      <rPr>
        <b/>
        <sz val="12"/>
        <rFont val="Calibri"/>
        <family val="2"/>
      </rPr>
      <t>µ</t>
    </r>
    <r>
      <rPr>
        <b/>
        <sz val="13.8"/>
        <rFont val="Arial"/>
        <family val="2"/>
      </rPr>
      <t>F</t>
    </r>
    <r>
      <rPr>
        <b/>
        <sz val="12"/>
        <rFont val="Arial"/>
        <family val="2"/>
      </rPr>
      <t>)</t>
    </r>
  </si>
  <si>
    <r>
      <t>T</t>
    </r>
    <r>
      <rPr>
        <b/>
        <vertAlign val="subscript"/>
        <sz val="12"/>
        <rFont val="Arial"/>
        <family val="2"/>
      </rPr>
      <t>A (MAX)</t>
    </r>
    <r>
      <rPr>
        <b/>
        <sz val="12"/>
        <rFont val="Arial"/>
        <family val="2"/>
      </rPr>
      <t xml:space="preserve"> (</t>
    </r>
    <r>
      <rPr>
        <b/>
        <sz val="12"/>
        <rFont val="Calibri"/>
        <family val="2"/>
      </rPr>
      <t>⁰</t>
    </r>
    <r>
      <rPr>
        <b/>
        <sz val="13.8"/>
        <rFont val="Arial"/>
        <family val="2"/>
      </rPr>
      <t>C</t>
    </r>
    <r>
      <rPr>
        <b/>
        <sz val="12"/>
        <rFont val="Arial"/>
        <family val="2"/>
      </rPr>
      <t>)</t>
    </r>
  </si>
  <si>
    <r>
      <t>I</t>
    </r>
    <r>
      <rPr>
        <b/>
        <vertAlign val="subscript"/>
        <sz val="12"/>
        <color theme="1"/>
        <rFont val="Arial"/>
        <family val="2"/>
      </rPr>
      <t>TRIP (TOTAL)</t>
    </r>
    <r>
      <rPr>
        <b/>
        <sz val="12"/>
        <color theme="1"/>
        <rFont val="Arial"/>
        <family val="2"/>
      </rPr>
      <t xml:space="preserve"> (A) [Targeted]</t>
    </r>
  </si>
  <si>
    <r>
      <t>V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(V) [Targeted]</t>
    </r>
  </si>
  <si>
    <r>
      <t>R</t>
    </r>
    <r>
      <rPr>
        <b/>
        <vertAlign val="subscript"/>
        <sz val="12"/>
        <color theme="1"/>
        <rFont val="Arial"/>
        <family val="2"/>
      </rPr>
      <t>IMON</t>
    </r>
    <r>
      <rPr>
        <b/>
        <sz val="12"/>
        <color theme="1"/>
        <rFont val="Arial"/>
        <family val="2"/>
      </rPr>
      <t xml:space="preserve"> (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[Calculated]</t>
    </r>
  </si>
  <si>
    <r>
      <t>R</t>
    </r>
    <r>
      <rPr>
        <b/>
        <vertAlign val="subscript"/>
        <sz val="12"/>
        <color theme="1"/>
        <rFont val="Arial"/>
        <family val="2"/>
      </rPr>
      <t>IMON</t>
    </r>
    <r>
      <rPr>
        <b/>
        <sz val="12"/>
        <color theme="1"/>
        <rFont val="Arial"/>
        <family val="2"/>
      </rPr>
      <t xml:space="preserve"> (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</si>
  <si>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r>
      <t>I</t>
    </r>
    <r>
      <rPr>
        <b/>
        <vertAlign val="subscript"/>
        <sz val="12"/>
        <color theme="1"/>
        <rFont val="Arial"/>
        <family val="2"/>
      </rPr>
      <t>TRIP (TOTAL)</t>
    </r>
    <r>
      <rPr>
        <b/>
        <sz val="12"/>
        <color theme="1"/>
        <rFont val="Arial"/>
        <family val="2"/>
      </rPr>
      <t xml:space="preserve"> (A) [Actual]</t>
    </r>
  </si>
  <si>
    <r>
      <t>t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(ms) [Targeted]</t>
    </r>
  </si>
  <si>
    <t>Remarks</t>
  </si>
  <si>
    <t>Calculated value of the capacitor connected at the DVDT pin</t>
  </si>
  <si>
    <r>
      <t>T</t>
    </r>
    <r>
      <rPr>
        <b/>
        <vertAlign val="subscript"/>
        <sz val="12"/>
        <color theme="1"/>
        <rFont val="Arial"/>
        <family val="2"/>
      </rPr>
      <t>SS</t>
    </r>
    <r>
      <rPr>
        <b/>
        <sz val="12"/>
        <color theme="1"/>
        <rFont val="Arial"/>
        <family val="2"/>
      </rPr>
      <t xml:space="preserve"> (ms) [Targeted]</t>
    </r>
  </si>
  <si>
    <r>
      <t>C</t>
    </r>
    <r>
      <rPr>
        <b/>
        <vertAlign val="subscript"/>
        <sz val="12"/>
        <color theme="1"/>
        <rFont val="Arial"/>
        <family val="2"/>
      </rPr>
      <t>DVDT</t>
    </r>
    <r>
      <rPr>
        <b/>
        <sz val="12"/>
        <color theme="1"/>
        <rFont val="Arial"/>
        <family val="2"/>
      </rPr>
      <t xml:space="preserve"> (nF) [Calculated]</t>
    </r>
  </si>
  <si>
    <r>
      <t>C</t>
    </r>
    <r>
      <rPr>
        <b/>
        <vertAlign val="subscript"/>
        <sz val="12"/>
        <color theme="1"/>
        <rFont val="Arial"/>
        <family val="2"/>
      </rPr>
      <t>DVDT</t>
    </r>
    <r>
      <rPr>
        <b/>
        <sz val="12"/>
        <color theme="1"/>
        <rFont val="Arial"/>
        <family val="2"/>
      </rPr>
      <t xml:space="preserve"> (nF) [Actual]</t>
    </r>
  </si>
  <si>
    <r>
      <t>T</t>
    </r>
    <r>
      <rPr>
        <b/>
        <vertAlign val="subscript"/>
        <sz val="12"/>
        <color theme="1"/>
        <rFont val="Arial"/>
        <family val="2"/>
      </rPr>
      <t>SS</t>
    </r>
    <r>
      <rPr>
        <b/>
        <sz val="12"/>
        <color theme="1"/>
        <rFont val="Arial"/>
        <family val="2"/>
      </rPr>
      <t xml:space="preserve"> (ms) [Actual]</t>
    </r>
  </si>
  <si>
    <t>Targeted startup time with nominal input voltage</t>
  </si>
  <si>
    <t>Actual startup time with nominal input voltage</t>
  </si>
  <si>
    <r>
      <t>I</t>
    </r>
    <r>
      <rPr>
        <b/>
        <vertAlign val="subscript"/>
        <sz val="12"/>
        <color theme="1"/>
        <rFont val="Arial"/>
        <family val="2"/>
      </rPr>
      <t>INRUSH</t>
    </r>
    <r>
      <rPr>
        <b/>
        <sz val="12"/>
        <color theme="1"/>
        <rFont val="Arial"/>
        <family val="2"/>
      </rPr>
      <t xml:space="preserve"> (A) [Calculated]</t>
    </r>
  </si>
  <si>
    <t>Enter the value of the capacitor connected at the DVDT pin</t>
  </si>
  <si>
    <t>UVLO THRESHOLD (V) [Actual]</t>
  </si>
  <si>
    <r>
      <t>R</t>
    </r>
    <r>
      <rPr>
        <b/>
        <vertAlign val="subscript"/>
        <sz val="12"/>
        <color theme="1"/>
        <rFont val="Arial"/>
        <family val="2"/>
      </rPr>
      <t>LOWER TO SET UVLO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[Calculated]</t>
    </r>
  </si>
  <si>
    <r>
      <t>R</t>
    </r>
    <r>
      <rPr>
        <b/>
        <vertAlign val="subscript"/>
        <sz val="12"/>
        <color theme="1"/>
        <rFont val="Arial"/>
        <family val="2"/>
      </rPr>
      <t>LOWER TO SET UVLO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</si>
  <si>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r>
      <t>R</t>
    </r>
    <r>
      <rPr>
        <b/>
        <vertAlign val="subscript"/>
        <sz val="12"/>
        <color theme="1"/>
        <rFont val="Arial"/>
        <family val="2"/>
      </rPr>
      <t>UPPER TO SET UVLO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</si>
  <si>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t xml:space="preserve">Enter the value of upper resistor in a resistor divider network to set the under-voltage lockout threshold </t>
  </si>
  <si>
    <t xml:space="preserve">Calculated value of lower resistor in a resistor divider network to set the under-voltage lockout threshold </t>
  </si>
  <si>
    <t xml:space="preserve">Enter the value of lower resistor in a resistor divider network to set the under-voltage lockout threshold </t>
  </si>
  <si>
    <t xml:space="preserve">Actual under-voltage lockout threshold </t>
  </si>
  <si>
    <r>
      <t>Need to connect a 22pF capacitor across R</t>
    </r>
    <r>
      <rPr>
        <vertAlign val="subscript"/>
        <sz val="12"/>
        <color theme="1"/>
        <rFont val="Arial"/>
        <family val="2"/>
      </rPr>
      <t>IMON</t>
    </r>
  </si>
  <si>
    <t>Step 2: eFuse Design</t>
  </si>
  <si>
    <t>Minimum recommended number of devices</t>
  </si>
  <si>
    <t>TPS1685x</t>
  </si>
  <si>
    <t>Need to connect a 1000pF capacitor at the IREF pin</t>
  </si>
  <si>
    <t>Calculated value of resistance on the ILIM pin</t>
  </si>
  <si>
    <t>Enter the value of resistance on the ILIM pin</t>
  </si>
  <si>
    <r>
      <t>R</t>
    </r>
    <r>
      <rPr>
        <b/>
        <vertAlign val="subscript"/>
        <sz val="12"/>
        <color theme="1"/>
        <rFont val="Arial"/>
        <family val="2"/>
      </rPr>
      <t>UPPER TO SET OVLO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</si>
  <si>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t xml:space="preserve">Enter the value of upper resistor in a resistor divider network to set the over-voltage lockout threshold </t>
  </si>
  <si>
    <r>
      <t>R</t>
    </r>
    <r>
      <rPr>
        <b/>
        <vertAlign val="subscript"/>
        <sz val="12"/>
        <color theme="1"/>
        <rFont val="Arial"/>
        <family val="2"/>
      </rPr>
      <t>LOWER TO SET OVLO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[Calculated]</t>
    </r>
  </si>
  <si>
    <r>
      <t>R</t>
    </r>
    <r>
      <rPr>
        <b/>
        <vertAlign val="subscript"/>
        <sz val="12"/>
        <color theme="1"/>
        <rFont val="Arial"/>
        <family val="2"/>
      </rPr>
      <t>LOWER TO SET OVLO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</si>
  <si>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t>OVLO THRESHOLD (V) [Actual]</t>
  </si>
  <si>
    <t xml:space="preserve">Calculated value of lower resistor in a resistor divider network to set the over-voltage lockout threshold </t>
  </si>
  <si>
    <t xml:space="preserve">Enter the value of the lower resistor in a resistor divider network to set the over-voltage lockout threshold </t>
  </si>
  <si>
    <t>Calculated value of resistance on the IREF pin</t>
  </si>
  <si>
    <t>Enter the value of resistance on the IREF pin</t>
  </si>
  <si>
    <t>Actual threshold for overcurrent &amp; short-circuit protection and active current sharing</t>
  </si>
  <si>
    <t>Calculated value of capacitance on the Itimer pin</t>
  </si>
  <si>
    <t>Enter the value of capacitance on the Itimer pin</t>
  </si>
  <si>
    <t>Actual transient overcurrent blanking interval</t>
  </si>
  <si>
    <r>
      <t>R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(kΩ) [Calculated]</t>
    </r>
  </si>
  <si>
    <r>
      <t>R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(kΩ) [Actual]</t>
    </r>
  </si>
  <si>
    <r>
      <t>V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(V) [Actual]</t>
    </r>
  </si>
  <si>
    <r>
      <t>R</t>
    </r>
    <r>
      <rPr>
        <b/>
        <vertAlign val="subscript"/>
        <sz val="12"/>
        <color theme="1"/>
        <rFont val="Arial"/>
        <family val="2"/>
      </rPr>
      <t>ILIM</t>
    </r>
    <r>
      <rPr>
        <b/>
        <sz val="12"/>
        <color theme="1"/>
        <rFont val="Arial"/>
        <family val="2"/>
      </rPr>
      <t xml:space="preserve"> (Ω) [Calculated]</t>
    </r>
  </si>
  <si>
    <r>
      <t>R</t>
    </r>
    <r>
      <rPr>
        <b/>
        <vertAlign val="subscript"/>
        <sz val="12"/>
        <color theme="1"/>
        <rFont val="Arial"/>
        <family val="2"/>
      </rPr>
      <t>ILIM</t>
    </r>
    <r>
      <rPr>
        <b/>
        <sz val="12"/>
        <color theme="1"/>
        <rFont val="Arial"/>
        <family val="2"/>
      </rPr>
      <t xml:space="preserve"> (Ω) [Actual]</t>
    </r>
  </si>
  <si>
    <r>
      <t>C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(nF) [Calculated]</t>
    </r>
  </si>
  <si>
    <r>
      <t>C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(nF) [Actual]</t>
    </r>
  </si>
  <si>
    <r>
      <t>t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(ms) [Actual]</t>
    </r>
  </si>
  <si>
    <t>TPS1685 Design Calculation Tool</t>
  </si>
  <si>
    <t>ILIM ACS (A) [Actual]</t>
  </si>
  <si>
    <t>Total inrush current to charge the output capacitor. It is recommended to limit inrush current below 0.56A*N, N is total devices in parallel</t>
  </si>
  <si>
    <t xml:space="preserve">Actual circuit-breaker threshold during steady state . </t>
  </si>
  <si>
    <r>
      <t>Targeted circuit-breaker threshold during steady state [Typically 1.1 times I</t>
    </r>
    <r>
      <rPr>
        <b/>
        <vertAlign val="subscript"/>
        <sz val="12"/>
        <color theme="1"/>
        <rFont val="Arial"/>
        <family val="2"/>
      </rPr>
      <t>OUT (MAX)</t>
    </r>
    <r>
      <rPr>
        <b/>
        <sz val="12"/>
        <color theme="1"/>
        <rFont val="Arial"/>
        <family val="2"/>
      </rPr>
      <t>]. Recommended to keep below 22A*N</t>
    </r>
  </si>
  <si>
    <t>Number of TPS1685x devices selected by the user,N</t>
  </si>
  <si>
    <t>Actual active current sharing threshold, Recommended to keep below 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</si>
</sst>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name val="Arial"/>
      <family val="2"/>
    </font>
    <font>
      <vertAlign val="subscript"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vertAlign val="subscript"/>
      <sz val="12"/>
      <color theme="1"/>
      <name val="Arial"/>
      <family val="2"/>
    </font>
    <font>
      <b/>
      <vertAlign val="subscript"/>
      <sz val="12"/>
      <name val="Arial"/>
      <family val="2"/>
    </font>
    <font>
      <b/>
      <sz val="12"/>
      <name val="Calibri"/>
      <family val="2"/>
    </font>
    <font>
      <b/>
      <sz val="13.8"/>
      <name val="Arial"/>
      <family val="2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0" fontId="7" fillId="4" borderId="0" xfId="1" applyFont="1" applyFill="1" applyBorder="1" applyAlignment="1" applyProtection="1">
      <alignment vertical="center"/>
    </xf>
    <xf numFmtId="0" fontId="3" fillId="4" borderId="0" xfId="0" applyFont="1" applyFill="1" applyAlignment="1">
      <alignment vertical="center" wrapText="1"/>
    </xf>
    <xf numFmtId="2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2" fontId="5" fillId="4" borderId="0" xfId="0" applyNumberFormat="1" applyFont="1" applyFill="1" applyAlignment="1">
      <alignment horizontal="left" vertical="center"/>
    </xf>
    <xf numFmtId="2" fontId="5" fillId="4" borderId="0" xfId="0" applyNumberFormat="1" applyFont="1" applyFill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3" fillId="4" borderId="0" xfId="2" applyFont="1" applyFill="1" applyBorder="1" applyAlignment="1" applyProtection="1">
      <alignment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 applyProtection="1">
      <alignment horizontal="center" vertical="center"/>
      <protection locked="0"/>
    </xf>
    <xf numFmtId="164" fontId="3" fillId="4" borderId="16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vertical="center"/>
      <protection locked="0"/>
    </xf>
    <xf numFmtId="0" fontId="4" fillId="4" borderId="17" xfId="0" applyFont="1" applyFill="1" applyBorder="1" applyAlignment="1">
      <alignment vertical="center" wrapText="1"/>
    </xf>
    <xf numFmtId="1" fontId="5" fillId="4" borderId="4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vertical="center"/>
      <protection locked="0"/>
    </xf>
    <xf numFmtId="0" fontId="4" fillId="4" borderId="24" xfId="0" applyFont="1" applyFill="1" applyBorder="1" applyAlignment="1">
      <alignment vertical="center" wrapText="1"/>
    </xf>
    <xf numFmtId="1" fontId="5" fillId="4" borderId="25" xfId="0" applyNumberFormat="1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center"/>
    </xf>
  </cellXfs>
  <cellStyles count="3">
    <cellStyle name="Insatisfaisant" xfId="1" builtinId="27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92361</xdr:colOff>
      <xdr:row>0</xdr:row>
      <xdr:rowOff>173181</xdr:rowOff>
    </xdr:from>
    <xdr:to>
      <xdr:col>12</xdr:col>
      <xdr:colOff>963467</xdr:colOff>
      <xdr:row>43</xdr:row>
      <xdr:rowOff>26351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DAD03-92D2-4C5E-BF91-CECEE0CF1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9725" y="173181"/>
          <a:ext cx="10003560" cy="10717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F333-15C6-4502-ACA9-B20086E3CA4C}">
  <sheetPr codeName="Sheet2"/>
  <dimension ref="A1:AA43"/>
  <sheetViews>
    <sheetView showGridLines="0" tabSelected="1" zoomScale="85" zoomScaleNormal="85" workbookViewId="0">
      <selection activeCell="D33" sqref="D33"/>
    </sheetView>
  </sheetViews>
  <sheetFormatPr baseColWidth="10" defaultColWidth="9.140625" defaultRowHeight="18" customHeight="1" x14ac:dyDescent="0.25"/>
  <cols>
    <col min="1" max="1" width="2.42578125" style="2" customWidth="1"/>
    <col min="2" max="2" width="44.85546875" style="2" customWidth="1"/>
    <col min="3" max="3" width="140.28515625" style="12" customWidth="1"/>
    <col min="4" max="4" width="29.5703125" style="13" bestFit="1" customWidth="1"/>
    <col min="5" max="5" width="19.28515625" style="3" customWidth="1"/>
    <col min="6" max="6" width="4.5703125" style="1" customWidth="1"/>
    <col min="7" max="7" width="9.85546875" style="2" bestFit="1" customWidth="1"/>
    <col min="8" max="8" width="11.5703125" style="2" bestFit="1" customWidth="1"/>
    <col min="9" max="9" width="20.5703125" style="2" customWidth="1"/>
    <col min="10" max="10" width="62.5703125" style="2" customWidth="1"/>
    <col min="11" max="11" width="0.28515625" style="2" customWidth="1"/>
    <col min="12" max="12" width="21.42578125" style="2" customWidth="1"/>
    <col min="13" max="13" width="14.85546875" style="2" customWidth="1"/>
    <col min="14" max="14" width="27.42578125" style="2" customWidth="1"/>
    <col min="15" max="15" width="10.42578125" style="2" bestFit="1" customWidth="1"/>
    <col min="16" max="16" width="5.140625" style="2" bestFit="1" customWidth="1"/>
    <col min="17" max="17" width="13.5703125" style="3" bestFit="1" customWidth="1"/>
    <col min="18" max="18" width="14.42578125" style="3" bestFit="1" customWidth="1"/>
    <col min="19" max="25" width="9.140625" style="2"/>
    <col min="26" max="27" width="0" style="2" hidden="1" customWidth="1"/>
    <col min="28" max="16384" width="9.140625" style="2"/>
  </cols>
  <sheetData>
    <row r="1" spans="2:27" ht="24" customHeight="1" thickBot="1" x14ac:dyDescent="0.3">
      <c r="B1" s="80" t="s">
        <v>76</v>
      </c>
      <c r="C1" s="81"/>
      <c r="D1" s="81"/>
      <c r="E1" s="82"/>
      <c r="J1" s="51"/>
      <c r="K1" s="51"/>
      <c r="L1" s="52"/>
      <c r="M1" s="51"/>
      <c r="N1" s="51"/>
      <c r="O1" s="51"/>
      <c r="P1" s="51"/>
      <c r="Q1" s="17"/>
      <c r="R1" s="17"/>
      <c r="S1" s="51"/>
      <c r="Z1" s="2" t="s">
        <v>0</v>
      </c>
      <c r="AA1" s="4">
        <v>4</v>
      </c>
    </row>
    <row r="2" spans="2:27" ht="22.35" customHeight="1" x14ac:dyDescent="0.25">
      <c r="B2" s="18"/>
      <c r="C2" s="15"/>
      <c r="D2" s="19"/>
      <c r="E2" s="17"/>
      <c r="F2" s="2"/>
      <c r="J2" s="51"/>
      <c r="K2" s="51"/>
      <c r="L2" s="53"/>
      <c r="M2" s="53"/>
      <c r="N2" s="54"/>
      <c r="O2" s="55"/>
      <c r="P2" s="51"/>
      <c r="Q2" s="51"/>
      <c r="R2" s="51"/>
      <c r="S2" s="51"/>
      <c r="AA2" s="4"/>
    </row>
    <row r="3" spans="2:27" ht="18" customHeight="1" thickBot="1" x14ac:dyDescent="0.3">
      <c r="B3" s="14"/>
      <c r="C3" s="15"/>
      <c r="D3" s="16"/>
      <c r="E3" s="17"/>
      <c r="F3" s="2"/>
      <c r="J3" s="51"/>
      <c r="K3" s="51"/>
      <c r="L3" s="56"/>
      <c r="M3" s="57"/>
      <c r="N3" s="57"/>
      <c r="O3" s="17"/>
      <c r="P3" s="51"/>
      <c r="Q3" s="51"/>
      <c r="R3" s="51"/>
      <c r="S3" s="51"/>
      <c r="AA3" s="4"/>
    </row>
    <row r="4" spans="2:27" ht="18" customHeight="1" thickBot="1" x14ac:dyDescent="0.3">
      <c r="B4" s="20" t="s">
        <v>1</v>
      </c>
      <c r="C4" s="21" t="s">
        <v>2</v>
      </c>
      <c r="D4" s="22" t="s">
        <v>3</v>
      </c>
      <c r="E4" s="20" t="s">
        <v>30</v>
      </c>
      <c r="J4" s="51"/>
      <c r="K4" s="51"/>
      <c r="L4" s="58"/>
      <c r="M4" s="59"/>
      <c r="N4" s="59"/>
      <c r="O4" s="17"/>
      <c r="P4" s="51"/>
      <c r="Q4" s="51"/>
      <c r="R4" s="51"/>
      <c r="S4" s="51"/>
      <c r="Z4" s="2" t="s">
        <v>4</v>
      </c>
      <c r="AA4" s="4">
        <v>256</v>
      </c>
    </row>
    <row r="5" spans="2:27" ht="18" customHeight="1" thickBot="1" x14ac:dyDescent="0.3">
      <c r="B5" s="83" t="s">
        <v>5</v>
      </c>
      <c r="C5" s="84"/>
      <c r="D5" s="84"/>
      <c r="E5" s="85"/>
      <c r="J5" s="51"/>
      <c r="K5" s="51"/>
      <c r="L5" s="58"/>
      <c r="M5" s="59"/>
      <c r="N5" s="59"/>
      <c r="O5" s="17"/>
      <c r="P5" s="51"/>
      <c r="Q5" s="51"/>
      <c r="R5" s="51"/>
      <c r="S5" s="51"/>
      <c r="AA5" s="4"/>
    </row>
    <row r="6" spans="2:27" ht="18.75" x14ac:dyDescent="0.25">
      <c r="B6" s="23" t="s">
        <v>18</v>
      </c>
      <c r="C6" s="24" t="s">
        <v>6</v>
      </c>
      <c r="D6" s="70">
        <v>9</v>
      </c>
      <c r="E6" s="90"/>
      <c r="J6" s="51"/>
      <c r="K6" s="51"/>
      <c r="L6" s="58"/>
      <c r="M6" s="59"/>
      <c r="N6" s="59"/>
      <c r="O6" s="17"/>
      <c r="P6" s="51"/>
      <c r="Q6" s="51"/>
      <c r="R6" s="51"/>
      <c r="S6" s="51"/>
      <c r="AA6" s="4" t="s">
        <v>7</v>
      </c>
    </row>
    <row r="7" spans="2:27" ht="18.75" x14ac:dyDescent="0.25">
      <c r="B7" s="25" t="s">
        <v>19</v>
      </c>
      <c r="C7" s="24" t="s">
        <v>8</v>
      </c>
      <c r="D7" s="48">
        <v>30</v>
      </c>
      <c r="E7" s="75"/>
      <c r="J7" s="51"/>
      <c r="K7" s="51"/>
      <c r="L7" s="58"/>
      <c r="M7" s="59"/>
      <c r="N7" s="59"/>
      <c r="O7" s="17"/>
      <c r="P7" s="51"/>
      <c r="Q7" s="51"/>
      <c r="R7" s="51"/>
      <c r="S7" s="51"/>
      <c r="AA7" s="4"/>
    </row>
    <row r="8" spans="2:27" ht="18.75" x14ac:dyDescent="0.25">
      <c r="B8" s="26" t="s">
        <v>20</v>
      </c>
      <c r="C8" s="27" t="s">
        <v>9</v>
      </c>
      <c r="D8" s="49">
        <v>30</v>
      </c>
      <c r="E8" s="75"/>
      <c r="J8" s="51"/>
      <c r="K8" s="51"/>
      <c r="L8" s="58"/>
      <c r="M8" s="59"/>
      <c r="N8" s="59"/>
      <c r="O8" s="17"/>
      <c r="P8" s="51"/>
      <c r="Q8" s="86"/>
      <c r="R8" s="86"/>
      <c r="S8" s="86"/>
    </row>
    <row r="9" spans="2:27" ht="18.75" x14ac:dyDescent="0.25">
      <c r="B9" s="25" t="s">
        <v>21</v>
      </c>
      <c r="C9" s="27" t="s">
        <v>10</v>
      </c>
      <c r="D9" s="49">
        <v>10</v>
      </c>
      <c r="E9" s="75"/>
      <c r="J9" s="51"/>
      <c r="K9" s="51"/>
      <c r="L9" s="58"/>
      <c r="M9" s="59"/>
      <c r="N9" s="59"/>
      <c r="O9" s="17"/>
      <c r="P9" s="51"/>
      <c r="Q9" s="86"/>
      <c r="R9" s="86"/>
      <c r="S9" s="86"/>
    </row>
    <row r="10" spans="2:27" ht="18.75" x14ac:dyDescent="0.25">
      <c r="B10" s="25" t="s">
        <v>22</v>
      </c>
      <c r="C10" s="27" t="s">
        <v>11</v>
      </c>
      <c r="D10" s="48">
        <v>4800</v>
      </c>
      <c r="E10" s="75"/>
      <c r="J10" s="51"/>
      <c r="K10" s="51"/>
      <c r="L10" s="58"/>
      <c r="M10" s="59"/>
      <c r="N10" s="59"/>
      <c r="O10" s="17"/>
      <c r="P10" s="51"/>
      <c r="Q10" s="86"/>
      <c r="R10" s="86"/>
      <c r="S10" s="86"/>
    </row>
    <row r="11" spans="2:27" ht="19.5" thickBot="1" x14ac:dyDescent="0.3">
      <c r="B11" s="28" t="s">
        <v>23</v>
      </c>
      <c r="C11" s="29" t="s">
        <v>12</v>
      </c>
      <c r="D11" s="50">
        <v>55</v>
      </c>
      <c r="E11" s="91"/>
      <c r="J11" s="51"/>
      <c r="K11" s="51"/>
      <c r="L11" s="58"/>
      <c r="M11" s="59"/>
      <c r="N11" s="59"/>
      <c r="O11" s="17"/>
      <c r="P11" s="51"/>
      <c r="Q11" s="86"/>
      <c r="R11" s="86"/>
      <c r="S11" s="86"/>
    </row>
    <row r="12" spans="2:27" ht="20.65" customHeight="1" thickBot="1" x14ac:dyDescent="0.3">
      <c r="B12" s="30"/>
      <c r="C12" s="30"/>
      <c r="D12" s="19"/>
      <c r="E12" s="17"/>
      <c r="F12" s="2"/>
      <c r="J12" s="51"/>
      <c r="K12" s="51"/>
      <c r="L12" s="17"/>
      <c r="M12" s="51"/>
      <c r="N12" s="51"/>
      <c r="O12" s="51"/>
      <c r="P12" s="51"/>
      <c r="Q12" s="86"/>
      <c r="R12" s="86"/>
      <c r="S12" s="86"/>
    </row>
    <row r="13" spans="2:27" ht="15.75" x14ac:dyDescent="0.25">
      <c r="B13" s="87" t="s">
        <v>49</v>
      </c>
      <c r="C13" s="88"/>
      <c r="D13" s="88"/>
      <c r="E13" s="89"/>
      <c r="F13" s="5"/>
      <c r="J13" s="51"/>
      <c r="K13" s="51"/>
      <c r="L13" s="17"/>
      <c r="M13" s="51"/>
      <c r="N13" s="51"/>
      <c r="O13" s="51"/>
      <c r="P13" s="51"/>
      <c r="Q13" s="51"/>
      <c r="R13" s="51"/>
      <c r="S13" s="51"/>
    </row>
    <row r="14" spans="2:27" ht="30.6" customHeight="1" x14ac:dyDescent="0.25">
      <c r="B14" s="40" t="s">
        <v>50</v>
      </c>
      <c r="C14" s="41" t="s">
        <v>51</v>
      </c>
      <c r="D14" s="33">
        <f>ROUNDUP((D9/20),0)</f>
        <v>1</v>
      </c>
      <c r="E14" s="74"/>
      <c r="J14" s="51"/>
      <c r="K14" s="51"/>
      <c r="L14" s="17"/>
      <c r="M14" s="51"/>
      <c r="N14" s="51"/>
      <c r="O14" s="51"/>
      <c r="P14" s="51"/>
      <c r="Q14" s="51"/>
      <c r="R14" s="51"/>
      <c r="S14" s="51"/>
    </row>
    <row r="15" spans="2:27" ht="15.75" x14ac:dyDescent="0.25">
      <c r="B15" s="71" t="s">
        <v>81</v>
      </c>
      <c r="C15" s="72"/>
      <c r="D15" s="33">
        <v>1</v>
      </c>
      <c r="E15" s="75"/>
      <c r="J15" s="51"/>
      <c r="K15" s="51"/>
      <c r="L15" s="17"/>
      <c r="M15" s="51"/>
      <c r="N15" s="51"/>
      <c r="O15" s="51"/>
      <c r="P15" s="51"/>
      <c r="Q15" s="51"/>
      <c r="R15" s="51"/>
      <c r="S15" s="51"/>
    </row>
    <row r="16" spans="2:27" s="7" customFormat="1" ht="18.75" x14ac:dyDescent="0.25">
      <c r="B16" s="42" t="s">
        <v>24</v>
      </c>
      <c r="C16" s="43" t="s">
        <v>80</v>
      </c>
      <c r="D16" s="34">
        <v>55</v>
      </c>
      <c r="E16" s="76"/>
      <c r="F16" s="6"/>
      <c r="J16" s="60"/>
      <c r="K16" s="60"/>
      <c r="L16" s="61"/>
      <c r="M16" s="60"/>
      <c r="N16" s="60"/>
      <c r="O16" s="60"/>
      <c r="P16" s="60"/>
      <c r="Q16" s="60"/>
      <c r="R16" s="60"/>
      <c r="S16" s="60"/>
    </row>
    <row r="17" spans="2:19" s="7" customFormat="1" ht="18.75" x14ac:dyDescent="0.25">
      <c r="B17" s="42" t="s">
        <v>25</v>
      </c>
      <c r="C17" s="43" t="s">
        <v>13</v>
      </c>
      <c r="D17" s="34">
        <v>1</v>
      </c>
      <c r="E17" s="73" t="s">
        <v>52</v>
      </c>
      <c r="F17" s="6"/>
      <c r="J17" s="60"/>
      <c r="K17" s="60"/>
      <c r="L17" s="61"/>
      <c r="M17" s="60"/>
      <c r="N17" s="60"/>
      <c r="O17" s="60"/>
      <c r="P17" s="60"/>
      <c r="Q17" s="60"/>
      <c r="R17" s="60"/>
      <c r="S17" s="60"/>
    </row>
    <row r="18" spans="2:19" s="7" customFormat="1" ht="18.75" x14ac:dyDescent="0.25">
      <c r="B18" s="42" t="s">
        <v>68</v>
      </c>
      <c r="C18" s="44" t="s">
        <v>62</v>
      </c>
      <c r="D18" s="67">
        <f>((D17*10^3/25))</f>
        <v>40</v>
      </c>
      <c r="E18" s="73"/>
      <c r="F18" s="6"/>
      <c r="J18" s="60"/>
      <c r="K18" s="60"/>
      <c r="L18" s="61"/>
      <c r="M18" s="60"/>
      <c r="N18" s="60"/>
      <c r="O18" s="60"/>
      <c r="P18" s="60"/>
      <c r="Q18" s="60"/>
      <c r="R18" s="60"/>
      <c r="S18" s="60"/>
    </row>
    <row r="19" spans="2:19" s="7" customFormat="1" ht="18.75" x14ac:dyDescent="0.25">
      <c r="B19" s="42" t="s">
        <v>69</v>
      </c>
      <c r="C19" s="43" t="s">
        <v>63</v>
      </c>
      <c r="D19" s="35">
        <v>40.200000000000003</v>
      </c>
      <c r="E19" s="73"/>
      <c r="F19" s="6"/>
      <c r="J19" s="60"/>
      <c r="K19" s="60"/>
      <c r="L19" s="61"/>
      <c r="M19" s="60"/>
      <c r="N19" s="60"/>
      <c r="O19" s="60"/>
      <c r="P19" s="60"/>
      <c r="Q19" s="60"/>
      <c r="R19" s="60"/>
      <c r="S19" s="60"/>
    </row>
    <row r="20" spans="2:19" s="7" customFormat="1" ht="18.75" x14ac:dyDescent="0.25">
      <c r="B20" s="42" t="s">
        <v>70</v>
      </c>
      <c r="C20" s="43" t="s">
        <v>64</v>
      </c>
      <c r="D20" s="32">
        <f>(D19*1000*25*10^-6)</f>
        <v>1.0049999999999999</v>
      </c>
      <c r="E20" s="73"/>
      <c r="F20" s="6" t="s">
        <v>14</v>
      </c>
      <c r="J20" s="60"/>
      <c r="K20" s="60"/>
      <c r="L20" s="61"/>
      <c r="M20" s="60"/>
      <c r="N20" s="60"/>
      <c r="O20" s="60"/>
      <c r="P20" s="60"/>
      <c r="Q20" s="60"/>
      <c r="R20" s="60"/>
      <c r="S20" s="60"/>
    </row>
    <row r="21" spans="2:19" s="7" customFormat="1" ht="17.45" customHeight="1" x14ac:dyDescent="0.25">
      <c r="B21" s="42" t="s">
        <v>26</v>
      </c>
      <c r="C21" s="43" t="s">
        <v>15</v>
      </c>
      <c r="D21" s="37">
        <f>(D20)/(D16*18.38*10^-6)</f>
        <v>994.16361657928576</v>
      </c>
      <c r="E21" s="73" t="s">
        <v>48</v>
      </c>
      <c r="F21" s="6"/>
      <c r="J21" s="60"/>
      <c r="K21" s="60"/>
      <c r="L21" s="61"/>
      <c r="M21" s="60"/>
      <c r="N21" s="60"/>
      <c r="O21" s="60"/>
      <c r="P21" s="60"/>
      <c r="Q21" s="60"/>
      <c r="R21" s="60"/>
      <c r="S21" s="60"/>
    </row>
    <row r="22" spans="2:19" s="7" customFormat="1" ht="18.75" x14ac:dyDescent="0.25">
      <c r="B22" s="42" t="s">
        <v>27</v>
      </c>
      <c r="C22" s="43" t="s">
        <v>16</v>
      </c>
      <c r="D22" s="35">
        <v>1000</v>
      </c>
      <c r="E22" s="73"/>
      <c r="F22" s="6"/>
      <c r="J22" s="60"/>
      <c r="K22" s="60"/>
      <c r="L22" s="61"/>
      <c r="M22" s="60"/>
      <c r="N22" s="60"/>
      <c r="O22" s="60"/>
      <c r="P22" s="60"/>
      <c r="Q22" s="60"/>
      <c r="R22" s="60"/>
      <c r="S22" s="60"/>
    </row>
    <row r="23" spans="2:19" s="7" customFormat="1" ht="18.75" x14ac:dyDescent="0.25">
      <c r="B23" s="42" t="s">
        <v>28</v>
      </c>
      <c r="C23" s="43" t="s">
        <v>79</v>
      </c>
      <c r="D23" s="37">
        <f>(D20)/(18.38*10^-6*D22)</f>
        <v>54.678998911860724</v>
      </c>
      <c r="E23" s="73"/>
      <c r="F23" s="6"/>
      <c r="J23" s="60"/>
      <c r="K23" s="60"/>
      <c r="L23" s="61"/>
      <c r="M23" s="60"/>
      <c r="N23" s="60"/>
      <c r="O23" s="60"/>
      <c r="P23" s="60"/>
      <c r="Q23" s="60"/>
      <c r="R23" s="60"/>
      <c r="S23" s="60"/>
    </row>
    <row r="24" spans="2:19" s="7" customFormat="1" ht="18.75" x14ac:dyDescent="0.25">
      <c r="B24" s="45" t="s">
        <v>71</v>
      </c>
      <c r="C24" s="43" t="s">
        <v>53</v>
      </c>
      <c r="D24" s="37">
        <f>(1.1/3)*D15*D22</f>
        <v>366.66666666666669</v>
      </c>
      <c r="E24" s="77"/>
      <c r="F24" s="6"/>
      <c r="L24" s="8"/>
    </row>
    <row r="25" spans="2:19" s="7" customFormat="1" ht="18.75" x14ac:dyDescent="0.25">
      <c r="B25" s="45" t="s">
        <v>72</v>
      </c>
      <c r="C25" s="43" t="s">
        <v>54</v>
      </c>
      <c r="D25" s="36">
        <v>1100</v>
      </c>
      <c r="E25" s="78"/>
      <c r="F25" s="6"/>
      <c r="L25" s="8"/>
    </row>
    <row r="26" spans="2:19" s="7" customFormat="1" ht="15.75" x14ac:dyDescent="0.25">
      <c r="B26" s="45" t="s">
        <v>77</v>
      </c>
      <c r="C26" s="43" t="s">
        <v>82</v>
      </c>
      <c r="D26" s="37">
        <f>(1.1*D20)/(3*18.26*10^-6*D25)</f>
        <v>18.346111719605695</v>
      </c>
      <c r="E26" s="78"/>
      <c r="F26" s="6"/>
      <c r="L26" s="8"/>
    </row>
    <row r="27" spans="2:19" s="7" customFormat="1" ht="18.75" x14ac:dyDescent="0.25">
      <c r="B27" s="42" t="s">
        <v>29</v>
      </c>
      <c r="C27" s="43" t="s">
        <v>17</v>
      </c>
      <c r="D27" s="34">
        <v>3</v>
      </c>
      <c r="E27" s="78"/>
      <c r="F27" s="6"/>
      <c r="L27" s="8"/>
    </row>
    <row r="28" spans="2:19" s="7" customFormat="1" ht="18.75" x14ac:dyDescent="0.25">
      <c r="B28" s="42" t="s">
        <v>73</v>
      </c>
      <c r="C28" s="43" t="s">
        <v>65</v>
      </c>
      <c r="D28" s="68">
        <f>(D27*2/1.54)</f>
        <v>3.8961038961038961</v>
      </c>
      <c r="E28" s="78"/>
      <c r="F28" s="6"/>
      <c r="L28" s="8"/>
    </row>
    <row r="29" spans="2:19" s="7" customFormat="1" ht="18.75" x14ac:dyDescent="0.25">
      <c r="B29" s="42" t="s">
        <v>74</v>
      </c>
      <c r="C29" s="43" t="s">
        <v>66</v>
      </c>
      <c r="D29" s="35">
        <v>3.9</v>
      </c>
      <c r="E29" s="78"/>
      <c r="F29" s="6"/>
      <c r="L29" s="8"/>
    </row>
    <row r="30" spans="2:19" s="7" customFormat="1" ht="18.75" x14ac:dyDescent="0.25">
      <c r="B30" s="42" t="s">
        <v>75</v>
      </c>
      <c r="C30" s="44" t="s">
        <v>67</v>
      </c>
      <c r="D30" s="69">
        <f>(D29*1.54/2)</f>
        <v>3.0030000000000001</v>
      </c>
      <c r="E30" s="78"/>
      <c r="F30" s="6" t="s">
        <v>14</v>
      </c>
      <c r="L30" s="8"/>
    </row>
    <row r="31" spans="2:19" s="7" customFormat="1" ht="18.75" x14ac:dyDescent="0.25">
      <c r="B31" s="42" t="s">
        <v>32</v>
      </c>
      <c r="C31" s="44" t="s">
        <v>36</v>
      </c>
      <c r="D31" s="34">
        <v>5000</v>
      </c>
      <c r="E31" s="78"/>
      <c r="F31" s="6"/>
      <c r="L31" s="8"/>
    </row>
    <row r="32" spans="2:19" ht="18.75" x14ac:dyDescent="0.25">
      <c r="B32" s="42" t="s">
        <v>33</v>
      </c>
      <c r="C32" s="44" t="s">
        <v>31</v>
      </c>
      <c r="D32" s="33">
        <f>48/(D7/D31)</f>
        <v>8000</v>
      </c>
      <c r="E32" s="78"/>
      <c r="L32" s="3"/>
      <c r="Q32" s="2"/>
      <c r="R32" s="2"/>
    </row>
    <row r="33" spans="1:18" ht="18.75" x14ac:dyDescent="0.25">
      <c r="B33" s="42" t="s">
        <v>34</v>
      </c>
      <c r="C33" s="44" t="s">
        <v>39</v>
      </c>
      <c r="D33" s="33">
        <v>4700</v>
      </c>
      <c r="E33" s="78"/>
      <c r="L33" s="3"/>
      <c r="Q33" s="2"/>
      <c r="R33" s="2"/>
    </row>
    <row r="34" spans="1:18" ht="18" customHeight="1" x14ac:dyDescent="0.25">
      <c r="B34" s="42" t="s">
        <v>35</v>
      </c>
      <c r="C34" s="44" t="s">
        <v>37</v>
      </c>
      <c r="D34" s="33">
        <f>D7/(48/D33)</f>
        <v>2937.5</v>
      </c>
      <c r="E34" s="78"/>
      <c r="L34" s="3"/>
      <c r="Q34" s="2"/>
      <c r="R34" s="2"/>
    </row>
    <row r="35" spans="1:18" ht="18" customHeight="1" x14ac:dyDescent="0.25">
      <c r="B35" s="42" t="s">
        <v>38</v>
      </c>
      <c r="C35" s="44" t="s">
        <v>78</v>
      </c>
      <c r="D35" s="92">
        <f>D10*D7/(D34*1000)</f>
        <v>4.9021276595744678E-2</v>
      </c>
      <c r="E35" s="79"/>
      <c r="L35" s="3"/>
      <c r="Q35" s="2"/>
      <c r="R35" s="2"/>
    </row>
    <row r="36" spans="1:18" ht="18.75" x14ac:dyDescent="0.25">
      <c r="B36" s="42" t="s">
        <v>43</v>
      </c>
      <c r="C36" s="41" t="s">
        <v>44</v>
      </c>
      <c r="D36" s="33">
        <v>1000</v>
      </c>
      <c r="E36" s="32"/>
      <c r="L36" s="3"/>
      <c r="Q36" s="2"/>
      <c r="R36" s="2"/>
    </row>
    <row r="37" spans="1:18" ht="18.75" x14ac:dyDescent="0.25">
      <c r="B37" s="42" t="s">
        <v>41</v>
      </c>
      <c r="C37" s="41" t="s">
        <v>45</v>
      </c>
      <c r="D37" s="37">
        <f>D36*1.2/(D6-1.2)</f>
        <v>153.84615384615384</v>
      </c>
      <c r="E37" s="32"/>
      <c r="L37" s="3"/>
      <c r="Q37" s="2"/>
      <c r="R37" s="2"/>
    </row>
    <row r="38" spans="1:18" ht="18.75" x14ac:dyDescent="0.2">
      <c r="B38" s="42" t="s">
        <v>42</v>
      </c>
      <c r="C38" s="41" t="s">
        <v>46</v>
      </c>
      <c r="D38" s="38">
        <v>31</v>
      </c>
      <c r="E38" s="32"/>
      <c r="L38" s="9"/>
      <c r="M38" s="9"/>
      <c r="N38" s="9"/>
      <c r="O38" s="9"/>
      <c r="P38" s="9"/>
    </row>
    <row r="39" spans="1:18" s="10" customFormat="1" ht="18" customHeight="1" x14ac:dyDescent="0.25">
      <c r="A39" s="2"/>
      <c r="B39" s="42" t="s">
        <v>40</v>
      </c>
      <c r="C39" s="41" t="s">
        <v>47</v>
      </c>
      <c r="D39" s="66">
        <f>1.2*(D36+D38)/D38</f>
        <v>39.909677419354843</v>
      </c>
      <c r="E39" s="32"/>
      <c r="F39" s="1"/>
      <c r="Q39" s="11"/>
      <c r="R39" s="11"/>
    </row>
    <row r="40" spans="1:18" ht="18.75" x14ac:dyDescent="0.25">
      <c r="B40" s="62" t="s">
        <v>55</v>
      </c>
      <c r="C40" s="63" t="s">
        <v>56</v>
      </c>
      <c r="D40" s="64">
        <v>1000</v>
      </c>
      <c r="E40" s="65"/>
      <c r="L40" s="3"/>
      <c r="Q40" s="2"/>
      <c r="R40" s="2"/>
    </row>
    <row r="41" spans="1:18" ht="18.75" x14ac:dyDescent="0.25">
      <c r="B41" s="42" t="s">
        <v>57</v>
      </c>
      <c r="C41" s="41" t="s">
        <v>60</v>
      </c>
      <c r="D41" s="37">
        <f>D40*1.164/(D8-1.164)</f>
        <v>40.366208905534748</v>
      </c>
      <c r="E41" s="32"/>
      <c r="L41" s="3"/>
      <c r="Q41" s="2"/>
      <c r="R41" s="2"/>
    </row>
    <row r="42" spans="1:18" ht="18.75" x14ac:dyDescent="0.2">
      <c r="B42" s="42" t="s">
        <v>58</v>
      </c>
      <c r="C42" s="41" t="s">
        <v>61</v>
      </c>
      <c r="D42" s="38">
        <v>20</v>
      </c>
      <c r="E42" s="32"/>
      <c r="L42" s="9"/>
      <c r="M42" s="9"/>
      <c r="N42" s="9"/>
      <c r="O42" s="9"/>
      <c r="P42" s="9"/>
    </row>
    <row r="43" spans="1:18" s="10" customFormat="1" ht="18" customHeight="1" thickBot="1" x14ac:dyDescent="0.3">
      <c r="A43" s="2"/>
      <c r="B43" s="46" t="s">
        <v>59</v>
      </c>
      <c r="C43" s="47" t="s">
        <v>47</v>
      </c>
      <c r="D43" s="39">
        <f>1.164*(D40+D42)/D42</f>
        <v>59.363999999999997</v>
      </c>
      <c r="E43" s="31"/>
      <c r="F43" s="1"/>
      <c r="Q43" s="11"/>
      <c r="R43" s="11"/>
    </row>
  </sheetData>
  <sheetProtection selectLockedCells="1"/>
  <protectedRanges>
    <protectedRange sqref="D14:D19 D6:D12 D27:D29 D21:D23" name="UserInputs"/>
  </protectedRanges>
  <mergeCells count="10">
    <mergeCell ref="B1:E1"/>
    <mergeCell ref="B5:E5"/>
    <mergeCell ref="Q8:S12"/>
    <mergeCell ref="B13:E13"/>
    <mergeCell ref="E6:E11"/>
    <mergeCell ref="B15:C15"/>
    <mergeCell ref="E17:E20"/>
    <mergeCell ref="E21:E23"/>
    <mergeCell ref="E14:E16"/>
    <mergeCell ref="E24:E35"/>
  </mergeCells>
  <dataValidations count="4">
    <dataValidation type="decimal" operator="greaterThan" showInputMessage="1" showErrorMessage="1" errorTitle="ERROR!!" error="Start-up Load Resistor is &lt; VCC(max)/Imax, this will prevent start-up." prompt="Rload must be &gt; VCC(max)/Imax" sqref="D12" xr:uid="{85779163-166E-4A04-8914-8F3697CEB48B}">
      <formula1>F12</formula1>
    </dataValidation>
    <dataValidation errorTitle="Error (Reenter the Value)" error="Only values greater than UVref will be accepted" promptTitle="Restriction" prompt="Please enter a value greater than UVref" sqref="D36:D37 D40:D41" xr:uid="{AFA3933E-F16C-4794-945D-BE07A5443349}"/>
    <dataValidation type="custom" allowBlank="1" showInputMessage="1" showErrorMessage="1" sqref="D25" xr:uid="{4F771299-556A-4438-B95F-0A2F9FA838BC}">
      <formula1>D15&gt;0</formula1>
    </dataValidation>
    <dataValidation type="whole" operator="greaterThanOrEqual" allowBlank="1" showInputMessage="1" showErrorMessage="1" error="Increase the start-up time to have a successful start-up" sqref="D31" xr:uid="{7BA4078A-6337-4AB6-A45B-E72BD24F6D9F}">
      <formula1>D10*D8/2000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Pal, Avishek</dc:creator>
  <cp:lastModifiedBy>Le Guével, Erwan</cp:lastModifiedBy>
  <dcterms:created xsi:type="dcterms:W3CDTF">2022-01-31T05:59:10Z</dcterms:created>
  <dcterms:modified xsi:type="dcterms:W3CDTF">2025-07-01T08:36:03Z</dcterms:modified>
</cp:coreProperties>
</file>