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workbookProtection workbookPassword="8433" lockStructure="1"/>
  <bookViews>
    <workbookView windowWidth="19095" windowHeight="12285" tabRatio="733"/>
  </bookViews>
  <sheets>
    <sheet name="Component_Selection" sheetId="1" r:id="rId1"/>
    <sheet name="BrownOut" sheetId="2" r:id="rId2"/>
    <sheet name="SOA_Checks" sheetId="3" state="hidden" r:id="rId3"/>
    <sheet name="Error_Calculation" sheetId="4" state="hidden" r:id="rId4"/>
    <sheet name="T_eq_work_Derivations" sheetId="5" state="hidden" r:id="rId5"/>
    <sheet name="Graphs" sheetId="6" state="hidden" r:id="rId6"/>
    <sheet name="ATIS_Calculations" sheetId="7" state="hidden" r:id="rId7"/>
  </sheets>
  <calcPr calcId="144525"/>
</workbook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sz val="9"/>
            <color indexed="81"/>
            <rFont val="宋体"/>
            <charset val="134"/>
          </rPr>
          <t xml:space="preserve">Author: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宋体"/>
            <charset val="134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sz val="9"/>
            <color indexed="81"/>
            <rFont val="宋体"/>
            <charset val="134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sz val="9"/>
            <color indexed="81"/>
            <rFont val="宋体"/>
            <charset val="134"/>
          </rPr>
          <t xml:space="preserve">Note that this is an approximation based on the IV characteristics of the CSD19535KTT.  This is meant as an initial estimate and should be checked with your actual FET. 
</t>
        </r>
      </text>
    </comment>
  </commentList>
</comments>
</file>

<file path=xl/sharedStrings.xml><?xml version="1.0" encoding="utf-8"?>
<sst xmlns="http://schemas.openxmlformats.org/spreadsheetml/2006/main" count="266">
  <si>
    <r>
      <rPr>
        <sz val="24"/>
        <color theme="0"/>
        <rFont val="Arial"/>
        <charset val="134"/>
      </rPr>
      <t xml:space="preserve">                                                          </t>
    </r>
    <r>
      <rPr>
        <sz val="22"/>
        <color theme="0"/>
        <rFont val="Arial"/>
        <charset val="134"/>
      </rPr>
      <t>TPS2352x Hot Swap Design Tool</t>
    </r>
  </si>
  <si>
    <t>www.ti.com/hotswap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</si>
  <si>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</si>
  <si>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</si>
  <si>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</si>
  <si>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System Inputs:</t>
  </si>
  <si>
    <t>Min</t>
  </si>
  <si>
    <t>Typ</t>
  </si>
  <si>
    <t>Max</t>
  </si>
  <si>
    <t>Units</t>
  </si>
  <si>
    <t>Load Power</t>
  </si>
  <si>
    <t>W</t>
  </si>
  <si>
    <t>Bus Voltage</t>
  </si>
  <si>
    <t>V</t>
  </si>
  <si>
    <t>Output Capacitance</t>
  </si>
  <si>
    <t>uF</t>
  </si>
  <si>
    <t>Tamb (Or Tpcb)</t>
  </si>
  <si>
    <t>C</t>
  </si>
  <si>
    <t xml:space="preserve">Current Limit &amp; FET: </t>
  </si>
  <si>
    <r>
      <rPr>
        <sz val="11"/>
        <color theme="1"/>
        <rFont val="Calibri"/>
        <charset val="134"/>
      </rPr>
      <t>V</t>
    </r>
    <r>
      <rPr>
        <vertAlign val="subscript"/>
        <sz val="11"/>
        <color theme="1"/>
        <rFont val="Calibri"/>
        <charset val="134"/>
      </rPr>
      <t>SNS,CL1</t>
    </r>
    <r>
      <rPr>
        <sz val="11"/>
        <color theme="1"/>
        <rFont val="Calibri"/>
        <charset val="134"/>
      </rPr>
      <t xml:space="preserve"> setting (40mV, only availlabe for TPS23523/21)</t>
    </r>
  </si>
  <si>
    <t>mV</t>
  </si>
  <si>
    <t>Calculated Load Current</t>
  </si>
  <si>
    <t>A</t>
  </si>
  <si>
    <t>Target Current Limit</t>
  </si>
  <si>
    <t>Calculated Rsns</t>
  </si>
  <si>
    <r>
      <rPr>
        <sz val="11"/>
        <color theme="1"/>
        <rFont val="Calibri"/>
        <charset val="134"/>
      </rPr>
      <t>m</t>
    </r>
    <r>
      <rPr>
        <sz val="11"/>
        <color theme="1"/>
        <rFont val="Calibri"/>
        <charset val="134"/>
      </rPr>
      <t>Ω</t>
    </r>
  </si>
  <si>
    <t>Selected Rsns</t>
  </si>
  <si>
    <t>Ilim (high Vds)</t>
  </si>
  <si>
    <t>Ilim (low Vds)</t>
  </si>
  <si>
    <t>Iin,tmr (where timer trips)</t>
  </si>
  <si>
    <t>FET (Q1)</t>
  </si>
  <si>
    <t>FDMS86101</t>
  </si>
  <si>
    <t>Q1 Ron @ Tj,op,max</t>
  </si>
  <si>
    <t>Q1 Tj,absmax</t>
  </si>
  <si>
    <t>Q1 Cgs (Gate to source capacitance)</t>
  </si>
  <si>
    <t>nF</t>
  </si>
  <si>
    <t># FETs Q1 (driven by GATE)</t>
  </si>
  <si>
    <t>Start - Up</t>
  </si>
  <si>
    <t>Q2 (only TPS23521/23)</t>
  </si>
  <si>
    <t>FDMC3612</t>
  </si>
  <si>
    <t>Q2 Ron @ Tj,op,max (only TPS23521/23)</t>
  </si>
  <si>
    <t>Inrush Current During Start -up (@ max Vin and Cout)</t>
  </si>
  <si>
    <r>
      <rPr>
        <b/>
        <sz val="11"/>
        <color theme="1"/>
        <rFont val="Calibri"/>
        <charset val="134"/>
      </rPr>
      <t>Q</t>
    </r>
    <r>
      <rPr>
        <b/>
        <vertAlign val="subscript"/>
        <sz val="11"/>
        <color theme="1"/>
        <rFont val="Calibri"/>
        <charset val="134"/>
      </rPr>
      <t>1</t>
    </r>
    <r>
      <rPr>
        <b/>
        <sz val="11"/>
        <color theme="1"/>
        <rFont val="Calibri"/>
        <charset val="134"/>
      </rPr>
      <t xml:space="preserve"> Power Dissipation During Start-up</t>
    </r>
  </si>
  <si>
    <t># FETs Q2 (driven by GATE2, only TPS23521/23)</t>
  </si>
  <si>
    <t>Rtheta,ja (OR Psi,j,pcb)</t>
  </si>
  <si>
    <t>C/W</t>
  </si>
  <si>
    <t>IQ1,max (max current through Q1 "FETs")</t>
  </si>
  <si>
    <t>Power Dissipation / FET (Q1)</t>
  </si>
  <si>
    <t>Yes</t>
  </si>
  <si>
    <t xml:space="preserve">Total FET Power Dissipation </t>
  </si>
  <si>
    <t>No</t>
  </si>
  <si>
    <t>Tj,op,max (Q1)</t>
  </si>
  <si>
    <t>Recommended Timer and Ilim switch</t>
  </si>
  <si>
    <t>Required to pass ATIS 06003.2013 "Fig 1" or other brown out test?</t>
  </si>
  <si>
    <t>ms</t>
  </si>
  <si>
    <t xml:space="preserve">Target Settings: </t>
  </si>
  <si>
    <t>Target</t>
  </si>
  <si>
    <t>Target UV, rising</t>
  </si>
  <si>
    <t>Target UV, falling</t>
  </si>
  <si>
    <t>Target OV, rising</t>
  </si>
  <si>
    <t>Target OV, falling</t>
  </si>
  <si>
    <t>Programmed</t>
  </si>
  <si>
    <t>Target Ilim, switch</t>
  </si>
  <si>
    <t>Target Inrush Current (at max Cout)</t>
  </si>
  <si>
    <t>Target Time out (low Vds)</t>
  </si>
  <si>
    <t>SOA Margin Check (Refer to SOA margin TAB for full details)</t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</si>
  <si>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</si>
  <si>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Estimated Teq for Start-into Short</t>
  </si>
  <si>
    <t>Measured Teq for Start-into Short (Enter TBD if not known)</t>
  </si>
  <si>
    <t>TBD</t>
  </si>
  <si>
    <t>Start-Time at Max Vin</t>
  </si>
  <si>
    <t xml:space="preserve">Computed Components: </t>
  </si>
  <si>
    <t>Ruv1</t>
  </si>
  <si>
    <r>
      <rPr>
        <sz val="11"/>
        <color theme="1"/>
        <rFont val="Calibri"/>
        <charset val="134"/>
      </rPr>
      <t>k</t>
    </r>
    <r>
      <rPr>
        <sz val="11"/>
        <color theme="1"/>
        <rFont val="Calibri"/>
        <charset val="134"/>
      </rPr>
      <t>Ω</t>
    </r>
  </si>
  <si>
    <t>Ruv2</t>
  </si>
  <si>
    <t>Rov1</t>
  </si>
  <si>
    <t>Rov2</t>
  </si>
  <si>
    <t>Rd</t>
  </si>
  <si>
    <t>Css</t>
  </si>
  <si>
    <t>Css,vee</t>
  </si>
  <si>
    <t>Ctmr</t>
  </si>
  <si>
    <t>Recommended Rcc (with 20% margin)</t>
  </si>
  <si>
    <t xml:space="preserve">Selected Components: </t>
  </si>
  <si>
    <t>Value</t>
  </si>
  <si>
    <t>Tol(%)</t>
  </si>
  <si>
    <t>Rsns</t>
  </si>
  <si>
    <t>Start - Up Using Equivalent Power Pulse (@ Vin,max &amp; Cout,max)</t>
  </si>
  <si>
    <t>Rcc</t>
  </si>
  <si>
    <t xml:space="preserve">Programmed Settings </t>
  </si>
  <si>
    <t>Error</t>
  </si>
  <si>
    <t>Error calculation</t>
  </si>
  <si>
    <t>RMS</t>
  </si>
  <si>
    <t>Ilim1</t>
  </si>
  <si>
    <t>Ilim2</t>
  </si>
  <si>
    <t>UV, rising</t>
  </si>
  <si>
    <t>UV, hyst</t>
  </si>
  <si>
    <t>UV, falling</t>
  </si>
  <si>
    <t>OV, rising</t>
  </si>
  <si>
    <t>OV, hyst</t>
  </si>
  <si>
    <t>OV, falling</t>
  </si>
  <si>
    <t>Ilim, switch</t>
  </si>
  <si>
    <t>Inrush Current (with max Cout)</t>
  </si>
  <si>
    <t>Time out (Vd =0V)</t>
  </si>
  <si>
    <t>Time out (0.75V&lt;Vd &lt; 1.5V)</t>
  </si>
  <si>
    <t>Time out (Vd &gt; 1.5V)</t>
  </si>
  <si>
    <t>Power Consumption Rcc</t>
  </si>
  <si>
    <t>mW</t>
  </si>
  <si>
    <t>ATIS / Brown Out Transient Inputs</t>
  </si>
  <si>
    <t>Simplified Diagram</t>
  </si>
  <si>
    <t>Vin,start</t>
  </si>
  <si>
    <t>Vin,low</t>
  </si>
  <si>
    <t xml:space="preserve">Tdrop </t>
  </si>
  <si>
    <t>Vhigh</t>
  </si>
  <si>
    <t>System Inputs</t>
  </si>
  <si>
    <t>D1 (Forward Drop)</t>
  </si>
  <si>
    <t>Cbulk</t>
  </si>
  <si>
    <r>
      <rPr>
        <sz val="11"/>
        <color theme="1"/>
        <rFont val="Calibri"/>
        <charset val="134"/>
      </rPr>
      <t>m</t>
    </r>
    <r>
      <rPr>
        <sz val="11"/>
        <color theme="1"/>
        <rFont val="Calibri"/>
        <charset val="134"/>
      </rPr>
      <t>F</t>
    </r>
  </si>
  <si>
    <t>Cout</t>
  </si>
  <si>
    <t>Load During Transient</t>
  </si>
  <si>
    <t>Other Losses (Cap ESR, etc)</t>
  </si>
  <si>
    <t>HS Gate Recovery time</t>
  </si>
  <si>
    <t>Ctotal</t>
  </si>
  <si>
    <r>
      <rPr>
        <sz val="11"/>
        <color theme="1"/>
        <rFont val="Calibri"/>
        <charset val="134"/>
      </rPr>
      <t>µ</t>
    </r>
    <r>
      <rPr>
        <sz val="11"/>
        <color theme="1"/>
        <rFont val="Calibri"/>
        <charset val="134"/>
      </rPr>
      <t>F</t>
    </r>
  </si>
  <si>
    <t>Typical Ilim</t>
  </si>
  <si>
    <t xml:space="preserve"> 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</si>
  <si>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</si>
  <si>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</si>
  <si>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</si>
  <si>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</si>
  <si>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</si>
  <si>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</si>
  <si>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</si>
  <si>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</si>
  <si>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Teq Calculations</t>
  </si>
  <si>
    <t>Using Programmed or target</t>
  </si>
  <si>
    <t>Used for calculations</t>
  </si>
  <si>
    <t>Ilim</t>
  </si>
  <si>
    <t xml:space="preserve">Assumptions: </t>
  </si>
  <si>
    <t>Vds,switch:</t>
  </si>
  <si>
    <t>Cgs,FET</t>
  </si>
  <si>
    <t>Ifet = A*Vgst^2</t>
  </si>
  <si>
    <t>Iinr</t>
  </si>
  <si>
    <t>Css,vee,tgt</t>
  </si>
  <si>
    <t>Ifet = Vout  / Rshort</t>
  </si>
  <si>
    <t>Css,vee,act</t>
  </si>
  <si>
    <t>Css,tgt</t>
  </si>
  <si>
    <t>Css,tot = Cgd,fet + Css_ext</t>
  </si>
  <si>
    <t>Time, out (Full)</t>
  </si>
  <si>
    <t>Css,act</t>
  </si>
  <si>
    <t>Cgs,tot = Cgs,fet + Css,vee</t>
  </si>
  <si>
    <t>Ilim, high</t>
  </si>
  <si>
    <t>A/V^2</t>
  </si>
  <si>
    <t>Ilim, low</t>
  </si>
  <si>
    <t>time, out (medium Vds)</t>
  </si>
  <si>
    <t>use:</t>
  </si>
  <si>
    <t>time, out, (high Vds)</t>
  </si>
  <si>
    <t>Css,tot</t>
  </si>
  <si>
    <t>Cgs,tot</t>
  </si>
  <si>
    <t>Igate</t>
  </si>
  <si>
    <t>uA</t>
  </si>
  <si>
    <t>Key Inputs</t>
  </si>
  <si>
    <t>Rshort</t>
  </si>
  <si>
    <t>ohm</t>
  </si>
  <si>
    <t>Vd2 = Max Vin</t>
  </si>
  <si>
    <t>Start-into Short</t>
  </si>
  <si>
    <t>short time-out</t>
  </si>
  <si>
    <t>m</t>
  </si>
  <si>
    <t>V/ms</t>
  </si>
  <si>
    <t>mid time-out</t>
  </si>
  <si>
    <t>teq1</t>
  </si>
  <si>
    <t>long time - out</t>
  </si>
  <si>
    <t>Computed</t>
  </si>
  <si>
    <t>Entered</t>
  </si>
  <si>
    <t>teq - hot short</t>
  </si>
  <si>
    <t>teq - resistive short</t>
  </si>
  <si>
    <t>Start-into Resistive Short</t>
  </si>
  <si>
    <t>Equation: teq,no,cgs = Ilim * Rshort * Css,tot / Igate/2</t>
  </si>
  <si>
    <t>teq, no, cgs</t>
  </si>
  <si>
    <t xml:space="preserve">&lt;= if FET was ideal and there was no Cgs. Basically just wait until Vout comes up. </t>
  </si>
  <si>
    <t>teq,total</t>
  </si>
  <si>
    <t>&lt;= As an approximation adding the two computed values seperately</t>
  </si>
  <si>
    <t>Inrush Current</t>
  </si>
  <si>
    <t xml:space="preserve">t1 = Timer </t>
  </si>
  <si>
    <t>t1' = t1 + Teq hot short</t>
  </si>
  <si>
    <t>t1'' = t1 + Teq Resistive Short</t>
  </si>
  <si>
    <t>t2 = Max timer at 0.75 &lt;Vd&lt;1.5V</t>
  </si>
  <si>
    <t>t3 = Vin,max. Time to start with max Iinr</t>
  </si>
  <si>
    <t>Start-up Time</t>
  </si>
  <si>
    <t>t3' = t3 / 2 (triangular power pulse)</t>
  </si>
  <si>
    <t>t1'-</t>
  </si>
  <si>
    <t>t1'+</t>
  </si>
  <si>
    <t>t1''-</t>
  </si>
  <si>
    <t>t1''+</t>
  </si>
  <si>
    <t>t2-</t>
  </si>
  <si>
    <t>t2+</t>
  </si>
  <si>
    <t>t3-</t>
  </si>
  <si>
    <t>t3+</t>
  </si>
  <si>
    <t>Time (ms)</t>
  </si>
  <si>
    <t>SOA look up (25C)</t>
  </si>
  <si>
    <t>Temp Derating</t>
  </si>
  <si>
    <t>Temp used for derating</t>
  </si>
  <si>
    <t>W/o Temp derating</t>
  </si>
  <si>
    <t>a</t>
  </si>
  <si>
    <t>Operating Point</t>
  </si>
  <si>
    <t>SOA Margin (Temp Derated SOA / Req'd SOA)</t>
  </si>
  <si>
    <t>Vsns,cl1</t>
  </si>
  <si>
    <t>Worst Case</t>
  </si>
  <si>
    <t>Programmed Settings (Worst Case)</t>
  </si>
  <si>
    <t>IC parameters</t>
  </si>
  <si>
    <t>Errror %</t>
  </si>
  <si>
    <t>Iuv</t>
  </si>
  <si>
    <t>NA</t>
  </si>
  <si>
    <t>Iov</t>
  </si>
  <si>
    <t>Vtmr1</t>
  </si>
  <si>
    <t>Vtmr2</t>
  </si>
  <si>
    <t>Vsns, tmr1</t>
  </si>
  <si>
    <t>Itmr1</t>
  </si>
  <si>
    <t>Itmr2</t>
  </si>
  <si>
    <t>Vd</t>
  </si>
  <si>
    <t>Programmed Settings (RMS, error)</t>
  </si>
  <si>
    <t>Vsns,cl2</t>
  </si>
  <si>
    <t>Igate,src,low</t>
  </si>
  <si>
    <t>Igate,src,high</t>
  </si>
  <si>
    <t>Iq</t>
  </si>
  <si>
    <t>mA</t>
  </si>
  <si>
    <t>VCC operating</t>
  </si>
  <si>
    <t>Discretizing Solution for Sanity Checks</t>
  </si>
  <si>
    <t>Vin</t>
  </si>
  <si>
    <t>time</t>
  </si>
  <si>
    <t>Ifet</t>
  </si>
  <si>
    <t>RTN-VOUTM</t>
  </si>
  <si>
    <t>Vgst</t>
  </si>
  <si>
    <t>Qss</t>
  </si>
  <si>
    <t>Qenh</t>
  </si>
  <si>
    <t>Qtot</t>
  </si>
  <si>
    <t>Vds</t>
  </si>
  <si>
    <t>PFET</t>
  </si>
  <si>
    <t>deltaE (mJ)</t>
  </si>
  <si>
    <t>Energy</t>
  </si>
  <si>
    <t>mJ</t>
  </si>
  <si>
    <t>teq</t>
  </si>
  <si>
    <t>Vin,max</t>
  </si>
  <si>
    <t>Cout,max</t>
  </si>
  <si>
    <t>I,inr</t>
  </si>
  <si>
    <t>&lt;= At max Cout</t>
  </si>
  <si>
    <t>Iin</t>
  </si>
  <si>
    <t>Pfet (W)</t>
  </si>
  <si>
    <t>Pfet,eq</t>
  </si>
  <si>
    <t>mF/A = ms/V</t>
  </si>
  <si>
    <t>&lt;=C/Ilim</t>
  </si>
  <si>
    <t>B</t>
  </si>
  <si>
    <t>&lt;= Pload / Ilim</t>
  </si>
  <si>
    <t>Trecharge</t>
  </si>
  <si>
    <t>&lt;= A* (Vhigh - Vend)+A*B*ln[(Vhigh-B)/(Vend-B)]</t>
  </si>
  <si>
    <t>Vhalf</t>
  </si>
  <si>
    <t>Trecharge (1/2)</t>
  </si>
  <si>
    <t>Vin(V)</t>
  </si>
  <si>
    <t>Vout (V)</t>
  </si>
  <si>
    <t>I_FET (A)</t>
  </si>
  <si>
    <t>I_load (A)</t>
  </si>
  <si>
    <t xml:space="preserve">Start Drop Out =&gt; </t>
  </si>
  <si>
    <t xml:space="preserve">Note: Adjusting for diode just once. </t>
  </si>
  <si>
    <t xml:space="preserve">Finish Drop Out =&gt; </t>
  </si>
  <si>
    <t>Spike =&gt;</t>
  </si>
  <si>
    <t>HS =&gt; Recovered</t>
  </si>
  <si>
    <t xml:space="preserve">Finish Recovery =&gt; 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</si>
</sst>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%"/>
    <numFmt numFmtId="177" formatCode="0.0"/>
    <numFmt numFmtId="178" formatCode="0.000"/>
  </numFmts>
  <fonts count="40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  <font>
      <b/>
      <u/>
      <sz val="11"/>
      <color theme="1"/>
      <name val="宋体"/>
      <charset val="134"/>
      <scheme val="minor"/>
    </font>
    <font>
      <sz val="18"/>
      <color theme="4" tint="-0.499984740745262"/>
      <name val="宋体"/>
      <charset val="134"/>
      <scheme val="minor"/>
    </font>
    <font>
      <sz val="24"/>
      <color theme="0"/>
      <name val="Arial"/>
      <charset val="134"/>
    </font>
    <font>
      <u/>
      <sz val="10"/>
      <color theme="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1"/>
      <name val="宋体"/>
      <charset val="134"/>
      <scheme val="minor"/>
    </font>
    <font>
      <b/>
      <sz val="12"/>
      <color rgb="FFFF0000"/>
      <name val="Calibri"/>
      <charset val="134"/>
    </font>
    <font>
      <b/>
      <sz val="16"/>
      <color rgb="FFFF000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Calibri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0"/>
      <color theme="10"/>
      <name val="Arial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Calibri"/>
      <charset val="134"/>
    </font>
    <font>
      <sz val="22"/>
      <color theme="0"/>
      <name val="Arial"/>
      <charset val="134"/>
    </font>
    <font>
      <vertAlign val="subscript"/>
      <sz val="11"/>
      <color theme="1"/>
      <name val="Calibri"/>
      <charset val="134"/>
    </font>
    <font>
      <b/>
      <sz val="11"/>
      <color theme="1"/>
      <name val="Calibri"/>
      <charset val="134"/>
    </font>
    <font>
      <b/>
      <vertAlign val="subscript"/>
      <sz val="11"/>
      <color theme="1"/>
      <name val="Calibri"/>
      <charset val="134"/>
    </font>
  </fonts>
  <fills count="41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31" fillId="30" borderId="3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0" fillId="23" borderId="34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32" applyNumberFormat="0" applyFill="0" applyAlignment="0" applyProtection="0">
      <alignment vertical="center"/>
    </xf>
    <xf numFmtId="0" fontId="18" fillId="0" borderId="3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1" fillId="0" borderId="36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2" borderId="33" applyNumberFormat="0" applyAlignment="0" applyProtection="0">
      <alignment vertical="center"/>
    </xf>
    <xf numFmtId="0" fontId="32" fillId="22" borderId="37" applyNumberFormat="0" applyAlignment="0" applyProtection="0">
      <alignment vertical="center"/>
    </xf>
    <xf numFmtId="0" fontId="17" fillId="14" borderId="31" applyNumberFormat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33" fillId="0" borderId="38" applyNumberFormat="0" applyFill="0" applyAlignment="0" applyProtection="0">
      <alignment vertical="center"/>
    </xf>
    <xf numFmtId="0" fontId="27" fillId="0" borderId="35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0" fillId="0" borderId="0"/>
  </cellStyleXfs>
  <cellXfs count="166">
    <xf numFmtId="0" fontId="0" fillId="0" borderId="0" xfId="49"/>
    <xf numFmtId="2" fontId="0" fillId="0" borderId="0" xfId="49" applyNumberFormat="1"/>
    <xf numFmtId="0" fontId="0" fillId="0" borderId="0" xfId="49" applyAlignment="1">
      <alignment horizontal="center" vertical="center"/>
    </xf>
    <xf numFmtId="0" fontId="0" fillId="0" borderId="0" xfId="49" applyAlignment="1">
      <alignment horizontal="center"/>
    </xf>
    <xf numFmtId="0" fontId="0" fillId="0" borderId="1" xfId="49" applyBorder="1"/>
    <xf numFmtId="0" fontId="0" fillId="0" borderId="2" xfId="49" applyBorder="1"/>
    <xf numFmtId="0" fontId="0" fillId="0" borderId="1" xfId="49" applyBorder="1" applyAlignment="1">
      <alignment horizontal="center"/>
    </xf>
    <xf numFmtId="0" fontId="0" fillId="0" borderId="0" xfId="49" applyFill="1" applyBorder="1"/>
    <xf numFmtId="0" fontId="0" fillId="0" borderId="3" xfId="49" applyBorder="1"/>
    <xf numFmtId="0" fontId="0" fillId="0" borderId="0" xfId="49" applyAlignment="1">
      <alignment horizontal="right"/>
    </xf>
    <xf numFmtId="2" fontId="0" fillId="0" borderId="0" xfId="49" applyNumberFormat="1" applyAlignment="1">
      <alignment horizontal="center"/>
    </xf>
    <xf numFmtId="0" fontId="1" fillId="0" borderId="0" xfId="49" applyFont="1" applyAlignment="1">
      <alignment horizontal="center" vertical="center"/>
    </xf>
    <xf numFmtId="0" fontId="2" fillId="0" borderId="0" xfId="49" applyFont="1" applyAlignment="1">
      <alignment horizontal="center" vertical="center"/>
    </xf>
    <xf numFmtId="0" fontId="3" fillId="0" borderId="0" xfId="49" applyFont="1"/>
    <xf numFmtId="0" fontId="0" fillId="2" borderId="4" xfId="49" applyFill="1" applyBorder="1"/>
    <xf numFmtId="0" fontId="0" fillId="2" borderId="5" xfId="49" applyFill="1" applyBorder="1" applyAlignment="1">
      <alignment horizontal="center" vertical="center"/>
    </xf>
    <xf numFmtId="0" fontId="0" fillId="2" borderId="4" xfId="49" applyFill="1" applyBorder="1" applyAlignment="1">
      <alignment horizontal="center" vertical="center"/>
    </xf>
    <xf numFmtId="0" fontId="0" fillId="2" borderId="6" xfId="49" applyFill="1" applyBorder="1"/>
    <xf numFmtId="0" fontId="0" fillId="2" borderId="0" xfId="49" applyFill="1" applyBorder="1" applyAlignment="1">
      <alignment horizontal="center" vertical="center"/>
    </xf>
    <xf numFmtId="0" fontId="0" fillId="0" borderId="7" xfId="49" applyBorder="1"/>
    <xf numFmtId="0" fontId="0" fillId="0" borderId="8" xfId="49" applyBorder="1"/>
    <xf numFmtId="10" fontId="0" fillId="0" borderId="0" xfId="49" applyNumberFormat="1"/>
    <xf numFmtId="0" fontId="0" fillId="0" borderId="8" xfId="49" applyFill="1" applyBorder="1"/>
    <xf numFmtId="176" fontId="0" fillId="0" borderId="0" xfId="49" applyNumberFormat="1"/>
    <xf numFmtId="177" fontId="0" fillId="0" borderId="0" xfId="49" applyNumberFormat="1"/>
    <xf numFmtId="0" fontId="0" fillId="0" borderId="7" xfId="49" applyFill="1" applyBorder="1"/>
    <xf numFmtId="0" fontId="0" fillId="0" borderId="9" xfId="49" applyFill="1" applyBorder="1"/>
    <xf numFmtId="2" fontId="0" fillId="0" borderId="1" xfId="49" applyNumberFormat="1" applyBorder="1"/>
    <xf numFmtId="177" fontId="0" fillId="0" borderId="1" xfId="49" applyNumberFormat="1" applyBorder="1"/>
    <xf numFmtId="0" fontId="0" fillId="0" borderId="10" xfId="49" applyFill="1" applyBorder="1"/>
    <xf numFmtId="176" fontId="0" fillId="0" borderId="1" xfId="49" applyNumberFormat="1" applyBorder="1"/>
    <xf numFmtId="0" fontId="0" fillId="0" borderId="9" xfId="49" applyBorder="1"/>
    <xf numFmtId="0" fontId="0" fillId="3" borderId="1" xfId="49" applyFill="1" applyBorder="1"/>
    <xf numFmtId="0" fontId="0" fillId="3" borderId="10" xfId="49" applyFill="1" applyBorder="1"/>
    <xf numFmtId="0" fontId="0" fillId="0" borderId="11" xfId="49" applyFont="1" applyBorder="1" applyAlignment="1">
      <alignment horizontal="right"/>
    </xf>
    <xf numFmtId="0" fontId="0" fillId="0" borderId="12" xfId="49" applyBorder="1"/>
    <xf numFmtId="0" fontId="0" fillId="0" borderId="13" xfId="49" applyBorder="1"/>
    <xf numFmtId="0" fontId="0" fillId="0" borderId="7" xfId="49" applyFont="1" applyBorder="1" applyAlignment="1">
      <alignment horizontal="right"/>
    </xf>
    <xf numFmtId="0" fontId="0" fillId="0" borderId="0" xfId="49" applyBorder="1"/>
    <xf numFmtId="0" fontId="0" fillId="0" borderId="9" xfId="49" applyFont="1" applyBorder="1" applyAlignment="1">
      <alignment horizontal="right"/>
    </xf>
    <xf numFmtId="0" fontId="0" fillId="0" borderId="10" xfId="49" applyBorder="1"/>
    <xf numFmtId="0" fontId="0" fillId="0" borderId="7" xfId="49" applyFont="1" applyFill="1" applyBorder="1" applyAlignment="1">
      <alignment horizontal="right"/>
    </xf>
    <xf numFmtId="0" fontId="0" fillId="0" borderId="9" xfId="49" applyFont="1" applyFill="1" applyBorder="1" applyAlignment="1">
      <alignment horizontal="right"/>
    </xf>
    <xf numFmtId="0" fontId="0" fillId="0" borderId="1" xfId="49" applyFill="1" applyBorder="1"/>
    <xf numFmtId="0" fontId="0" fillId="0" borderId="0" xfId="49" applyFont="1" applyFill="1" applyBorder="1" applyAlignment="1">
      <alignment horizontal="right"/>
    </xf>
    <xf numFmtId="0" fontId="0" fillId="3" borderId="0" xfId="49" applyFill="1" applyBorder="1"/>
    <xf numFmtId="0" fontId="0" fillId="2" borderId="14" xfId="49" applyFill="1" applyBorder="1"/>
    <xf numFmtId="0" fontId="0" fillId="0" borderId="14" xfId="49" applyBorder="1"/>
    <xf numFmtId="2" fontId="0" fillId="0" borderId="14" xfId="49" applyNumberFormat="1" applyBorder="1"/>
    <xf numFmtId="0" fontId="0" fillId="0" borderId="14" xfId="49" applyFill="1" applyBorder="1"/>
    <xf numFmtId="0" fontId="4" fillId="0" borderId="14" xfId="49" applyFont="1" applyBorder="1" applyAlignment="1">
      <alignment horizontal="center"/>
    </xf>
    <xf numFmtId="0" fontId="0" fillId="2" borderId="14" xfId="49" applyFill="1" applyBorder="1" applyAlignment="1">
      <alignment horizontal="center"/>
    </xf>
    <xf numFmtId="0" fontId="5" fillId="0" borderId="0" xfId="49" applyFont="1" applyAlignment="1">
      <alignment horizontal="center" vertical="center"/>
    </xf>
    <xf numFmtId="0" fontId="3" fillId="4" borderId="0" xfId="49" applyFont="1" applyFill="1"/>
    <xf numFmtId="0" fontId="0" fillId="0" borderId="14" xfId="49" applyBorder="1" applyAlignment="1">
      <alignment horizontal="center"/>
    </xf>
    <xf numFmtId="0" fontId="0" fillId="5" borderId="14" xfId="49" applyFill="1" applyBorder="1"/>
    <xf numFmtId="2" fontId="0" fillId="5" borderId="14" xfId="49" applyNumberFormat="1" applyFill="1" applyBorder="1"/>
    <xf numFmtId="0" fontId="0" fillId="6" borderId="14" xfId="49" applyFill="1" applyBorder="1" applyAlignment="1">
      <alignment horizontal="center"/>
    </xf>
    <xf numFmtId="0" fontId="4" fillId="0" borderId="0" xfId="49" applyFont="1" applyAlignment="1">
      <alignment horizontal="center"/>
    </xf>
    <xf numFmtId="0" fontId="0" fillId="4" borderId="14" xfId="49" applyFill="1" applyBorder="1" applyAlignment="1" applyProtection="1">
      <alignment horizontal="center"/>
      <protection locked="0"/>
    </xf>
    <xf numFmtId="0" fontId="0" fillId="0" borderId="14" xfId="49" applyBorder="1" applyAlignment="1">
      <alignment horizontal="center" vertical="center"/>
    </xf>
    <xf numFmtId="0" fontId="0" fillId="0" borderId="14" xfId="49" applyBorder="1" applyAlignment="1">
      <alignment wrapText="1"/>
    </xf>
    <xf numFmtId="0" fontId="0" fillId="4" borderId="14" xfId="49" applyFill="1" applyBorder="1" applyAlignment="1" applyProtection="1">
      <alignment horizontal="center" vertical="center"/>
      <protection locked="0"/>
    </xf>
    <xf numFmtId="0" fontId="0" fillId="2" borderId="5" xfId="49" applyFill="1" applyBorder="1" applyAlignment="1">
      <alignment horizontal="center"/>
    </xf>
    <xf numFmtId="0" fontId="0" fillId="2" borderId="4" xfId="49" applyFill="1" applyBorder="1" applyAlignment="1">
      <alignment horizontal="center"/>
    </xf>
    <xf numFmtId="0" fontId="0" fillId="0" borderId="3" xfId="49" applyFill="1" applyBorder="1"/>
    <xf numFmtId="9" fontId="0" fillId="4" borderId="14" xfId="49" applyNumberFormat="1" applyFill="1" applyBorder="1" applyAlignment="1" applyProtection="1">
      <alignment horizontal="center"/>
      <protection locked="0"/>
    </xf>
    <xf numFmtId="0" fontId="0" fillId="4" borderId="3" xfId="49" applyFill="1" applyBorder="1" applyAlignment="1" applyProtection="1">
      <alignment horizontal="center"/>
      <protection locked="0"/>
    </xf>
    <xf numFmtId="2" fontId="0" fillId="0" borderId="14" xfId="49" applyNumberFormat="1" applyBorder="1" applyAlignment="1">
      <alignment horizontal="center"/>
    </xf>
    <xf numFmtId="0" fontId="0" fillId="0" borderId="0" xfId="49" applyAlignment="1">
      <alignment horizontal="left" vertical="center"/>
    </xf>
    <xf numFmtId="0" fontId="0" fillId="0" borderId="14" xfId="49" applyFill="1" applyBorder="1" applyAlignment="1">
      <alignment wrapText="1"/>
    </xf>
    <xf numFmtId="0" fontId="6" fillId="7" borderId="15" xfId="49" applyFont="1" applyFill="1" applyBorder="1" applyAlignment="1" applyProtection="1">
      <alignment horizontal="left" vertical="center"/>
    </xf>
    <xf numFmtId="0" fontId="6" fillId="7" borderId="0" xfId="49" applyFont="1" applyFill="1" applyBorder="1" applyAlignment="1" applyProtection="1">
      <alignment horizontal="left" vertical="center"/>
    </xf>
    <xf numFmtId="0" fontId="0" fillId="8" borderId="0" xfId="49" applyFill="1"/>
    <xf numFmtId="0" fontId="7" fillId="8" borderId="0" xfId="10" applyFont="1" applyFill="1" applyAlignment="1" applyProtection="1"/>
    <xf numFmtId="0" fontId="0" fillId="8" borderId="0" xfId="49" applyFill="1" applyAlignment="1">
      <alignment horizontal="center"/>
    </xf>
    <xf numFmtId="0" fontId="0" fillId="4" borderId="14" xfId="49" applyFill="1" applyBorder="1" applyAlignment="1" applyProtection="1">
      <alignment horizontal="center"/>
    </xf>
    <xf numFmtId="0" fontId="8" fillId="8" borderId="0" xfId="49" applyFont="1" applyFill="1"/>
    <xf numFmtId="0" fontId="0" fillId="0" borderId="0" xfId="49" applyFill="1" applyBorder="1" applyAlignment="1" applyProtection="1">
      <alignment horizontal="center"/>
    </xf>
    <xf numFmtId="0" fontId="0" fillId="8" borderId="14" xfId="49" applyFill="1" applyBorder="1" applyAlignment="1">
      <alignment horizontal="center"/>
    </xf>
    <xf numFmtId="0" fontId="0" fillId="9" borderId="0" xfId="49" applyFill="1" applyBorder="1" applyAlignment="1">
      <alignment horizontal="center"/>
    </xf>
    <xf numFmtId="0" fontId="0" fillId="10" borderId="14" xfId="49" applyFill="1" applyBorder="1" applyAlignment="1">
      <alignment horizontal="center"/>
    </xf>
    <xf numFmtId="0" fontId="8" fillId="8" borderId="8" xfId="49" applyFont="1" applyFill="1" applyBorder="1" applyAlignment="1">
      <alignment horizontal="center" vertical="center" wrapText="1"/>
    </xf>
    <xf numFmtId="0" fontId="8" fillId="8" borderId="0" xfId="49" applyFont="1" applyFill="1" applyBorder="1" applyAlignment="1">
      <alignment horizontal="center" vertical="center" wrapText="1"/>
    </xf>
    <xf numFmtId="0" fontId="9" fillId="7" borderId="14" xfId="49" applyFont="1" applyFill="1" applyBorder="1" applyAlignment="1">
      <alignment horizontal="center"/>
    </xf>
    <xf numFmtId="0" fontId="0" fillId="2" borderId="5" xfId="49" applyFill="1" applyBorder="1"/>
    <xf numFmtId="0" fontId="0" fillId="11" borderId="0" xfId="49" applyFill="1" applyBorder="1" applyAlignment="1">
      <alignment horizontal="center"/>
    </xf>
    <xf numFmtId="0" fontId="0" fillId="0" borderId="8" xfId="49" applyBorder="1" applyAlignment="1">
      <alignment horizontal="center"/>
    </xf>
    <xf numFmtId="0" fontId="0" fillId="4" borderId="4" xfId="49" applyFill="1" applyBorder="1" applyAlignment="1" applyProtection="1">
      <alignment horizontal="center"/>
      <protection locked="0"/>
    </xf>
    <xf numFmtId="0" fontId="0" fillId="11" borderId="1" xfId="49" applyFill="1" applyBorder="1"/>
    <xf numFmtId="0" fontId="0" fillId="0" borderId="10" xfId="49" applyBorder="1" applyAlignment="1">
      <alignment horizontal="center"/>
    </xf>
    <xf numFmtId="0" fontId="0" fillId="2" borderId="6" xfId="49" applyFill="1" applyBorder="1" applyAlignment="1">
      <alignment horizontal="center"/>
    </xf>
    <xf numFmtId="0" fontId="0" fillId="11" borderId="7" xfId="49" applyFill="1" applyBorder="1" applyAlignment="1">
      <alignment horizontal="center"/>
    </xf>
    <xf numFmtId="0" fontId="10" fillId="0" borderId="8" xfId="49" applyFont="1" applyFill="1" applyBorder="1" applyAlignment="1">
      <alignment horizontal="center"/>
    </xf>
    <xf numFmtId="2" fontId="0" fillId="9" borderId="14" xfId="49" applyNumberFormat="1" applyFill="1" applyBorder="1" applyAlignment="1" applyProtection="1">
      <alignment horizontal="center" vertical="center" wrapText="1"/>
    </xf>
    <xf numFmtId="177" fontId="0" fillId="9" borderId="14" xfId="49" applyNumberFormat="1" applyFill="1" applyBorder="1" applyAlignment="1" applyProtection="1">
      <alignment horizontal="center"/>
    </xf>
    <xf numFmtId="0" fontId="0" fillId="0" borderId="8" xfId="49" applyFill="1" applyBorder="1" applyAlignment="1">
      <alignment horizontal="center"/>
    </xf>
    <xf numFmtId="0" fontId="0" fillId="0" borderId="4" xfId="49" applyBorder="1" applyAlignment="1">
      <alignment horizontal="center" vertical="center"/>
    </xf>
    <xf numFmtId="0" fontId="0" fillId="11" borderId="9" xfId="49" applyFill="1" applyBorder="1" applyAlignment="1">
      <alignment horizontal="center"/>
    </xf>
    <xf numFmtId="0" fontId="0" fillId="0" borderId="10" xfId="49" applyFill="1" applyBorder="1" applyAlignment="1">
      <alignment horizontal="center"/>
    </xf>
    <xf numFmtId="0" fontId="0" fillId="4" borderId="5" xfId="49" applyFill="1" applyBorder="1" applyAlignment="1" applyProtection="1">
      <alignment horizontal="center"/>
      <protection locked="0"/>
    </xf>
    <xf numFmtId="0" fontId="0" fillId="0" borderId="13" xfId="49" applyBorder="1" applyAlignment="1">
      <alignment horizontal="center"/>
    </xf>
    <xf numFmtId="0" fontId="0" fillId="4" borderId="14" xfId="49" applyFill="1" applyBorder="1" applyProtection="1">
      <protection locked="0"/>
    </xf>
    <xf numFmtId="2" fontId="0" fillId="0" borderId="14" xfId="49" applyNumberFormat="1" applyBorder="1" applyAlignment="1">
      <alignment horizontal="center" vertical="center"/>
    </xf>
    <xf numFmtId="0" fontId="0" fillId="0" borderId="14" xfId="49" applyFont="1" applyFill="1" applyBorder="1"/>
    <xf numFmtId="2" fontId="0" fillId="4" borderId="14" xfId="49" applyNumberFormat="1" applyFill="1" applyBorder="1" applyAlignment="1" applyProtection="1">
      <alignment horizontal="center"/>
      <protection locked="0"/>
    </xf>
    <xf numFmtId="0" fontId="0" fillId="0" borderId="14" xfId="49" applyFill="1" applyBorder="1" applyAlignment="1">
      <alignment horizontal="center"/>
    </xf>
    <xf numFmtId="0" fontId="0" fillId="0" borderId="16" xfId="49" applyFill="1" applyBorder="1" applyAlignment="1">
      <alignment horizontal="center"/>
    </xf>
    <xf numFmtId="0" fontId="0" fillId="0" borderId="6" xfId="49" applyFill="1" applyBorder="1" applyAlignment="1"/>
    <xf numFmtId="0" fontId="0" fillId="11" borderId="13" xfId="49" applyFill="1" applyBorder="1" applyAlignment="1">
      <alignment horizontal="center"/>
    </xf>
    <xf numFmtId="0" fontId="0" fillId="11" borderId="11" xfId="49" applyFill="1" applyBorder="1" applyAlignment="1">
      <alignment horizontal="center"/>
    </xf>
    <xf numFmtId="2" fontId="0" fillId="9" borderId="4" xfId="49" applyNumberFormat="1" applyFill="1" applyBorder="1"/>
    <xf numFmtId="0" fontId="0" fillId="0" borderId="6" xfId="49" applyFill="1" applyBorder="1"/>
    <xf numFmtId="0" fontId="0" fillId="11" borderId="10" xfId="49" applyFill="1" applyBorder="1" applyAlignment="1">
      <alignment horizontal="center"/>
    </xf>
    <xf numFmtId="0" fontId="0" fillId="2" borderId="17" xfId="49" applyFill="1" applyBorder="1"/>
    <xf numFmtId="0" fontId="0" fillId="2" borderId="18" xfId="49" applyFill="1" applyBorder="1"/>
    <xf numFmtId="0" fontId="0" fillId="2" borderId="19" xfId="49" applyFill="1" applyBorder="1" applyAlignment="1">
      <alignment horizontal="center"/>
    </xf>
    <xf numFmtId="0" fontId="0" fillId="4" borderId="2" xfId="49" applyFill="1" applyBorder="1" applyAlignment="1" applyProtection="1">
      <alignment horizontal="center"/>
      <protection locked="0"/>
    </xf>
    <xf numFmtId="0" fontId="0" fillId="2" borderId="20" xfId="49" applyFill="1" applyBorder="1"/>
    <xf numFmtId="0" fontId="0" fillId="0" borderId="2" xfId="49" applyBorder="1" applyAlignment="1">
      <alignment wrapText="1"/>
    </xf>
    <xf numFmtId="0" fontId="0" fillId="4" borderId="21" xfId="49" applyFill="1" applyBorder="1" applyAlignment="1" applyProtection="1">
      <alignment horizontal="center" vertical="center"/>
      <protection locked="0"/>
    </xf>
    <xf numFmtId="0" fontId="0" fillId="4" borderId="22" xfId="49" applyFill="1" applyBorder="1" applyAlignment="1" applyProtection="1">
      <alignment horizontal="center" vertical="center"/>
      <protection locked="0"/>
    </xf>
    <xf numFmtId="0" fontId="0" fillId="4" borderId="23" xfId="49" applyFill="1" applyBorder="1" applyAlignment="1" applyProtection="1">
      <alignment horizontal="center" vertical="center"/>
      <protection locked="0"/>
    </xf>
    <xf numFmtId="0" fontId="0" fillId="0" borderId="16" xfId="49" applyBorder="1"/>
    <xf numFmtId="0" fontId="0" fillId="4" borderId="16" xfId="49" applyFill="1" applyBorder="1" applyAlignment="1" applyProtection="1">
      <alignment horizontal="center"/>
      <protection locked="0"/>
    </xf>
    <xf numFmtId="0" fontId="0" fillId="0" borderId="24" xfId="49" applyFill="1" applyBorder="1" applyAlignment="1">
      <alignment horizontal="center"/>
    </xf>
    <xf numFmtId="0" fontId="0" fillId="11" borderId="16" xfId="49" applyFill="1" applyBorder="1" applyAlignment="1">
      <alignment horizontal="center"/>
    </xf>
    <xf numFmtId="0" fontId="0" fillId="0" borderId="0" xfId="49" applyFill="1" applyBorder="1" applyAlignment="1">
      <alignment horizontal="center"/>
    </xf>
    <xf numFmtId="0" fontId="0" fillId="11" borderId="3" xfId="49" applyFill="1" applyBorder="1" applyAlignment="1">
      <alignment horizontal="center"/>
    </xf>
    <xf numFmtId="0" fontId="11" fillId="9" borderId="0" xfId="49" applyFont="1" applyFill="1" applyBorder="1" applyAlignment="1" applyProtection="1">
      <alignment horizontal="center" vertical="center"/>
    </xf>
    <xf numFmtId="0" fontId="0" fillId="9" borderId="25" xfId="49" applyFill="1" applyBorder="1"/>
    <xf numFmtId="0" fontId="0" fillId="9" borderId="26" xfId="49" applyFill="1" applyBorder="1"/>
    <xf numFmtId="0" fontId="12" fillId="9" borderId="26" xfId="49" applyFont="1" applyFill="1" applyBorder="1" applyAlignment="1">
      <alignment horizontal="center" vertical="center"/>
    </xf>
    <xf numFmtId="0" fontId="13" fillId="9" borderId="26" xfId="49" applyFont="1" applyFill="1" applyBorder="1" applyAlignment="1">
      <alignment horizontal="center" vertical="center"/>
    </xf>
    <xf numFmtId="0" fontId="0" fillId="9" borderId="15" xfId="49" applyFill="1" applyBorder="1"/>
    <xf numFmtId="0" fontId="0" fillId="9" borderId="0" xfId="49" applyFill="1" applyBorder="1"/>
    <xf numFmtId="0" fontId="13" fillId="9" borderId="0" xfId="49" applyFont="1" applyFill="1" applyBorder="1" applyAlignment="1">
      <alignment horizontal="center" vertical="center"/>
    </xf>
    <xf numFmtId="0" fontId="14" fillId="9" borderId="15" xfId="49" applyFont="1" applyFill="1" applyBorder="1" applyAlignment="1">
      <alignment horizontal="center"/>
    </xf>
    <xf numFmtId="0" fontId="14" fillId="9" borderId="0" xfId="49" applyFont="1" applyFill="1" applyBorder="1" applyAlignment="1">
      <alignment horizontal="center"/>
    </xf>
    <xf numFmtId="0" fontId="0" fillId="9" borderId="27" xfId="49" applyFill="1" applyBorder="1"/>
    <xf numFmtId="0" fontId="0" fillId="9" borderId="20" xfId="49" applyFill="1" applyBorder="1"/>
    <xf numFmtId="0" fontId="15" fillId="9" borderId="0" xfId="49" applyFont="1" applyFill="1" applyProtection="1"/>
    <xf numFmtId="0" fontId="0" fillId="9" borderId="28" xfId="49" applyFill="1" applyBorder="1"/>
    <xf numFmtId="0" fontId="0" fillId="9" borderId="29" xfId="49" applyFill="1" applyBorder="1"/>
    <xf numFmtId="0" fontId="14" fillId="9" borderId="29" xfId="49" applyFont="1" applyFill="1" applyBorder="1" applyAlignment="1">
      <alignment horizontal="center"/>
    </xf>
    <xf numFmtId="0" fontId="0" fillId="9" borderId="30" xfId="49" applyFill="1" applyBorder="1"/>
    <xf numFmtId="0" fontId="0" fillId="11" borderId="2" xfId="49" applyFill="1" applyBorder="1" applyAlignment="1">
      <alignment horizontal="center"/>
    </xf>
    <xf numFmtId="0" fontId="0" fillId="11" borderId="1" xfId="49" applyFill="1" applyBorder="1" applyAlignment="1">
      <alignment horizontal="center"/>
    </xf>
    <xf numFmtId="2" fontId="0" fillId="0" borderId="5" xfId="49" applyNumberFormat="1" applyBorder="1" applyAlignment="1">
      <alignment horizontal="center"/>
    </xf>
    <xf numFmtId="178" fontId="0" fillId="0" borderId="14" xfId="49" applyNumberFormat="1" applyBorder="1"/>
    <xf numFmtId="177" fontId="0" fillId="0" borderId="14" xfId="49" applyNumberFormat="1" applyBorder="1"/>
    <xf numFmtId="9" fontId="0" fillId="0" borderId="14" xfId="49" applyNumberFormat="1" applyBorder="1"/>
    <xf numFmtId="176" fontId="0" fillId="0" borderId="14" xfId="49" applyNumberFormat="1" applyBorder="1"/>
    <xf numFmtId="0" fontId="0" fillId="2" borderId="14" xfId="49" applyFill="1" applyBorder="1" applyAlignment="1">
      <alignment horizontal="center" vertical="center"/>
    </xf>
    <xf numFmtId="0" fontId="0" fillId="4" borderId="6" xfId="49" applyFill="1" applyBorder="1" applyAlignment="1" applyProtection="1">
      <alignment horizontal="center"/>
      <protection locked="0"/>
    </xf>
    <xf numFmtId="176" fontId="0" fillId="0" borderId="0" xfId="11" applyNumberFormat="1" applyFont="1"/>
    <xf numFmtId="0" fontId="14" fillId="9" borderId="0" xfId="49" applyFont="1" applyFill="1" applyBorder="1" applyAlignment="1"/>
    <xf numFmtId="0" fontId="14" fillId="9" borderId="15" xfId="49" applyFont="1" applyFill="1" applyBorder="1" applyAlignment="1">
      <alignment horizontal="center" wrapText="1"/>
    </xf>
    <xf numFmtId="0" fontId="14" fillId="9" borderId="0" xfId="49" applyFont="1" applyFill="1" applyBorder="1" applyAlignment="1">
      <alignment horizontal="center" wrapText="1"/>
    </xf>
    <xf numFmtId="0" fontId="0" fillId="0" borderId="15" xfId="49" applyBorder="1"/>
    <xf numFmtId="177" fontId="0" fillId="0" borderId="0" xfId="49" applyNumberFormat="1" applyBorder="1"/>
    <xf numFmtId="0" fontId="0" fillId="0" borderId="27" xfId="49" applyBorder="1"/>
    <xf numFmtId="0" fontId="0" fillId="0" borderId="20" xfId="49" applyBorder="1"/>
    <xf numFmtId="0" fontId="14" fillId="9" borderId="29" xfId="49" applyFont="1" applyFill="1" applyBorder="1" applyAlignment="1"/>
    <xf numFmtId="0" fontId="0" fillId="0" borderId="29" xfId="49" applyBorder="1"/>
    <xf numFmtId="0" fontId="0" fillId="0" borderId="30" xfId="49" applyBorder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3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72848064"/>
          <c:y val="0.114238933194285"/>
          <c:w val="0.808109074831338"/>
          <c:h val="0.810143004298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" Entered FET SOA @ 25C"</c:f>
              <c:strCache>
                <c:ptCount val="1"/>
                <c:pt idx="0">
                  <c:v> Entered FET SOA @ 25C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</c:marker>
          <c:xVal>
            <c:numRef>
              <c:f>SOA_Checks!$C$47:$C$48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 c:formatCode="General">
                  <c:v>6</c:v>
                </c:pt>
                <c:pt idx="1" c:formatCode="General">
                  <c:v>1.8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"Temp Derated SOA"</c:f>
              <c:strCache>
                <c:ptCount val="1"/>
                <c:pt idx="0">
                  <c:v>Temp Derated SOA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</c:marker>
          <c:xVal>
            <c:numRef>
              <c:f>SOA_Checks!$C$61:$C$62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2.33395767499761</c:v>
                </c:pt>
                <c:pt idx="1">
                  <c:v>0.700187302499282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"Extrapolated SOA"</c:f>
              <c:strCache>
                <c:ptCount val="1"/>
                <c:pt idx="0">
                  <c:v>Extrapolated SOA</c:v>
                </c:pt>
              </c:strCache>
            </c:strRef>
          </c:tx>
          <c:spPr>
            <a:noFill/>
            <a:ln w="25400">
              <a:noFill/>
            </a:ln>
            <a:effectLst/>
          </c:spPr>
          <c:marker>
            <c:symbol val="x"/>
            <c:size val="10"/>
            <c:spPr>
              <a:noFill/>
              <a:ln>
                <a:solidFill>
                  <a:schemeClr val="accent3"/>
                </a:solidFill>
              </a:ln>
              <a:effectLst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0.230484094213212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"FET Operating Point"</c:f>
              <c:strCache>
                <c:ptCount val="1"/>
                <c:pt idx="0">
                  <c:v>FET Operating Point</c:v>
                </c:pt>
              </c:strCache>
            </c:strRef>
          </c:tx>
          <c:spPr>
            <a:noFill/>
            <a:ln w="28575">
              <a:noFill/>
            </a:ln>
            <a:effectLst/>
          </c:spPr>
          <c:marker>
            <c:symbol val="triangle"/>
            <c:size val="9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</c:marker>
          <c:xVal>
            <c:numRef>
              <c:f>SOA_Checks!$C$80</c:f>
              <c:numCache>
                <c:formatCode>0.00</c:formatCode>
                <c:ptCount val="1"/>
                <c:pt idx="0">
                  <c:v>0.230484094213212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0.6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"/>
              <c:y val="0.9261606200861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45587200"/>
        <c:crossesAt val="0.1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1406727432455"/>
          <c:y val="0.0499806839227583"/>
          <c:w val="0.442015241896462"/>
          <c:h val="0.25516938908043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800" b="1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scatterChart>
        <c:scatterStyle val="smooth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 c:formatCode="General">
                  <c:v>0</c:v>
                </c:pt>
                <c:pt idx="1" c:formatCode="General">
                  <c:v>0.602397948556636</c:v>
                </c:pt>
                <c:pt idx="2" c:formatCode="General">
                  <c:v>0.917820323027551</c:v>
                </c:pt>
                <c:pt idx="3" c:formatCode="General">
                  <c:v>1.18602813742386</c:v>
                </c:pt>
                <c:pt idx="4" c:formatCode="General">
                  <c:v>1.42979589711327</c:v>
                </c:pt>
                <c:pt idx="5" c:formatCode="General">
                  <c:v>1.65794511501033</c:v>
                </c:pt>
                <c:pt idx="6" c:formatCode="General">
                  <c:v>1.875</c:v>
                </c:pt>
                <c:pt idx="7" c:formatCode="General">
                  <c:v>2.08364813968157</c:v>
                </c:pt>
                <c:pt idx="8" c:formatCode="General">
                  <c:v>2.2856406460551</c:v>
                </c:pt>
                <c:pt idx="9" c:formatCode="General">
                  <c:v>2.48219384566991</c:v>
                </c:pt>
                <c:pt idx="10" c:formatCode="General">
                  <c:v>2.67419333848297</c:v>
                </c:pt>
                <c:pt idx="11" c:formatCode="General">
                  <c:v>2.86230768092719</c:v>
                </c:pt>
                <c:pt idx="12" c:formatCode="General">
                  <c:v>3.04705627484771</c:v>
                </c:pt>
                <c:pt idx="13" c:formatCode="General">
                  <c:v>3.22885217326557</c:v>
                </c:pt>
                <c:pt idx="14" c:formatCode="General">
                  <c:v>3.40803027798234</c:v>
                </c:pt>
                <c:pt idx="15" c:formatCode="General">
                  <c:v>3.58486659610103</c:v>
                </c:pt>
                <c:pt idx="16" c:formatCode="General">
                  <c:v>3.75959179422654</c:v>
                </c:pt>
                <c:pt idx="17" c:formatCode="General">
                  <c:v>3.93240098767241</c:v>
                </c:pt>
                <c:pt idx="18" c:formatCode="General">
                  <c:v>4.10346096908265</c:v>
                </c:pt>
                <c:pt idx="19" c:formatCode="General">
                  <c:v>4.27291565040626</c:v>
                </c:pt>
                <c:pt idx="20" c:formatCode="General">
                  <c:v>4.44089023002066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 c:formatCode="General">
                  <c:v>0</c:v>
                </c:pt>
                <c:pt idx="1" c:formatCode="General">
                  <c:v>4.494375</c:v>
                </c:pt>
                <c:pt idx="2" c:formatCode="General">
                  <c:v>8.9775</c:v>
                </c:pt>
                <c:pt idx="3" c:formatCode="General">
                  <c:v>13.449375</c:v>
                </c:pt>
                <c:pt idx="4" c:formatCode="General">
                  <c:v>17.91</c:v>
                </c:pt>
                <c:pt idx="5" c:formatCode="General">
                  <c:v>22.359375</c:v>
                </c:pt>
                <c:pt idx="6" c:formatCode="General">
                  <c:v>26.7975</c:v>
                </c:pt>
                <c:pt idx="7" c:formatCode="General">
                  <c:v>31.224375</c:v>
                </c:pt>
                <c:pt idx="8" c:formatCode="General">
                  <c:v>35.64</c:v>
                </c:pt>
                <c:pt idx="9" c:formatCode="General">
                  <c:v>40.044375</c:v>
                </c:pt>
                <c:pt idx="10" c:formatCode="General">
                  <c:v>44.4375</c:v>
                </c:pt>
                <c:pt idx="11" c:formatCode="General">
                  <c:v>48.819375</c:v>
                </c:pt>
                <c:pt idx="12" c:formatCode="General">
                  <c:v>53.19</c:v>
                </c:pt>
                <c:pt idx="13" c:formatCode="General">
                  <c:v>57.549375</c:v>
                </c:pt>
                <c:pt idx="14" c:formatCode="General">
                  <c:v>61.8975</c:v>
                </c:pt>
                <c:pt idx="15" c:formatCode="General">
                  <c:v>66.234375</c:v>
                </c:pt>
                <c:pt idx="16" c:formatCode="General">
                  <c:v>70.56</c:v>
                </c:pt>
                <c:pt idx="17" c:formatCode="General">
                  <c:v>74.874375</c:v>
                </c:pt>
                <c:pt idx="18" c:formatCode="General">
                  <c:v>79.1775</c:v>
                </c:pt>
                <c:pt idx="19" c:formatCode="General">
                  <c:v>83.469375</c:v>
                </c:pt>
                <c:pt idx="20" c:formatCode="General">
                  <c:v>87.75</c:v>
                </c:pt>
              </c:numCache>
            </c:numRef>
          </c:yVal>
          <c:smooth val="1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9191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Overflow="ellipsis" anchor="ctr" anchorCtr="1"/>
          <a:lstStyle/>
          <a:p>
            <a:pPr algn="ctr">
              <a:defRPr sz="1800" b="1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969722276557"/>
          <c:y val="0.101871485311239"/>
          <c:w val="0.781333461393853"/>
          <c:h val="0.751329320463499"/>
        </c:manualLayout>
      </c:layout>
      <c:scatterChart>
        <c:scatterStyle val="line"/>
        <c:varyColors val="0"/>
        <c:ser>
          <c:idx val="0"/>
          <c:order val="0"/>
          <c:tx>
            <c:strRef>
              <c:f>"Current Limit"</c:f>
              <c:strCache>
                <c:ptCount val="1"/>
                <c:pt idx="0">
                  <c:v>Current Limit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Graphs!$G$19:$G$22</c:f>
              <c:numCache>
                <c:formatCode>General</c:formatCode>
                <c:ptCount val="4"/>
                <c:pt idx="0" c:formatCode="General">
                  <c:v>1</c:v>
                </c:pt>
                <c:pt idx="1" c:formatCode="0.00">
                  <c:v>20</c:v>
                </c:pt>
                <c:pt idx="2" c:formatCode="0.00">
                  <c:v>20.01</c:v>
                </c:pt>
                <c:pt idx="3" c: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4"/>
              <c:y val="0.93370298720876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532582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1091665591047"/>
          <c:y val="0.027484608689454"/>
          <c:w val="0.846981171336675"/>
          <c:h val="0.840560567373753"/>
        </c:manualLayout>
      </c:layout>
      <c:scatterChart>
        <c:scatterStyle val="lineMarker"/>
        <c:varyColors val="0"/>
        <c:ser>
          <c:idx val="0"/>
          <c:order val="0"/>
          <c:tx>
            <c:strRef>
              <c:f>" Entered FET SOA @ 25C"</c:f>
              <c:strCache>
                <c:ptCount val="1"/>
                <c:pt idx="0">
                  <c:v> Entered FET SOA @ 25C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</c:marker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 c:formatCode="General">
                  <c:v>30</c:v>
                </c:pt>
                <c:pt idx="1" c:formatCode="General">
                  <c:v>10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"Temp Derated SOA"</c:f>
              <c:strCache>
                <c:ptCount val="1"/>
                <c:pt idx="0">
                  <c:v>Temp Derated SOA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</c:marker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11.669788374988</c:v>
                </c:pt>
                <c:pt idx="1">
                  <c:v>3.88992945832934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"Extrapolated SOA"</c:f>
              <c:strCache>
                <c:ptCount val="1"/>
                <c:pt idx="0">
                  <c:v>Extrapolated SOA</c:v>
                </c:pt>
              </c:strCache>
            </c:strRef>
          </c:tx>
          <c:spPr>
            <a:noFill/>
            <a:ln w="25400">
              <a:noFill/>
            </a:ln>
            <a:effectLst/>
          </c:spPr>
          <c:marker>
            <c:symbol val="x"/>
            <c:size val="10"/>
            <c:spPr>
              <a:noFill/>
              <a:ln>
                <a:solidFill>
                  <a:schemeClr val="accent3"/>
                </a:solidFill>
              </a:ln>
              <a:effectLst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11.669788374988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"FET Operating Point"</c:f>
              <c:strCache>
                <c:ptCount val="1"/>
                <c:pt idx="0">
                  <c:v>FET Operating Point</c:v>
                </c:pt>
              </c:strCache>
            </c:strRef>
          </c:tx>
          <c:spPr>
            <a:noFill/>
            <a:ln w="28575">
              <a:noFill/>
            </a:ln>
            <a:effectLst/>
          </c:spPr>
          <c:marker>
            <c:symbol val="triangle"/>
            <c:size val="9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</c:marker>
          <c:xVal>
            <c:numRef>
              <c:f>SOA_Checks!$C$83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8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4"/>
              <c:y val="0.93370298720876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07008"/>
        <c:crossesAt val="0.1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58515881073692"/>
          <c:y val="0.0033676567740624"/>
          <c:w val="0.431744732354074"/>
          <c:h val="0.29618179153571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"/>
          <c:y val="0.0343302153311537"/>
          <c:w val="0.808109074831338"/>
          <c:h val="0.802159070378155"/>
        </c:manualLayout>
      </c:layout>
      <c:scatterChart>
        <c:scatterStyle val="line"/>
        <c:varyColors val="0"/>
        <c:ser>
          <c:idx val="0"/>
          <c:order val="0"/>
          <c:tx>
            <c:strRef>
              <c:f>"Inrush Current"</c:f>
              <c:strCache>
                <c:ptCount val="1"/>
                <c:pt idx="0">
                  <c:v>Inrush Current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10</c:v>
                </c:pt>
                <c:pt idx="2" c:formatCode="General">
                  <c:v>10.01</c:v>
                </c:pt>
                <c:pt idx="3" c:formatCode="General">
                  <c:v>14.762</c:v>
                </c:pt>
                <c:pt idx="4" c:formatCode="General">
                  <c:v>14.772</c:v>
                </c:pt>
                <c:pt idx="5" c:formatCode="General">
                  <c:v>19.514</c:v>
                </c:pt>
                <c:pt idx="6" c:formatCode="General">
                  <c:v>19.524</c:v>
                </c:pt>
                <c:pt idx="7" c:formatCode="General">
                  <c:v>29.524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0</c:v>
                </c:pt>
                <c:pt idx="2" c:formatCode="General">
                  <c:v>0.4</c:v>
                </c:pt>
                <c:pt idx="3" c:formatCode="General">
                  <c:v>0.4</c:v>
                </c:pt>
                <c:pt idx="4" c:formatCode="General">
                  <c:v>0.4</c:v>
                </c:pt>
                <c:pt idx="5" c:formatCode="General">
                  <c:v>0.4</c:v>
                </c:pt>
                <c:pt idx="6" c:formatCode="General">
                  <c:v>0</c:v>
                </c:pt>
                <c:pt idx="7" c:formatCode="General">
                  <c:v>0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5"/>
              <c:y val="0.92921303831434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4758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8"/>
          <c:y val="0.11692189824103"/>
          <c:w val="0.808109074831338"/>
          <c:h val="0.695250886584651"/>
        </c:manualLayout>
      </c:layout>
      <c:scatterChart>
        <c:scatterStyle val="line"/>
        <c:varyColors val="0"/>
        <c:ser>
          <c:idx val="0"/>
          <c:order val="0"/>
          <c:tx>
            <c:strRef>
              <c:f>"FET_Power_Dissipation"</c:f>
              <c:strCache>
                <c:ptCount val="1"/>
                <c:pt idx="0">
                  <c:v>FET_Power_Dissipation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10</c:v>
                </c:pt>
                <c:pt idx="2" c:formatCode="General">
                  <c:v>10.01</c:v>
                </c:pt>
                <c:pt idx="3" c:formatCode="General">
                  <c:v>14.762</c:v>
                </c:pt>
                <c:pt idx="4" c:formatCode="General">
                  <c:v>14.772</c:v>
                </c:pt>
                <c:pt idx="5" c:formatCode="General">
                  <c:v>19.514</c:v>
                </c:pt>
                <c:pt idx="6" c:formatCode="General">
                  <c:v>19.524</c:v>
                </c:pt>
                <c:pt idx="7" c:formatCode="General">
                  <c:v>29.524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0</c:v>
                </c:pt>
                <c:pt idx="2" c:formatCode="General">
                  <c:v>28.8</c:v>
                </c:pt>
                <c:pt idx="3" c:formatCode="General">
                  <c:v>12</c:v>
                </c:pt>
                <c:pt idx="4" c:formatCode="General">
                  <c:v>12</c:v>
                </c:pt>
                <c:pt idx="5" c:formatCode="General">
                  <c:v>0</c:v>
                </c:pt>
                <c:pt idx="6" c:formatCode="General">
                  <c:v>0</c:v>
                </c:pt>
                <c:pt idx="7" c:formatCode="General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"Equivalent Power Pulse"</c:f>
              <c:strCache>
                <c:ptCount val="1"/>
                <c:pt idx="0">
                  <c:v>Equivalent Power Pulse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10</c:v>
                </c:pt>
                <c:pt idx="2" c:formatCode="General">
                  <c:v>10.01</c:v>
                </c:pt>
                <c:pt idx="3" c:formatCode="General">
                  <c:v>14.762</c:v>
                </c:pt>
                <c:pt idx="4" c:formatCode="General">
                  <c:v>14.772</c:v>
                </c:pt>
                <c:pt idx="5" c:formatCode="General">
                  <c:v>19.514</c:v>
                </c:pt>
                <c:pt idx="6" c:formatCode="General">
                  <c:v>19.524</c:v>
                </c:pt>
                <c:pt idx="7" c:formatCode="General">
                  <c:v>29.524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 c:formatCode="General">
                  <c:v>0</c:v>
                </c:pt>
                <c:pt idx="1" c:formatCode="General">
                  <c:v>0</c:v>
                </c:pt>
                <c:pt idx="2" c:formatCode="General">
                  <c:v>28.8</c:v>
                </c:pt>
                <c:pt idx="3" c:formatCode="General">
                  <c:v>28.8</c:v>
                </c:pt>
                <c:pt idx="4" c:formatCode="General">
                  <c:v>0</c:v>
                </c:pt>
                <c:pt idx="5" c:formatCode="General">
                  <c:v>0</c:v>
                </c:pt>
                <c:pt idx="6" c:formatCode="General">
                  <c:v>0</c:v>
                </c:pt>
                <c:pt idx="7" c:formatCode="General">
                  <c:v>0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"/>
              <c:y val="0.893955074509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(W)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58291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47492577772041"/>
          <c:y val="0.289188613042118"/>
          <c:w val="0.417626823286433"/>
          <c:h val="0.13322272807435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Overflow="ellipsis" anchor="ctr" anchorCtr="1"/>
          <a:lstStyle/>
          <a:p>
            <a:pPr algn="ctr">
              <a:defRPr sz="1800" b="1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969722276557"/>
          <c:y val="0.101871485311239"/>
          <c:w val="0.781333461393853"/>
          <c:h val="0.751329320463499"/>
        </c:manualLayout>
      </c:layout>
      <c:scatterChart>
        <c:scatterStyle val="line"/>
        <c:varyColors val="0"/>
        <c:ser>
          <c:idx val="0"/>
          <c:order val="0"/>
          <c:tx>
            <c:strRef>
              <c:f>"Current Limit"</c:f>
              <c:strCache>
                <c:ptCount val="1"/>
                <c:pt idx="0">
                  <c:v>Current Limit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Graphs!$G$19:$G$22</c:f>
              <c:numCache>
                <c:formatCode>General</c:formatCode>
                <c:ptCount val="4"/>
                <c:pt idx="0" c:formatCode="General">
                  <c:v>1</c:v>
                </c:pt>
                <c:pt idx="1" c:formatCode="0.00">
                  <c:v>20</c:v>
                </c:pt>
                <c:pt idx="2" c:formatCode="0.00">
                  <c:v>20.01</c:v>
                </c:pt>
                <c:pt idx="3" c: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4"/>
              <c:y val="0.93370298720876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6135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58972848064"/>
          <c:y val="0.114238933194285"/>
          <c:w val="0.808109074831338"/>
          <c:h val="0.810143004298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" Entered FET SOA @ 25C"</c:f>
              <c:strCache>
                <c:ptCount val="1"/>
                <c:pt idx="0">
                  <c:v> Entered FET SOA @ 25C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</c:marker>
          <c:xVal>
            <c:numRef>
              <c:f>SOA_Checks!$C$51:$C$52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 c:formatCode="General">
                  <c:v>1.8</c:v>
                </c:pt>
                <c:pt idx="1" c:formatCode="General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"Temp Derated SOA"</c:f>
              <c:strCache>
                <c:ptCount val="1"/>
                <c:pt idx="0">
                  <c:v>Temp Derated SOA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</c:marker>
          <c:xVal>
            <c:numRef>
              <c:f>SOA_Checks!$C$65:$C$66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0.700187302499282</c:v>
                </c:pt>
                <c:pt idx="1">
                  <c:v>0.388992945832934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"Extrapolated SOA"</c:f>
              <c:strCache>
                <c:ptCount val="1"/>
                <c:pt idx="0">
                  <c:v>Extrapolated SOA</c:v>
                </c:pt>
              </c:strCache>
            </c:strRef>
          </c:tx>
          <c:spPr>
            <a:noFill/>
            <a:ln w="25400">
              <a:noFill/>
            </a:ln>
            <a:effectLst/>
          </c:spPr>
          <c:marker>
            <c:symbol val="x"/>
            <c:size val="10"/>
            <c:spPr>
              <a:noFill/>
              <a:ln>
                <a:solidFill>
                  <a:schemeClr val="accent3"/>
                </a:solidFill>
              </a:ln>
              <a:effectLst/>
            </c:spPr>
          </c:marker>
          <c:xVal>
            <c:numRef>
              <c:f>SOA_Checks!$C$75</c:f>
              <c:numCache>
                <c:formatCode>General</c:formatCode>
                <c:ptCount val="1"/>
                <c:pt idx="0" c:formatCode="General">
                  <c:v>4.8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0.469150381233193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"FET Operating Point"</c:f>
              <c:strCache>
                <c:ptCount val="1"/>
                <c:pt idx="0">
                  <c:v>FET Operating Point</c:v>
                </c:pt>
              </c:strCache>
            </c:strRef>
          </c:tx>
          <c:spPr>
            <a:noFill/>
            <a:ln w="28575">
              <a:noFill/>
            </a:ln>
            <a:effectLst/>
          </c:spPr>
          <c:marker>
            <c:symbol val="triangle"/>
            <c:size val="9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</c:marker>
          <c:xVal>
            <c:numRef>
              <c:f>SOA_Checks!$C$82</c:f>
              <c:numCache>
                <c:formatCode>0.00</c:formatCode>
                <c:ptCount val="1"/>
                <c:pt idx="0">
                  <c:v>4.8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"/>
              <c:y val="0.9261606200861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minorGridlines>
          <c:spPr>
            <a:noFill/>
            <a:ln w="9525" cap="flat" cmpd="sng" algn="ctr">
              <a:solidFill>
                <a:schemeClr val="tx1">
                  <a:tint val="50000"/>
                </a:schemeClr>
              </a:solidFill>
              <a:prstDash val="solid"/>
            </a:ln>
            <a:effectLst/>
          </c:spPr>
        </c:min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732928"/>
        <c:crossesAt val="0.1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511406727432455"/>
          <c:y val="0.0499806839227583"/>
          <c:w val="0.442015241896462"/>
          <c:h val="0.25516938908043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Overflow="ellipsis" anchor="ctr" anchorCtr="1"/>
          <a:lstStyle/>
          <a:p>
            <a:pPr algn="ctr">
              <a:defRPr sz="1800" b="1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337553446433"/>
          <c:y val="0.169219748842184"/>
          <c:w val="0.835953849755189"/>
          <c:h val="0.684071912284506"/>
        </c:manualLayout>
      </c:layout>
      <c:scatterChart>
        <c:scatterStyle val="line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 c:formatCode="General">
                  <c:v>0</c:v>
                </c:pt>
                <c:pt idx="1" c:formatCode="General">
                  <c:v>2.5</c:v>
                </c:pt>
                <c:pt idx="2" c:formatCode="General">
                  <c:v>2.51</c:v>
                </c:pt>
                <c:pt idx="3" c:formatCode="General">
                  <c:v>2.76</c:v>
                </c:pt>
                <c:pt idx="4" c:formatCode="General">
                  <c:v>3.01</c:v>
                </c:pt>
                <c:pt idx="5" c:formatCode="General">
                  <c:v>3.26</c:v>
                </c:pt>
                <c:pt idx="6" c:formatCode="General">
                  <c:v>3.51</c:v>
                </c:pt>
                <c:pt idx="7" c:formatCode="General">
                  <c:v>3.511</c:v>
                </c:pt>
                <c:pt idx="8" c:formatCode="General">
                  <c:v>3.711</c:v>
                </c:pt>
                <c:pt idx="9" c:formatCode="0.00">
                  <c:v>0</c:v>
                </c:pt>
                <c:pt idx="10" c:formatCode="0.00">
                  <c:v>0</c:v>
                </c:pt>
                <c:pt idx="11" c:formatCode="0.00">
                  <c:v>0</c:v>
                </c:pt>
                <c:pt idx="12" c: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 c:formatCode="General">
                  <c:v>54</c:v>
                </c:pt>
                <c:pt idx="1" c:formatCode="General">
                  <c:v>54</c:v>
                </c:pt>
                <c:pt idx="2" c:formatCode="General">
                  <c:v>10</c:v>
                </c:pt>
                <c:pt idx="3" c:formatCode="General">
                  <c:v>10</c:v>
                </c:pt>
                <c:pt idx="4" c:formatCode="General">
                  <c:v>10</c:v>
                </c:pt>
                <c:pt idx="5" c:formatCode="General">
                  <c:v>10</c:v>
                </c:pt>
                <c:pt idx="6" c:formatCode="General">
                  <c:v>10</c:v>
                </c:pt>
                <c:pt idx="7" c:formatCode="General">
                  <c:v>54</c:v>
                </c:pt>
                <c:pt idx="8" c:formatCode="General">
                  <c:v>54</c:v>
                </c:pt>
                <c:pt idx="9" c:formatCode="General">
                  <c:v>54</c:v>
                </c:pt>
                <c:pt idx="10" c:formatCode="General">
                  <c:v>54</c:v>
                </c:pt>
                <c:pt idx="11" c:formatCode="General">
                  <c:v>54</c:v>
                </c:pt>
                <c:pt idx="12" c:formatCode="General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 c:formatCode="General">
                  <c:v>0</c:v>
                </c:pt>
                <c:pt idx="1" c:formatCode="General">
                  <c:v>2.5</c:v>
                </c:pt>
                <c:pt idx="2" c:formatCode="General">
                  <c:v>2.51</c:v>
                </c:pt>
                <c:pt idx="3" c:formatCode="General">
                  <c:v>2.76</c:v>
                </c:pt>
                <c:pt idx="4" c:formatCode="General">
                  <c:v>3.01</c:v>
                </c:pt>
                <c:pt idx="5" c:formatCode="General">
                  <c:v>3.26</c:v>
                </c:pt>
                <c:pt idx="6" c:formatCode="General">
                  <c:v>3.51</c:v>
                </c:pt>
                <c:pt idx="7" c:formatCode="General">
                  <c:v>3.511</c:v>
                </c:pt>
                <c:pt idx="8" c:formatCode="General">
                  <c:v>3.711</c:v>
                </c:pt>
                <c:pt idx="9" c:formatCode="0.00">
                  <c:v>0</c:v>
                </c:pt>
                <c:pt idx="10" c:formatCode="0.00">
                  <c:v>0</c:v>
                </c:pt>
                <c:pt idx="11" c:formatCode="0.00">
                  <c:v>0</c:v>
                </c:pt>
                <c:pt idx="12" c: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 c:formatCode="General">
                  <c:v>54</c:v>
                </c:pt>
                <c:pt idx="1" c:formatCode="General">
                  <c:v>54</c:v>
                </c:pt>
                <c:pt idx="2" c:formatCode="General">
                  <c:v>54</c:v>
                </c:pt>
                <c:pt idx="3" c:formatCode="0.00">
                  <c:v>24.9107497788697</c:v>
                </c:pt>
                <c:pt idx="4" c:formatCode="0.00">
                  <c:v>0</c:v>
                </c:pt>
                <c:pt idx="5" c:formatCode="0.00">
                  <c:v>0</c:v>
                </c:pt>
                <c:pt idx="6" c:formatCode="0.00">
                  <c:v>0</c:v>
                </c:pt>
                <c:pt idx="7" c:formatCode="0.00">
                  <c:v>0</c:v>
                </c:pt>
                <c:pt idx="8" c:formatCode="0.00">
                  <c:v>0</c:v>
                </c:pt>
                <c:pt idx="9" c:formatCode="0.00">
                  <c:v>0</c:v>
                </c:pt>
                <c:pt idx="10" c:formatCode="0.00">
                  <c:v>0</c:v>
                </c:pt>
                <c:pt idx="11" c:formatCode="0.00">
                  <c:v>0</c:v>
                </c:pt>
                <c:pt idx="12" c:formatCode="General">
                  <c:v>54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177602919763621"/>
              <c:y val="0.37927300306738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79628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709968744019"/>
          <c:y val="0.327735430830413"/>
          <c:w val="0.178598978975391"/>
          <c:h val="0.16743438320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vertOverflow="ellipsis" anchor="ctr" anchorCtr="1"/>
          <a:lstStyle/>
          <a:p>
            <a:pPr algn="ctr">
              <a:defRPr sz="1800" b="1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337553446433"/>
          <c:y val="0.169219748842184"/>
          <c:w val="0.835953849755189"/>
          <c:h val="0.684071912284506"/>
        </c:manualLayout>
      </c:layout>
      <c:scatterChart>
        <c:scatterStyle val="line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 c:formatCode="General">
                  <c:v>0</c:v>
                </c:pt>
                <c:pt idx="1" c:formatCode="General">
                  <c:v>2.5</c:v>
                </c:pt>
                <c:pt idx="2" c:formatCode="General">
                  <c:v>2.51</c:v>
                </c:pt>
                <c:pt idx="3" c:formatCode="General">
                  <c:v>2.76</c:v>
                </c:pt>
                <c:pt idx="4" c:formatCode="General">
                  <c:v>3.01</c:v>
                </c:pt>
                <c:pt idx="5" c:formatCode="General">
                  <c:v>3.26</c:v>
                </c:pt>
                <c:pt idx="6" c:formatCode="General">
                  <c:v>3.51</c:v>
                </c:pt>
                <c:pt idx="7" c:formatCode="General">
                  <c:v>3.511</c:v>
                </c:pt>
                <c:pt idx="8" c:formatCode="General">
                  <c:v>3.711</c:v>
                </c:pt>
                <c:pt idx="9" c:formatCode="0.00">
                  <c:v>0</c:v>
                </c:pt>
                <c:pt idx="10" c:formatCode="0.00">
                  <c:v>0</c:v>
                </c:pt>
                <c:pt idx="11" c:formatCode="0.00">
                  <c:v>0</c:v>
                </c:pt>
                <c:pt idx="12" c: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 c:formatCode="General">
                  <c:v>3.7037037037037</c:v>
                </c:pt>
                <c:pt idx="1" c:formatCode="General">
                  <c:v>3.7037037037037</c:v>
                </c:pt>
                <c:pt idx="2" c:formatCode="General">
                  <c:v>0</c:v>
                </c:pt>
                <c:pt idx="3" c:formatCode="General">
                  <c:v>0</c:v>
                </c:pt>
                <c:pt idx="4" c:formatCode="General">
                  <c:v>0</c:v>
                </c:pt>
                <c:pt idx="5" c:formatCode="General">
                  <c:v>0</c:v>
                </c:pt>
                <c:pt idx="6" c:formatCode="General">
                  <c:v>0</c:v>
                </c:pt>
                <c:pt idx="7" c:formatCode="General">
                  <c:v>0</c:v>
                </c:pt>
                <c:pt idx="8" c:formatCode="General">
                  <c:v>0</c:v>
                </c:pt>
                <c:pt idx="9" c:formatCode="General">
                  <c:v>0</c:v>
                </c:pt>
                <c:pt idx="10" c:formatCode="General">
                  <c:v>0</c:v>
                </c:pt>
                <c:pt idx="11" c:formatCode="General">
                  <c:v>0</c:v>
                </c:pt>
                <c:pt idx="12" c:formatCode="General">
                  <c:v>3.7037037037037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spPr>
            <a:noFill/>
            <a:ln w="28575">
              <a:solidFill>
                <a:schemeClr val="accent2"/>
              </a:solidFill>
            </a:ln>
            <a:effectLst/>
          </c:spPr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 c:formatCode="General">
                  <c:v>0</c:v>
                </c:pt>
                <c:pt idx="1" c:formatCode="General">
                  <c:v>2.5</c:v>
                </c:pt>
                <c:pt idx="2" c:formatCode="General">
                  <c:v>2.51</c:v>
                </c:pt>
                <c:pt idx="3" c:formatCode="General">
                  <c:v>2.76</c:v>
                </c:pt>
                <c:pt idx="4" c:formatCode="General">
                  <c:v>3.01</c:v>
                </c:pt>
                <c:pt idx="5" c:formatCode="General">
                  <c:v>3.26</c:v>
                </c:pt>
                <c:pt idx="6" c:formatCode="General">
                  <c:v>3.51</c:v>
                </c:pt>
                <c:pt idx="7" c:formatCode="General">
                  <c:v>3.511</c:v>
                </c:pt>
                <c:pt idx="8" c:formatCode="General">
                  <c:v>3.711</c:v>
                </c:pt>
                <c:pt idx="9" c:formatCode="0.00">
                  <c:v>0</c:v>
                </c:pt>
                <c:pt idx="10" c:formatCode="0.00">
                  <c:v>0</c:v>
                </c:pt>
                <c:pt idx="11" c:formatCode="0.00">
                  <c:v>0</c:v>
                </c:pt>
                <c:pt idx="12" c: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3.7037037037037</c:v>
                </c:pt>
                <c:pt idx="1">
                  <c:v>3.7037037037037</c:v>
                </c:pt>
                <c:pt idx="2">
                  <c:v>3.7037037037037</c:v>
                </c:pt>
                <c:pt idx="3">
                  <c:v>8.02866239576813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3.7037037037037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vertOverflow="ellipsis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title>
          <c:tx>
            <c:rich>
              <a:bodyPr rot="-5400000" vertOverflow="ellipsis" vert="horz" anchor="ctr" anchorCtr="1"/>
              <a:lstStyle/>
              <a:p>
                <a:pPr algn="ctr">
                  <a:defRPr sz="1000" b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.0177602919763621"/>
              <c:y val="0.416528683151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8565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709968744019"/>
          <c:y val="0.327735430830413"/>
          <c:w val="0.178598978975391"/>
          <c:h val="0.16743438320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800" b="1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scatterChart>
        <c:scatterStyle val="line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spPr>
            <a:noFill/>
            <a:ln w="28575">
              <a:solidFill>
                <a:schemeClr val="accent1"/>
              </a:solidFill>
            </a:ln>
            <a:effectLst/>
          </c:spPr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 c:formatCode="General">
                  <c:v>0</c:v>
                </c:pt>
                <c:pt idx="1" c:formatCode="General">
                  <c:v>0.602397948556636</c:v>
                </c:pt>
                <c:pt idx="2" c:formatCode="General">
                  <c:v>0.917820323027551</c:v>
                </c:pt>
                <c:pt idx="3" c:formatCode="General">
                  <c:v>1.18602813742386</c:v>
                </c:pt>
                <c:pt idx="4" c:formatCode="General">
                  <c:v>1.42979589711327</c:v>
                </c:pt>
                <c:pt idx="5" c:formatCode="General">
                  <c:v>1.65794511501033</c:v>
                </c:pt>
                <c:pt idx="6" c:formatCode="General">
                  <c:v>1.875</c:v>
                </c:pt>
                <c:pt idx="7" c:formatCode="General">
                  <c:v>2.08364813968157</c:v>
                </c:pt>
                <c:pt idx="8" c:formatCode="General">
                  <c:v>2.2856406460551</c:v>
                </c:pt>
                <c:pt idx="9" c:formatCode="General">
                  <c:v>2.48219384566991</c:v>
                </c:pt>
                <c:pt idx="10" c:formatCode="General">
                  <c:v>2.67419333848297</c:v>
                </c:pt>
                <c:pt idx="11" c:formatCode="General">
                  <c:v>2.86230768092719</c:v>
                </c:pt>
                <c:pt idx="12" c:formatCode="General">
                  <c:v>3.04705627484771</c:v>
                </c:pt>
                <c:pt idx="13" c:formatCode="General">
                  <c:v>3.22885217326557</c:v>
                </c:pt>
                <c:pt idx="14" c:formatCode="General">
                  <c:v>3.40803027798234</c:v>
                </c:pt>
                <c:pt idx="15" c:formatCode="General">
                  <c:v>3.58486659610103</c:v>
                </c:pt>
                <c:pt idx="16" c:formatCode="General">
                  <c:v>3.75959179422654</c:v>
                </c:pt>
                <c:pt idx="17" c:formatCode="General">
                  <c:v>3.93240098767241</c:v>
                </c:pt>
                <c:pt idx="18" c:formatCode="General">
                  <c:v>4.10346096908265</c:v>
                </c:pt>
                <c:pt idx="19" c:formatCode="General">
                  <c:v>4.27291565040626</c:v>
                </c:pt>
                <c:pt idx="20" c:formatCode="General">
                  <c:v>4.44089023002066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 c:formatCode="General">
                  <c:v>0</c:v>
                </c:pt>
                <c:pt idx="1" c:formatCode="General">
                  <c:v>0.075</c:v>
                </c:pt>
                <c:pt idx="2" c:formatCode="General">
                  <c:v>0.15</c:v>
                </c:pt>
                <c:pt idx="3" c:formatCode="General">
                  <c:v>0.225</c:v>
                </c:pt>
                <c:pt idx="4" c:formatCode="General">
                  <c:v>0.3</c:v>
                </c:pt>
                <c:pt idx="5" c:formatCode="General">
                  <c:v>0.375</c:v>
                </c:pt>
                <c:pt idx="6" c:formatCode="General">
                  <c:v>0.45</c:v>
                </c:pt>
                <c:pt idx="7" c:formatCode="General">
                  <c:v>0.525</c:v>
                </c:pt>
                <c:pt idx="8" c:formatCode="General">
                  <c:v>0.6</c:v>
                </c:pt>
                <c:pt idx="9" c:formatCode="General">
                  <c:v>0.675</c:v>
                </c:pt>
                <c:pt idx="10" c:formatCode="General">
                  <c:v>0.75</c:v>
                </c:pt>
                <c:pt idx="11" c:formatCode="General">
                  <c:v>0.825</c:v>
                </c:pt>
                <c:pt idx="12" c:formatCode="General">
                  <c:v>0.9</c:v>
                </c:pt>
                <c:pt idx="13" c:formatCode="General">
                  <c:v>0.975</c:v>
                </c:pt>
                <c:pt idx="14" c:formatCode="General">
                  <c:v>1.05</c:v>
                </c:pt>
                <c:pt idx="15" c:formatCode="General">
                  <c:v>1.125</c:v>
                </c:pt>
                <c:pt idx="16" c:formatCode="General">
                  <c:v>1.2</c:v>
                </c:pt>
                <c:pt idx="17" c:formatCode="General">
                  <c:v>1.275</c:v>
                </c:pt>
                <c:pt idx="18" c:formatCode="General">
                  <c:v>1.35</c:v>
                </c:pt>
                <c:pt idx="19" c:formatCode="General">
                  <c:v>1.425</c:v>
                </c:pt>
                <c:pt idx="20" c:formatCode="General">
                  <c:v>1.5</c:v>
                </c:pt>
              </c:numCache>
            </c:numRef>
          </c:yVal>
          <c:smooth val="0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sz="1000" b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64897152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sz="1000" b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</a:schemeClr>
      </a:solidFill>
      <a:prstDash val="solid"/>
    </a:ln>
    <a:effectLst/>
  </c:spPr>
  <c:txPr>
    <a:bodyPr rot="0" spcFirstLastPara="0" vertOverflow="ellipsis" horzOverflow="overflow" vert="horz" wrap="square" anchor="ctr" anchorCtr="1"/>
    <a:lstStyle/>
    <a:p>
      <a:pPr>
        <a:defRPr lang="zh-CN"/>
      </a:pPr>
    </a:p>
  </c:txPr>
  <c:printSettings>
    <c:headerFooter/>
    <c:pageMargins r="0.7" b="0.75" l="0.7" footer="0.3" header="0.3" t="0.75"/>
    <c:pageSetup/>
  </c:printSettings>
</c:chartSpac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2.png"/><Relationship Id="rId8" Type="http://schemas.openxmlformats.org/officeDocument/2006/relationships/image" Target="../media/image1.png"/><Relationship Id="rId7" Type="http://schemas.openxmlformats.org/officeDocument/2006/relationships/hyperlink" Target="http://www.ti.com/" TargetMode="Externa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2" Type="http://schemas.openxmlformats.org/officeDocument/2006/relationships/image" Target="../media/image4.png"/><Relationship Id="rId11" Type="http://schemas.openxmlformats.org/officeDocument/2006/relationships/image" Target="../media/image3.png"/><Relationship Id="rId10" Type="http://schemas.openxmlformats.org/officeDocument/2006/relationships/hyperlink" Target="http://www.ti.com/lit/gpn/lm506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7"/>
        </xdr:cNvPr>
        <xdr:cNvPicPr/>
      </xdr:nvPicPr>
      <xdr:blipFill>
        <a:blip r:embed="rId8" cstate="print"/>
        <a:srcRect r="26499"/>
        <a:stretch>
          <a:fillRect/>
        </a:stretch>
      </xdr:blipFill>
      <xdr:spPr>
        <a:xfrm>
          <a:off x="83820" y="152400"/>
          <a:ext cx="231013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685800</xdr:colOff>
      <xdr:row>0</xdr:row>
      <xdr:rowOff>114871</xdr:rowOff>
    </xdr:from>
    <xdr:to>
      <xdr:col>17</xdr:col>
      <xdr:colOff>685800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17245965" y="114300"/>
          <a:ext cx="0" cy="402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>
      <xdr:nvSpPr>
        <xdr:cNvPr id="9" name="Text Box 1">
          <a:hlinkClick xmlns:r="http://schemas.openxmlformats.org/officeDocument/2006/relationships" r:id="rId10"/>
        </xdr:cNvPr>
        <xdr:cNvSpPr txBox="1">
          <a:spLocks noChangeArrowheads="1"/>
        </xdr:cNvSpPr>
      </xdr:nvSpPr>
      <xdr:spPr>
        <a:xfrm>
          <a:off x="64135" y="897255"/>
          <a:ext cx="9318625" cy="8534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>
      <xdr:nvGraphicFramePr>
        <xdr:cNvPr id="8" name="Chart 7"/>
        <xdr:cNvGraphicFramePr/>
      </xdr:nvGraphicFramePr>
      <xdr:xfrm>
        <a:off x="12718415" y="12992100"/>
        <a:ext cx="4625975" cy="33032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>
      <xdr:nvGraphicFramePr>
        <xdr:cNvPr id="12" name="Chart 11"/>
        <xdr:cNvGraphicFramePr/>
      </xdr:nvGraphicFramePr>
      <xdr:xfrm>
        <a:off x="14927580" y="16696055"/>
        <a:ext cx="5123180" cy="2910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>
      <xdr:nvGraphicFramePr>
        <xdr:cNvPr id="13" name="Chart 12"/>
        <xdr:cNvGraphicFramePr/>
      </xdr:nvGraphicFramePr>
      <xdr:xfrm>
        <a:off x="10445115" y="7007860"/>
        <a:ext cx="4526280" cy="22320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>
      <xdr:nvGraphicFramePr>
        <xdr:cNvPr id="14" name="Chart 13"/>
        <xdr:cNvGraphicFramePr/>
      </xdr:nvGraphicFramePr>
      <xdr:xfrm>
        <a:off x="15050135" y="7101205"/>
        <a:ext cx="4959985" cy="22117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>
      <xdr:nvGraphicFramePr>
        <xdr:cNvPr id="15" name="Chart 14"/>
        <xdr:cNvGraphicFramePr/>
      </xdr:nvGraphicFramePr>
      <xdr:xfrm>
        <a:off x="10278745" y="9605645"/>
        <a:ext cx="4704715" cy="29063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97971</xdr:colOff>
      <xdr:row>89</xdr:row>
      <xdr:rowOff>0</xdr:rowOff>
    </xdr:from>
    <xdr:to>
      <xdr:col>14</xdr:col>
      <xdr:colOff>399653</xdr:colOff>
      <xdr:row>107</xdr:row>
      <xdr:rowOff>36632</xdr:rowOff>
    </xdr:to>
    <xdr:graphicFrame>
      <xdr:nvGraphicFramePr>
        <xdr:cNvPr id="17" name="Chart 16"/>
        <xdr:cNvGraphicFramePr/>
      </xdr:nvGraphicFramePr>
      <xdr:xfrm>
        <a:off x="10375900" y="16746855"/>
        <a:ext cx="4526280" cy="31413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0795" y="9495790"/>
          <a:ext cx="4089400" cy="2783840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2960" y="2152015"/>
          <a:ext cx="5958205" cy="3296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>
      <xdr:nvGraphicFramePr>
        <xdr:cNvPr id="4" name="Chart 3"/>
        <xdr:cNvGraphicFramePr/>
      </xdr:nvGraphicFramePr>
      <xdr:xfrm>
        <a:off x="6910070" y="5259705"/>
        <a:ext cx="5598795" cy="306451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>
      <xdr:nvGraphicFramePr>
        <xdr:cNvPr id="5" name="Chart 4"/>
        <xdr:cNvGraphicFramePr/>
      </xdr:nvGraphicFramePr>
      <xdr:xfrm>
        <a:off x="423545" y="5257165"/>
        <a:ext cx="6027420" cy="3054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171450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9880" y="342900"/>
          <a:ext cx="5768975" cy="3895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>
      <xdr:nvGraphicFramePr>
        <xdr:cNvPr id="2" name="Chart 1"/>
        <xdr:cNvGraphicFramePr/>
      </xdr:nvGraphicFramePr>
      <xdr:xfrm>
        <a:off x="9578975" y="1377950"/>
        <a:ext cx="5105400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>
      <xdr:nvGraphicFramePr>
        <xdr:cNvPr id="3" name="Chart 2"/>
        <xdr:cNvGraphicFramePr/>
      </xdr:nvGraphicFramePr>
      <xdr:xfrm>
        <a:off x="9586595" y="4132580"/>
        <a:ext cx="5105400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46</xdr:row>
      <xdr:rowOff>5440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15440660" y="447675"/>
          <a:ext cx="7412355" cy="7475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171450</xdr:rowOff>
    </xdr:to>
    <xdr:graphicFrame>
      <xdr:nvGraphicFramePr>
        <xdr:cNvPr id="2" name="Chart 1"/>
        <xdr:cNvGraphicFramePr/>
      </xdr:nvGraphicFramePr>
      <xdr:xfrm>
        <a:off x="6619875" y="4278630"/>
        <a:ext cx="4802505" cy="27508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://www.ti.com/hotswap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N113"/>
  <sheetViews>
    <sheetView tabSelected="1" topLeftCell="A69" workbookViewId="0">
      <selection activeCell="E87" sqref="E87"/>
    </sheetView>
  </sheetViews>
  <sheetFormatPr defaultColWidth="9" defaultRowHeight="13.5"/>
  <cols>
    <col min="1" max="1" width="8.88333333333333" hidden="1" customWidth="1"/>
    <col min="2" max="2" width="15.6666666666667" customWidth="1"/>
    <col min="3" max="3" width="58.1083333333333" customWidth="1"/>
    <col min="4" max="4" width="8.775" customWidth="1"/>
    <col min="5" max="5" width="9.33333333333333" customWidth="1"/>
    <col min="6" max="6" width="10.4416666666667" customWidth="1"/>
    <col min="7" max="7" width="7" customWidth="1"/>
    <col min="8" max="8" width="13.5583333333333" customWidth="1"/>
    <col min="9" max="9" width="12" customWidth="1"/>
    <col min="10" max="10" width="16.4416666666667" customWidth="1"/>
    <col min="12" max="12" width="12" customWidth="1"/>
    <col min="20" max="20" width="15.6666666666667" customWidth="1"/>
    <col min="21" max="21" width="15.4416666666667" customWidth="1"/>
    <col min="22" max="22" width="13.6666666666667" customWidth="1"/>
  </cols>
  <sheetData>
    <row r="1" ht="62.4" customHeight="1" spans="2:40">
      <c r="B1" s="71" t="s">
        <v>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</row>
    <row r="2" ht="15.75" spans="2:40">
      <c r="B2" s="73"/>
      <c r="C2" s="74" t="s">
        <v>1</v>
      </c>
      <c r="D2" s="73"/>
      <c r="E2" s="73"/>
      <c r="F2" s="73"/>
      <c r="G2" s="75"/>
      <c r="H2" s="75"/>
      <c r="I2" s="73"/>
      <c r="J2" s="73"/>
      <c r="K2" s="73"/>
      <c r="L2" s="73"/>
      <c r="M2" s="129"/>
      <c r="N2" s="129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</row>
    <row r="3" spans="2:40">
      <c r="B3" s="73"/>
      <c r="C3" s="73"/>
      <c r="D3" s="73"/>
      <c r="E3" s="73"/>
      <c r="F3" s="73"/>
      <c r="G3" s="73"/>
      <c r="H3" s="75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</row>
    <row r="4" spans="2:40">
      <c r="B4" s="73"/>
      <c r="C4" s="73"/>
      <c r="D4" s="73"/>
      <c r="E4" s="73"/>
      <c r="F4" s="73"/>
      <c r="G4" s="73"/>
      <c r="H4" s="75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</row>
    <row r="5" spans="2:40">
      <c r="B5" s="73"/>
      <c r="C5" s="73"/>
      <c r="D5" s="73"/>
      <c r="E5" s="73"/>
      <c r="F5" s="73"/>
      <c r="G5" s="73"/>
      <c r="H5" s="75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</row>
    <row r="6" ht="24" customHeight="1" spans="2:40">
      <c r="B6" s="73"/>
      <c r="C6" s="73"/>
      <c r="D6" s="73"/>
      <c r="E6" s="73"/>
      <c r="F6" s="73"/>
      <c r="G6" s="73"/>
      <c r="H6" s="75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</row>
    <row r="7" ht="12" customHeight="1" spans="2:40">
      <c r="B7" s="73"/>
      <c r="C7" s="73"/>
      <c r="D7" s="73"/>
      <c r="E7" s="73"/>
      <c r="F7" s="73"/>
      <c r="G7" s="73"/>
      <c r="H7" s="75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</row>
    <row r="8" ht="21.6" customHeight="1" spans="3:5">
      <c r="C8" s="76"/>
      <c r="D8" s="77" t="s">
        <v>2</v>
      </c>
      <c r="E8" s="78"/>
    </row>
    <row r="9" spans="3:5">
      <c r="C9" s="79"/>
      <c r="D9" s="73" t="s">
        <v>3</v>
      </c>
      <c r="E9" s="80"/>
    </row>
    <row r="10" spans="3:8">
      <c r="C10" s="81"/>
      <c r="D10" s="82" t="s">
        <v>4</v>
      </c>
      <c r="E10" s="83"/>
      <c r="F10" s="83"/>
      <c r="G10" s="83"/>
      <c r="H10" s="83"/>
    </row>
    <row r="11" spans="3:8">
      <c r="C11" s="84"/>
      <c r="D11" s="82"/>
      <c r="E11" s="83"/>
      <c r="F11" s="83"/>
      <c r="G11" s="83"/>
      <c r="H11" s="83"/>
    </row>
    <row r="12" spans="3:3">
      <c r="C12" s="38"/>
    </row>
    <row r="13" spans="3:7">
      <c r="C13" s="46" t="s">
        <v>5</v>
      </c>
      <c r="D13" s="85" t="s">
        <v>6</v>
      </c>
      <c r="E13" s="85" t="s">
        <v>7</v>
      </c>
      <c r="F13" s="14" t="s">
        <v>8</v>
      </c>
      <c r="G13" s="17" t="s">
        <v>9</v>
      </c>
    </row>
    <row r="14" spans="3:7">
      <c r="C14" s="47" t="s">
        <v>10</v>
      </c>
      <c r="D14" s="86"/>
      <c r="E14" s="62">
        <v>200</v>
      </c>
      <c r="F14" s="59">
        <v>240</v>
      </c>
      <c r="G14" s="87" t="s">
        <v>11</v>
      </c>
    </row>
    <row r="15" spans="3:7">
      <c r="C15" s="47" t="s">
        <v>12</v>
      </c>
      <c r="D15" s="88">
        <v>36</v>
      </c>
      <c r="E15" s="62">
        <v>48</v>
      </c>
      <c r="F15" s="59">
        <v>72</v>
      </c>
      <c r="G15" s="87" t="s">
        <v>13</v>
      </c>
    </row>
    <row r="16" spans="3:7">
      <c r="C16" s="47" t="s">
        <v>14</v>
      </c>
      <c r="D16" s="86"/>
      <c r="E16" s="62">
        <v>44</v>
      </c>
      <c r="F16" s="59">
        <f>E16*1.2</f>
        <v>52.8</v>
      </c>
      <c r="G16" s="87" t="s">
        <v>15</v>
      </c>
    </row>
    <row r="17" spans="3:7">
      <c r="C17" s="47" t="s">
        <v>16</v>
      </c>
      <c r="D17" s="86"/>
      <c r="E17" s="89"/>
      <c r="F17" s="59">
        <v>85</v>
      </c>
      <c r="G17" s="90" t="s">
        <v>17</v>
      </c>
    </row>
    <row r="18" spans="3:7">
      <c r="C18" s="46" t="s">
        <v>18</v>
      </c>
      <c r="D18" s="85"/>
      <c r="E18" s="85"/>
      <c r="F18" s="14"/>
      <c r="G18" s="91"/>
    </row>
    <row r="19" ht="18.75" spans="3:7">
      <c r="C19" s="47" t="s">
        <v>19</v>
      </c>
      <c r="D19" s="86"/>
      <c r="E19" s="59">
        <v>40</v>
      </c>
      <c r="F19" s="92"/>
      <c r="G19" s="93" t="s">
        <v>20</v>
      </c>
    </row>
    <row r="20" spans="3:7">
      <c r="C20" s="47" t="s">
        <v>21</v>
      </c>
      <c r="D20" s="86"/>
      <c r="E20" s="94">
        <f>E14/E15</f>
        <v>4.16666666666667</v>
      </c>
      <c r="F20" s="95">
        <f>F14/D15</f>
        <v>6.66666666666667</v>
      </c>
      <c r="G20" s="87" t="s">
        <v>22</v>
      </c>
    </row>
    <row r="21" spans="3:7">
      <c r="C21" s="47" t="s">
        <v>23</v>
      </c>
      <c r="D21" s="86"/>
      <c r="E21" s="62">
        <v>8</v>
      </c>
      <c r="F21" s="92"/>
      <c r="G21" s="87" t="s">
        <v>22</v>
      </c>
    </row>
    <row r="22" ht="15" spans="3:7">
      <c r="C22" s="47" t="s">
        <v>24</v>
      </c>
      <c r="D22" s="86"/>
      <c r="E22" s="94">
        <f>Error_Calculation!H2/E21</f>
        <v>5</v>
      </c>
      <c r="F22" s="92"/>
      <c r="G22" s="96" t="s">
        <v>25</v>
      </c>
    </row>
    <row r="23" ht="15" spans="3:7">
      <c r="C23" s="47" t="s">
        <v>26</v>
      </c>
      <c r="D23" s="86"/>
      <c r="E23" s="62">
        <v>5</v>
      </c>
      <c r="F23" s="92"/>
      <c r="G23" s="96" t="s">
        <v>25</v>
      </c>
    </row>
    <row r="24" spans="3:7">
      <c r="C24" s="47" t="s">
        <v>27</v>
      </c>
      <c r="D24" s="86"/>
      <c r="E24" s="94">
        <f>Error_Calculation!H2/E23</f>
        <v>8</v>
      </c>
      <c r="F24" s="92"/>
      <c r="G24" s="87" t="s">
        <v>22</v>
      </c>
    </row>
    <row r="25" spans="3:7">
      <c r="C25" s="47" t="s">
        <v>28</v>
      </c>
      <c r="D25" s="86"/>
      <c r="E25" s="94">
        <f>Error_Calculation!N19/E23</f>
        <v>0.6</v>
      </c>
      <c r="F25" s="92"/>
      <c r="G25" s="87" t="s">
        <v>22</v>
      </c>
    </row>
    <row r="26" spans="3:7">
      <c r="C26" s="47" t="s">
        <v>29</v>
      </c>
      <c r="D26" s="97">
        <f>Error_Calculation!M13/E23</f>
        <v>0.3</v>
      </c>
      <c r="E26" s="89"/>
      <c r="F26" s="98"/>
      <c r="G26" s="99" t="s">
        <v>22</v>
      </c>
    </row>
    <row r="27" spans="3:7">
      <c r="C27" s="49" t="s">
        <v>30</v>
      </c>
      <c r="D27" s="100" t="s">
        <v>31</v>
      </c>
      <c r="E27" s="100"/>
      <c r="F27" s="88"/>
      <c r="G27" s="101"/>
    </row>
    <row r="28" ht="15" spans="3:7">
      <c r="C28" s="47" t="s">
        <v>32</v>
      </c>
      <c r="D28" s="86"/>
      <c r="E28" s="86"/>
      <c r="F28" s="102">
        <v>8</v>
      </c>
      <c r="G28" s="96" t="s">
        <v>25</v>
      </c>
    </row>
    <row r="29" spans="3:7">
      <c r="C29" s="47" t="s">
        <v>33</v>
      </c>
      <c r="D29" s="86"/>
      <c r="E29" s="86"/>
      <c r="F29" s="102">
        <v>150</v>
      </c>
      <c r="G29" s="96" t="s">
        <v>17</v>
      </c>
    </row>
    <row r="30" ht="14.25" spans="3:7">
      <c r="C30" s="49" t="s">
        <v>34</v>
      </c>
      <c r="D30" s="86"/>
      <c r="E30" s="86"/>
      <c r="F30" s="102">
        <v>8</v>
      </c>
      <c r="G30" s="96" t="s">
        <v>35</v>
      </c>
    </row>
    <row r="31" spans="3:21">
      <c r="C31" s="47" t="s">
        <v>36</v>
      </c>
      <c r="D31" s="86"/>
      <c r="E31" s="59">
        <v>1</v>
      </c>
      <c r="F31" s="92"/>
      <c r="G31" s="96"/>
      <c r="J31" s="130"/>
      <c r="K31" s="131"/>
      <c r="L31" s="131"/>
      <c r="M31" s="132" t="s">
        <v>37</v>
      </c>
      <c r="N31" s="133"/>
      <c r="O31" s="133"/>
      <c r="P31" s="133"/>
      <c r="Q31" s="133"/>
      <c r="R31" s="131"/>
      <c r="S31" s="131"/>
      <c r="T31" s="131"/>
      <c r="U31" s="142"/>
    </row>
    <row r="32" spans="3:21">
      <c r="C32" s="47" t="s">
        <v>38</v>
      </c>
      <c r="D32" s="100" t="s">
        <v>39</v>
      </c>
      <c r="E32" s="100"/>
      <c r="F32" s="88"/>
      <c r="G32" s="101"/>
      <c r="J32" s="134"/>
      <c r="K32" s="135"/>
      <c r="L32" s="135"/>
      <c r="M32" s="136"/>
      <c r="N32" s="136"/>
      <c r="O32" s="136"/>
      <c r="P32" s="136"/>
      <c r="Q32" s="136"/>
      <c r="R32" s="135"/>
      <c r="S32" s="135"/>
      <c r="T32" s="135"/>
      <c r="U32" s="143"/>
    </row>
    <row r="33" ht="18.75" spans="3:21">
      <c r="C33" s="47" t="s">
        <v>40</v>
      </c>
      <c r="D33" s="86"/>
      <c r="E33" s="86"/>
      <c r="F33" s="102">
        <v>110</v>
      </c>
      <c r="G33" s="96" t="s">
        <v>25</v>
      </c>
      <c r="J33" s="137" t="s">
        <v>41</v>
      </c>
      <c r="K33" s="138"/>
      <c r="L33" s="138"/>
      <c r="M33" s="138"/>
      <c r="N33" s="138"/>
      <c r="O33" s="135"/>
      <c r="P33" s="135"/>
      <c r="Q33" s="138" t="s">
        <v>42</v>
      </c>
      <c r="R33" s="138"/>
      <c r="S33" s="138"/>
      <c r="T33" s="138"/>
      <c r="U33" s="144"/>
    </row>
    <row r="34" spans="3:21">
      <c r="C34" s="47" t="s">
        <v>43</v>
      </c>
      <c r="D34" s="86"/>
      <c r="E34" s="59">
        <v>1</v>
      </c>
      <c r="F34" s="92"/>
      <c r="J34" s="137"/>
      <c r="K34" s="138"/>
      <c r="L34" s="138"/>
      <c r="M34" s="138"/>
      <c r="N34" s="138"/>
      <c r="O34" s="135"/>
      <c r="P34" s="135"/>
      <c r="Q34" s="138"/>
      <c r="R34" s="138"/>
      <c r="S34" s="138"/>
      <c r="T34" s="138"/>
      <c r="U34" s="144"/>
    </row>
    <row r="35" spans="3:21">
      <c r="C35" s="47" t="s">
        <v>44</v>
      </c>
      <c r="D35" s="86"/>
      <c r="E35" s="86"/>
      <c r="F35" s="59">
        <v>53</v>
      </c>
      <c r="G35" s="87" t="s">
        <v>45</v>
      </c>
      <c r="J35" s="137"/>
      <c r="K35" s="138"/>
      <c r="L35" s="138"/>
      <c r="M35" s="138"/>
      <c r="N35" s="138"/>
      <c r="O35" s="135"/>
      <c r="P35" s="135"/>
      <c r="Q35" s="138"/>
      <c r="R35" s="138"/>
      <c r="S35" s="138"/>
      <c r="T35" s="138"/>
      <c r="U35" s="144"/>
    </row>
    <row r="36" spans="3:21">
      <c r="C36" s="47" t="s">
        <v>46</v>
      </c>
      <c r="D36" s="86"/>
      <c r="E36" s="86"/>
      <c r="F36" s="95">
        <f>IF(E34=0,F20,(F33/E34)/(F33/E34+F28/E31)*F20)</f>
        <v>6.21468926553673</v>
      </c>
      <c r="G36" s="96" t="s">
        <v>22</v>
      </c>
      <c r="J36" s="134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43"/>
    </row>
    <row r="37" spans="3:21">
      <c r="C37" s="47" t="s">
        <v>47</v>
      </c>
      <c r="D37" s="86"/>
      <c r="E37" s="86"/>
      <c r="F37" s="94">
        <f>F28*(F36/E31)^2/1000</f>
        <v>0.308978901337419</v>
      </c>
      <c r="G37" s="3" t="s">
        <v>11</v>
      </c>
      <c r="J37" s="134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43"/>
    </row>
    <row r="38" spans="1:21">
      <c r="A38" t="s">
        <v>48</v>
      </c>
      <c r="C38" s="47" t="s">
        <v>49</v>
      </c>
      <c r="D38" s="86"/>
      <c r="E38" s="86"/>
      <c r="F38" s="103">
        <f>F37*E31+IF(E34=0,0,(F20-F36)^2*F33/E34)/1000</f>
        <v>0.331450094161959</v>
      </c>
      <c r="G38" s="96" t="s">
        <v>11</v>
      </c>
      <c r="J38" s="134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43"/>
    </row>
    <row r="39" spans="1:21">
      <c r="A39" t="s">
        <v>50</v>
      </c>
      <c r="C39" s="49" t="s">
        <v>51</v>
      </c>
      <c r="D39" s="86"/>
      <c r="E39" s="86"/>
      <c r="F39" s="103">
        <f>F17+F37*F35</f>
        <v>101.375881770883</v>
      </c>
      <c r="G39" s="96" t="s">
        <v>17</v>
      </c>
      <c r="J39" s="134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43"/>
    </row>
    <row r="40" spans="3:21">
      <c r="C40" s="14" t="s">
        <v>52</v>
      </c>
      <c r="D40" s="85"/>
      <c r="E40" s="85"/>
      <c r="F40" s="14"/>
      <c r="G40" s="91"/>
      <c r="J40" s="134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43"/>
    </row>
    <row r="41" spans="3:21">
      <c r="C41" s="104" t="s">
        <v>53</v>
      </c>
      <c r="D41" s="47"/>
      <c r="E41" s="47"/>
      <c r="F41" s="105" t="s">
        <v>48</v>
      </c>
      <c r="G41" s="106"/>
      <c r="J41" s="134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43"/>
    </row>
    <row r="42" spans="3:21">
      <c r="C42" s="106" t="str">
        <f>IF(F41="YES","Go to 'ATIS_BrownOut' Tab and Update per your requirments!!","Targets Below are suggestions only")</f>
        <v>Go to 'ATIS_BrownOut' Tab and Update per your requirments!!</v>
      </c>
      <c r="D42" s="107"/>
      <c r="E42" s="107"/>
      <c r="F42" s="106"/>
      <c r="G42" s="106"/>
      <c r="J42" s="134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43"/>
    </row>
    <row r="43" spans="3:21">
      <c r="C43" s="108" t="str">
        <f>IF(F41="No","Suggested Time Out (low Vds)","Min Recomended Time Out ( @ low Vds)")</f>
        <v>Min Recomended Time Out ( @ low Vds)</v>
      </c>
      <c r="D43" s="109"/>
      <c r="E43" s="110"/>
      <c r="F43" s="111" t="e">
        <f>IF(F41="Yes",BrownOut!C22,5)</f>
        <v>#NUM!</v>
      </c>
      <c r="G43" s="106" t="s">
        <v>54</v>
      </c>
      <c r="J43" s="134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43"/>
    </row>
    <row r="44" spans="3:21">
      <c r="C44" s="112" t="str">
        <f>IF(F41="No","Suggested Ilim switch","Min Recommended Ilim switch")</f>
        <v>Min Recommended Ilim switch</v>
      </c>
      <c r="D44" s="113"/>
      <c r="E44" s="98"/>
      <c r="F44" s="111" t="e">
        <f>IF(F41="Yes",BrownOut!C23,15)</f>
        <v>#NUM!</v>
      </c>
      <c r="G44" s="106" t="s">
        <v>13</v>
      </c>
      <c r="J44" s="134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43"/>
    </row>
    <row r="45" ht="14.25" spans="3:21">
      <c r="C45" s="114" t="s">
        <v>55</v>
      </c>
      <c r="D45" s="115"/>
      <c r="E45" s="115" t="s">
        <v>56</v>
      </c>
      <c r="F45" s="114"/>
      <c r="G45" s="116"/>
      <c r="J45" s="134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43"/>
    </row>
    <row r="46" spans="3:21">
      <c r="C46" s="5" t="s">
        <v>57</v>
      </c>
      <c r="D46" s="86"/>
      <c r="E46" s="117">
        <v>22</v>
      </c>
      <c r="F46" s="92"/>
      <c r="G46" s="87" t="s">
        <v>13</v>
      </c>
      <c r="J46" s="134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43"/>
    </row>
    <row r="47" spans="3:21">
      <c r="C47" s="47" t="s">
        <v>58</v>
      </c>
      <c r="D47" s="86"/>
      <c r="E47" s="59">
        <v>20</v>
      </c>
      <c r="F47" s="92"/>
      <c r="G47" s="87" t="s">
        <v>13</v>
      </c>
      <c r="J47" s="134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43"/>
    </row>
    <row r="48" ht="14.25" spans="3:21">
      <c r="C48" s="47" t="s">
        <v>59</v>
      </c>
      <c r="D48" s="86"/>
      <c r="E48" s="59">
        <v>83</v>
      </c>
      <c r="F48" s="92"/>
      <c r="G48" s="87" t="s">
        <v>13</v>
      </c>
      <c r="J48" s="139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5"/>
    </row>
    <row r="49" spans="1:7">
      <c r="A49" t="s">
        <v>56</v>
      </c>
      <c r="C49" s="47" t="s">
        <v>60</v>
      </c>
      <c r="D49" s="86"/>
      <c r="E49" s="59">
        <v>81</v>
      </c>
      <c r="F49" s="92"/>
      <c r="G49" s="87" t="s">
        <v>13</v>
      </c>
    </row>
    <row r="50" spans="1:7">
      <c r="A50" t="s">
        <v>61</v>
      </c>
      <c r="C50" s="47" t="s">
        <v>62</v>
      </c>
      <c r="D50" s="86"/>
      <c r="E50" s="59">
        <v>20</v>
      </c>
      <c r="F50" s="92"/>
      <c r="G50" s="96" t="s">
        <v>13</v>
      </c>
    </row>
    <row r="51" spans="3:7">
      <c r="C51" s="47" t="s">
        <v>63</v>
      </c>
      <c r="D51" s="86"/>
      <c r="E51" s="59">
        <v>0.4</v>
      </c>
      <c r="F51" s="92"/>
      <c r="G51" s="87" t="s">
        <v>22</v>
      </c>
    </row>
    <row r="52" spans="3:7">
      <c r="C52" s="47" t="s">
        <v>64</v>
      </c>
      <c r="D52" s="86"/>
      <c r="E52" s="59">
        <v>2</v>
      </c>
      <c r="F52" s="92"/>
      <c r="G52" s="96" t="s">
        <v>54</v>
      </c>
    </row>
    <row r="53" ht="14.25" spans="3:7">
      <c r="C53" s="114" t="s">
        <v>65</v>
      </c>
      <c r="D53" s="118"/>
      <c r="E53" s="118"/>
      <c r="F53" s="114"/>
      <c r="G53" s="116"/>
    </row>
    <row r="54" ht="67.5" spans="3:7">
      <c r="C54" s="119" t="s">
        <v>66</v>
      </c>
      <c r="D54" s="120" t="s">
        <v>56</v>
      </c>
      <c r="E54" s="121"/>
      <c r="F54" s="122"/>
      <c r="G54" s="96"/>
    </row>
    <row r="55" spans="3:7">
      <c r="C55" s="47" t="s">
        <v>67</v>
      </c>
      <c r="D55" s="86"/>
      <c r="E55" s="103">
        <f>SOA_Checks!C31</f>
        <v>0.230484094213212</v>
      </c>
      <c r="F55" s="86"/>
      <c r="G55" s="96" t="s">
        <v>54</v>
      </c>
    </row>
    <row r="56" hidden="1" spans="3:7">
      <c r="C56" s="47" t="str">
        <f>"Estimated Teq for Start-into "&amp;Error_Calculation!O29&amp;" ohm short"</f>
        <v>Estimated Teq for Start-into 1 ohm short</v>
      </c>
      <c r="D56" s="86"/>
      <c r="E56" s="103">
        <f>SOA_Checks!C32</f>
        <v>0.270084094213212</v>
      </c>
      <c r="F56" s="86"/>
      <c r="G56" s="96" t="s">
        <v>54</v>
      </c>
    </row>
    <row r="57" spans="3:7">
      <c r="C57" s="47" t="s">
        <v>68</v>
      </c>
      <c r="D57" s="86"/>
      <c r="E57" s="59" t="s">
        <v>69</v>
      </c>
      <c r="F57" s="86"/>
      <c r="G57" s="96" t="s">
        <v>54</v>
      </c>
    </row>
    <row r="58" ht="14.25" hidden="1" spans="3:7">
      <c r="C58" s="123" t="str">
        <f>"Measured Teq for Start-into "&amp;Error_Calculation!O29&amp;" ohm short  (Enter TBD if not known)"</f>
        <v>Measured Teq for Start-into 1 ohm short  (Enter TBD if not known)</v>
      </c>
      <c r="D58" s="86"/>
      <c r="E58" s="124" t="s">
        <v>69</v>
      </c>
      <c r="F58" s="86"/>
      <c r="G58" s="125" t="s">
        <v>54</v>
      </c>
    </row>
    <row r="59" spans="3:7">
      <c r="C59" s="47" t="e">
        <f>SOA_Checks!D47</f>
        <v>#NUM!</v>
      </c>
      <c r="D59" s="126"/>
      <c r="E59" s="59">
        <v>6</v>
      </c>
      <c r="F59" s="126"/>
      <c r="G59" s="127" t="s">
        <v>22</v>
      </c>
    </row>
    <row r="60" spans="3:7">
      <c r="C60" s="47" t="e">
        <f>SOA_Checks!D48</f>
        <v>#NUM!</v>
      </c>
      <c r="D60" s="128"/>
      <c r="E60" s="59">
        <v>1.8</v>
      </c>
      <c r="F60" s="128"/>
      <c r="G60" s="127" t="s">
        <v>22</v>
      </c>
    </row>
    <row r="61" spans="3:7">
      <c r="C61" s="47" t="e">
        <f>SOA_Checks!D49</f>
        <v>#NUM!</v>
      </c>
      <c r="D61" s="128"/>
      <c r="E61" s="59">
        <v>6</v>
      </c>
      <c r="F61" s="128"/>
      <c r="G61" s="127" t="s">
        <v>22</v>
      </c>
    </row>
    <row r="62" spans="3:7">
      <c r="C62" s="47" t="e">
        <f>SOA_Checks!D50</f>
        <v>#NUM!</v>
      </c>
      <c r="D62" s="128"/>
      <c r="E62" s="59">
        <v>1.8</v>
      </c>
      <c r="F62" s="128"/>
      <c r="G62" s="127" t="s">
        <v>22</v>
      </c>
    </row>
    <row r="63" spans="3:7">
      <c r="C63" s="47" t="str">
        <f>SOA_Checks!D51</f>
        <v>Q1 Current handling at 1ms and 72V</v>
      </c>
      <c r="D63" s="128"/>
      <c r="E63" s="59">
        <v>1.8</v>
      </c>
      <c r="F63" s="128"/>
      <c r="G63" s="127" t="s">
        <v>22</v>
      </c>
    </row>
    <row r="64" spans="3:7">
      <c r="C64" s="47" t="str">
        <f>SOA_Checks!D52</f>
        <v>Q1 Current handling at 10ms and 72V</v>
      </c>
      <c r="D64" s="128"/>
      <c r="E64" s="59">
        <v>1</v>
      </c>
      <c r="F64" s="128"/>
      <c r="G64" s="127" t="s">
        <v>22</v>
      </c>
    </row>
    <row r="65" spans="3:7">
      <c r="C65" s="47" t="str">
        <f>SOA_Checks!D53</f>
        <v>Q1 Current handling at 1ms and 20V</v>
      </c>
      <c r="D65" s="128"/>
      <c r="E65" s="59">
        <v>30</v>
      </c>
      <c r="F65" s="128"/>
      <c r="G65" s="127" t="s">
        <v>22</v>
      </c>
    </row>
    <row r="66" spans="3:7">
      <c r="C66" s="8" t="str">
        <f>SOA_Checks!D54</f>
        <v>Q1 Current handling at 10ms and 20V</v>
      </c>
      <c r="D66" s="128"/>
      <c r="E66" s="59">
        <v>10</v>
      </c>
      <c r="F66" s="128"/>
      <c r="G66" s="127" t="s">
        <v>22</v>
      </c>
    </row>
    <row r="67" spans="3:21">
      <c r="C67" s="47" t="str">
        <f>"SOA Margin: Hot Short / Start-into Short (@ Vin= "&amp;$F$15&amp;"V)"</f>
        <v>SOA Margin: Hot Short / Start-into Short (@ Vin= 72V)</v>
      </c>
      <c r="D67" s="128"/>
      <c r="E67" s="68" t="e">
        <f>SOA_Checks!E86</f>
        <v>#NUM!</v>
      </c>
      <c r="F67" s="128"/>
      <c r="G67" s="127"/>
      <c r="K67" s="156"/>
      <c r="L67" s="156"/>
      <c r="M67" s="138" t="str">
        <f>"Start Into Short with Vin = "&amp;F15&amp;"V"</f>
        <v>Start Into Short with Vin = 72V</v>
      </c>
      <c r="N67" s="138"/>
      <c r="O67" s="138"/>
      <c r="P67" s="138"/>
      <c r="Q67" s="138"/>
      <c r="R67" s="138"/>
      <c r="S67" s="156"/>
      <c r="T67" s="156"/>
      <c r="U67" s="163"/>
    </row>
    <row r="68" hidden="1" spans="3:7">
      <c r="C68" s="47" t="str">
        <f>"SOA Margin: Start-into "&amp;Error_Calculation!O29&amp;" ohm Short (@ Vin= "&amp;$F$15&amp;"V)"</f>
        <v>SOA Margin: Start-into 1 ohm Short (@ Vin= 72V)</v>
      </c>
      <c r="D68" s="128"/>
      <c r="E68" s="68" t="e">
        <f>SOA_Checks!E87</f>
        <v>#NUM!</v>
      </c>
      <c r="F68" s="128"/>
      <c r="G68" s="127"/>
    </row>
    <row r="69" spans="3:21">
      <c r="C69" s="47" t="str">
        <f>"SOA Margin: Start-up (@ Vin= "&amp;$F$15&amp;"V)"</f>
        <v>SOA Margin: Start-up (@ Vin= 72V)</v>
      </c>
      <c r="D69" s="128"/>
      <c r="E69" s="68">
        <f>SOA_Checks!E88</f>
        <v>1.17287595308298</v>
      </c>
      <c r="F69" s="128"/>
      <c r="G69" s="127"/>
      <c r="J69" s="134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43"/>
    </row>
    <row r="70" spans="3:21">
      <c r="C70" s="47" t="str">
        <f>"SOA Margin: Current limit (@ Vds just under  "&amp;SOA_Checks!E5&amp;"V)"</f>
        <v>SOA Margin: Current limit (@ Vds just under  20V)</v>
      </c>
      <c r="D70" s="146"/>
      <c r="E70" s="68">
        <f>SOA_Checks!E89</f>
        <v>1.4587235468735</v>
      </c>
      <c r="F70" s="146"/>
      <c r="G70" s="127"/>
      <c r="J70" s="134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43"/>
    </row>
    <row r="71" spans="3:21">
      <c r="C71" s="47" t="s">
        <v>70</v>
      </c>
      <c r="D71" s="147"/>
      <c r="E71" s="148">
        <f>SOA_Checks!C34</f>
        <v>9.504</v>
      </c>
      <c r="F71" s="98"/>
      <c r="G71" s="127" t="s">
        <v>54</v>
      </c>
      <c r="J71" s="134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43"/>
    </row>
    <row r="72" spans="3:21">
      <c r="C72" s="46" t="s">
        <v>71</v>
      </c>
      <c r="D72" s="85"/>
      <c r="E72" s="85" t="s">
        <v>56</v>
      </c>
      <c r="F72" s="14"/>
      <c r="G72" s="91"/>
      <c r="J72" s="134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43"/>
    </row>
    <row r="73" ht="15" spans="3:21">
      <c r="C73" s="47" t="s">
        <v>72</v>
      </c>
      <c r="D73" s="86"/>
      <c r="E73" s="47">
        <f>(E46-E47)/Error_Calculation!N9*1000</f>
        <v>200</v>
      </c>
      <c r="F73" s="92"/>
      <c r="G73" s="96" t="s">
        <v>73</v>
      </c>
      <c r="J73" s="134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43"/>
    </row>
    <row r="74" ht="15" spans="3:21">
      <c r="C74" s="47" t="s">
        <v>74</v>
      </c>
      <c r="D74" s="86"/>
      <c r="E74" s="48">
        <f>E73/(E46-Error_Calculation!N7)</f>
        <v>9.52380952380952</v>
      </c>
      <c r="F74" s="92"/>
      <c r="G74" s="96" t="s">
        <v>73</v>
      </c>
      <c r="J74" s="134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43"/>
    </row>
    <row r="75" ht="15" spans="3:21">
      <c r="C75" s="47" t="s">
        <v>75</v>
      </c>
      <c r="D75" s="86"/>
      <c r="E75" s="47">
        <f>(E48-E49)/Error_Calculation!N10*1000</f>
        <v>200</v>
      </c>
      <c r="F75" s="92"/>
      <c r="G75" s="96" t="s">
        <v>73</v>
      </c>
      <c r="J75" s="134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43"/>
    </row>
    <row r="76" ht="15" spans="3:21">
      <c r="C76" s="47" t="s">
        <v>76</v>
      </c>
      <c r="D76" s="86"/>
      <c r="E76" s="149">
        <f>E75/(E48-Error_Calculation!N8)</f>
        <v>2.4390243902439</v>
      </c>
      <c r="F76" s="92"/>
      <c r="G76" s="96" t="s">
        <v>73</v>
      </c>
      <c r="J76" s="134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43"/>
    </row>
    <row r="77" ht="15" spans="3:21">
      <c r="C77" s="49" t="s">
        <v>77</v>
      </c>
      <c r="D77" s="86"/>
      <c r="E77" s="47">
        <f>((E50/Error_Calculation!N16)-1)*Error_Calculation!N17</f>
        <v>370</v>
      </c>
      <c r="F77" s="92"/>
      <c r="G77" s="96" t="s">
        <v>73</v>
      </c>
      <c r="J77" s="134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43"/>
    </row>
    <row r="78" spans="3:21">
      <c r="C78" s="49" t="s">
        <v>78</v>
      </c>
      <c r="D78" s="86"/>
      <c r="E78" s="47">
        <f>Error_Calculation!N22*F16/E51*0.001</f>
        <v>2.64</v>
      </c>
      <c r="F78" s="92"/>
      <c r="G78" s="96" t="s">
        <v>35</v>
      </c>
      <c r="J78" s="134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43"/>
    </row>
    <row r="79" spans="3:21">
      <c r="C79" s="49" t="s">
        <v>79</v>
      </c>
      <c r="D79" s="86"/>
      <c r="E79" s="47">
        <f>3*E78</f>
        <v>7.92</v>
      </c>
      <c r="F79" s="92"/>
      <c r="G79" s="96" t="s">
        <v>35</v>
      </c>
      <c r="J79" s="134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43"/>
    </row>
    <row r="80" spans="3:21">
      <c r="C80" s="49" t="s">
        <v>80</v>
      </c>
      <c r="D80" s="86"/>
      <c r="E80" s="150">
        <f>E52*Error_Calculation!N14/Error_Calculation!N11</f>
        <v>13.3333333333333</v>
      </c>
      <c r="F80" s="92"/>
      <c r="G80" s="96" t="s">
        <v>35</v>
      </c>
      <c r="J80" s="134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43"/>
    </row>
    <row r="81" ht="15" spans="3:21">
      <c r="C81" s="49" t="s">
        <v>81</v>
      </c>
      <c r="D81" s="86"/>
      <c r="E81" s="150">
        <f>(E47-Error_Calculation!M26)/(Error_Calculation!O25*1.2)</f>
        <v>7.57575757575758</v>
      </c>
      <c r="F81" s="86"/>
      <c r="G81" s="96" t="s">
        <v>73</v>
      </c>
      <c r="J81" s="134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43"/>
    </row>
    <row r="82" spans="3:21">
      <c r="C82" s="46" t="s">
        <v>82</v>
      </c>
      <c r="D82" s="85"/>
      <c r="E82" s="85" t="s">
        <v>83</v>
      </c>
      <c r="F82" s="85" t="s">
        <v>84</v>
      </c>
      <c r="G82" s="91"/>
      <c r="J82" s="134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43"/>
    </row>
    <row r="83" ht="15" spans="3:21">
      <c r="C83" s="47" t="s">
        <v>85</v>
      </c>
      <c r="D83" s="86"/>
      <c r="E83" s="102">
        <v>5</v>
      </c>
      <c r="F83" s="151">
        <v>0.01</v>
      </c>
      <c r="G83" s="106" t="s">
        <v>25</v>
      </c>
      <c r="J83" s="134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43"/>
    </row>
    <row r="84" ht="15" spans="3:21">
      <c r="C84" s="47" t="s">
        <v>72</v>
      </c>
      <c r="D84" s="86"/>
      <c r="E84" s="102">
        <v>200</v>
      </c>
      <c r="F84" s="152">
        <v>0.001</v>
      </c>
      <c r="G84" s="106" t="s">
        <v>73</v>
      </c>
      <c r="J84" s="134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43"/>
    </row>
    <row r="85" ht="15" spans="3:21">
      <c r="C85" s="47" t="s">
        <v>74</v>
      </c>
      <c r="D85" s="86"/>
      <c r="E85" s="102">
        <v>10</v>
      </c>
      <c r="F85" s="152">
        <v>0.001</v>
      </c>
      <c r="G85" s="106" t="s">
        <v>73</v>
      </c>
      <c r="J85" s="134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43"/>
    </row>
    <row r="86" ht="15" spans="3:21">
      <c r="C86" s="47" t="s">
        <v>75</v>
      </c>
      <c r="D86" s="86"/>
      <c r="E86" s="102">
        <v>360</v>
      </c>
      <c r="F86" s="152">
        <v>0.001</v>
      </c>
      <c r="G86" s="106" t="s">
        <v>73</v>
      </c>
      <c r="J86" s="134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43"/>
    </row>
    <row r="87" ht="15" spans="3:21">
      <c r="C87" s="47" t="s">
        <v>76</v>
      </c>
      <c r="D87" s="86"/>
      <c r="E87" s="102">
        <v>4.3</v>
      </c>
      <c r="F87" s="152">
        <v>0.001</v>
      </c>
      <c r="G87" s="106" t="s">
        <v>73</v>
      </c>
      <c r="J87" s="134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43"/>
    </row>
    <row r="88" ht="14.4" customHeight="1" spans="3:21">
      <c r="C88" s="49" t="s">
        <v>77</v>
      </c>
      <c r="D88" s="86"/>
      <c r="E88" s="102">
        <v>360</v>
      </c>
      <c r="F88" s="152">
        <v>0.01</v>
      </c>
      <c r="G88" s="106" t="s">
        <v>73</v>
      </c>
      <c r="J88" s="157" t="s">
        <v>86</v>
      </c>
      <c r="K88" s="158"/>
      <c r="L88" s="158"/>
      <c r="M88" s="158"/>
      <c r="N88" s="158"/>
      <c r="O88" s="135"/>
      <c r="P88" s="138" t="str">
        <f>"SOA with Vds just under "&amp;SOA_Checks!E5&amp;"V"</f>
        <v>SOA with Vds just under 20V</v>
      </c>
      <c r="Q88" s="138"/>
      <c r="R88" s="138"/>
      <c r="S88" s="138"/>
      <c r="T88" s="138"/>
      <c r="U88" s="143"/>
    </row>
    <row r="89" spans="3:21">
      <c r="C89" s="49" t="s">
        <v>78</v>
      </c>
      <c r="D89" s="86"/>
      <c r="E89" s="102">
        <v>33</v>
      </c>
      <c r="F89" s="151">
        <v>0.3</v>
      </c>
      <c r="G89" s="106" t="s">
        <v>35</v>
      </c>
      <c r="J89" s="157"/>
      <c r="K89" s="158"/>
      <c r="L89" s="158"/>
      <c r="M89" s="158"/>
      <c r="N89" s="158"/>
      <c r="O89" s="135"/>
      <c r="P89" s="135"/>
      <c r="Q89" s="135"/>
      <c r="R89" s="135"/>
      <c r="S89" s="135"/>
      <c r="T89" s="135"/>
      <c r="U89" s="143"/>
    </row>
    <row r="90" spans="3:21">
      <c r="C90" s="49" t="s">
        <v>79</v>
      </c>
      <c r="D90" s="86"/>
      <c r="E90" s="102">
        <v>100</v>
      </c>
      <c r="F90" s="151">
        <v>0.1</v>
      </c>
      <c r="G90" s="106" t="s">
        <v>35</v>
      </c>
      <c r="J90" s="159"/>
      <c r="K90" s="38"/>
      <c r="L90" s="38"/>
      <c r="M90" s="38"/>
      <c r="N90" s="38"/>
      <c r="O90" s="135"/>
      <c r="P90" s="38"/>
      <c r="Q90" s="38"/>
      <c r="R90" s="38"/>
      <c r="S90" s="38"/>
      <c r="T90" s="38"/>
      <c r="U90" s="143"/>
    </row>
    <row r="91" spans="3:21">
      <c r="C91" s="49" t="s">
        <v>80</v>
      </c>
      <c r="D91" s="86"/>
      <c r="E91" s="102">
        <v>10</v>
      </c>
      <c r="F91" s="151">
        <v>0.1</v>
      </c>
      <c r="G91" s="106" t="s">
        <v>35</v>
      </c>
      <c r="J91" s="134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43"/>
    </row>
    <row r="92" ht="15" spans="3:21">
      <c r="C92" s="49" t="s">
        <v>87</v>
      </c>
      <c r="D92" s="86"/>
      <c r="E92" s="102">
        <v>18.2</v>
      </c>
      <c r="F92" s="151">
        <v>0.01</v>
      </c>
      <c r="G92" s="106" t="s">
        <v>73</v>
      </c>
      <c r="J92" s="134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43"/>
    </row>
    <row r="93" spans="3:21">
      <c r="C93" s="46" t="s">
        <v>88</v>
      </c>
      <c r="D93" s="153" t="s">
        <v>6</v>
      </c>
      <c r="E93" s="153" t="s">
        <v>7</v>
      </c>
      <c r="F93" s="153" t="s">
        <v>8</v>
      </c>
      <c r="G93" s="46"/>
      <c r="H93" s="18" t="s">
        <v>89</v>
      </c>
      <c r="J93" s="134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43"/>
    </row>
    <row r="94" spans="3:21">
      <c r="C94" s="47" t="s">
        <v>90</v>
      </c>
      <c r="D94" s="154" t="s">
        <v>91</v>
      </c>
      <c r="E94" s="100"/>
      <c r="F94" s="88"/>
      <c r="G94" s="47"/>
      <c r="J94" s="134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43"/>
    </row>
    <row r="95" spans="3:21">
      <c r="C95" s="47" t="s">
        <v>92</v>
      </c>
      <c r="D95" s="48">
        <f>IF(Component_Selection!$D$94="Worst Case",Error_Calculation!D6,Error_Calculation!D20)</f>
        <v>7.67015154995059</v>
      </c>
      <c r="E95" s="48">
        <f>IF(Component_Selection!$D$94="Worst Case",Error_Calculation!E6,Error_Calculation!E20)</f>
        <v>8</v>
      </c>
      <c r="F95" s="48">
        <f>IF(Component_Selection!$D$94="Worst Case",Error_Calculation!F6,Error_Calculation!F20)</f>
        <v>8.32984845004941</v>
      </c>
      <c r="G95" s="54" t="s">
        <v>22</v>
      </c>
      <c r="H95" s="155">
        <f t="shared" ref="H95:H107" si="0">MAX(F95-E95,E95-D95)/E95</f>
        <v>0.0412310562561766</v>
      </c>
      <c r="J95" s="134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43"/>
    </row>
    <row r="96" spans="3:21">
      <c r="C96" s="47" t="s">
        <v>93</v>
      </c>
      <c r="D96" s="48">
        <f>IF(Component_Selection!$D$94="Worst Case",Error_Calculation!D7,Error_Calculation!D21)</f>
        <v>0.399910020240893</v>
      </c>
      <c r="E96" s="48">
        <f>IF(Component_Selection!$D$94="Worst Case",Error_Calculation!E7,Error_Calculation!E21)</f>
        <v>0.6</v>
      </c>
      <c r="F96" s="48">
        <f>IF(Component_Selection!$D$94="Worst Case",Error_Calculation!F7,Error_Calculation!F21)</f>
        <v>0.800089979759107</v>
      </c>
      <c r="G96" s="54" t="s">
        <v>22</v>
      </c>
      <c r="H96" s="155">
        <f t="shared" si="0"/>
        <v>0.333483299598512</v>
      </c>
      <c r="J96" s="134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43"/>
    </row>
    <row r="97" spans="3:21">
      <c r="C97" s="47" t="s">
        <v>94</v>
      </c>
      <c r="D97" s="48">
        <f>IF(Component_Selection!$D$94="Worst Case",Error_Calculation!D8,Error_Calculation!D22)</f>
        <v>20.6836030973603</v>
      </c>
      <c r="E97" s="48">
        <f>IF(Component_Selection!$D$94="Worst Case",Error_Calculation!E8,Error_Calculation!E22)</f>
        <v>21</v>
      </c>
      <c r="F97" s="48">
        <f>IF(Component_Selection!$D$94="Worst Case",Error_Calculation!F8,Error_Calculation!F22)</f>
        <v>21.3163969026397</v>
      </c>
      <c r="G97" s="54" t="s">
        <v>13</v>
      </c>
      <c r="H97" s="155">
        <f t="shared" si="0"/>
        <v>0.0150665191733192</v>
      </c>
      <c r="J97" s="134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43"/>
    </row>
    <row r="98" spans="3:21">
      <c r="C98" s="47" t="s">
        <v>95</v>
      </c>
      <c r="D98" s="48">
        <f>IF(Component_Selection!$D$94="Worst Case",Error_Calculation!D9,Error_Calculation!D23)</f>
        <v>1.75999166681134</v>
      </c>
      <c r="E98" s="48">
        <f>IF(Component_Selection!$D$94="Worst Case",Error_Calculation!E9,Error_Calculation!E23)</f>
        <v>2</v>
      </c>
      <c r="F98" s="48">
        <f>IF(Component_Selection!$D$94="Worst Case",Error_Calculation!F9,Error_Calculation!F23)</f>
        <v>2.24000833318866</v>
      </c>
      <c r="G98" s="54" t="s">
        <v>13</v>
      </c>
      <c r="H98" s="155">
        <f t="shared" si="0"/>
        <v>0.120004166594331</v>
      </c>
      <c r="J98" s="134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43"/>
    </row>
    <row r="99" spans="3:21">
      <c r="C99" s="47" t="s">
        <v>96</v>
      </c>
      <c r="D99" s="48">
        <f>IF(Component_Selection!$D$94="Worst Case",Error_Calculation!D10,Error_Calculation!D24)</f>
        <v>18.4435947641716</v>
      </c>
      <c r="E99" s="48">
        <f>IF(Component_Selection!$D$94="Worst Case",Error_Calculation!E10,Error_Calculation!E24)</f>
        <v>19</v>
      </c>
      <c r="F99" s="48">
        <f>IF(Component_Selection!$D$94="Worst Case",Error_Calculation!F10,Error_Calculation!F24)</f>
        <v>19.5564052358284</v>
      </c>
      <c r="G99" s="54" t="s">
        <v>13</v>
      </c>
      <c r="H99" s="155">
        <f t="shared" si="0"/>
        <v>0.0292844860962297</v>
      </c>
      <c r="J99" s="134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43"/>
    </row>
    <row r="100" spans="3:21">
      <c r="C100" s="47" t="s">
        <v>97</v>
      </c>
      <c r="D100" s="48">
        <f>IF(Component_Selection!$D$94="Worst Case",Error_Calculation!D11,Error_Calculation!D25)</f>
        <v>83.0222808632571</v>
      </c>
      <c r="E100" s="48">
        <f>IF(Component_Selection!$D$94="Worst Case",Error_Calculation!E11,Error_Calculation!E25)</f>
        <v>84.7209302325581</v>
      </c>
      <c r="F100" s="48">
        <f>IF(Component_Selection!$D$94="Worst Case",Error_Calculation!F11,Error_Calculation!F25)</f>
        <v>86.4195796018592</v>
      </c>
      <c r="G100" s="54" t="s">
        <v>13</v>
      </c>
      <c r="H100" s="155">
        <f t="shared" si="0"/>
        <v>0.0200499376557635</v>
      </c>
      <c r="J100" s="134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43"/>
    </row>
    <row r="101" spans="3:21">
      <c r="C101" s="47" t="s">
        <v>98</v>
      </c>
      <c r="D101" s="48">
        <f>IF(Component_Selection!$D$94="Worst Case",Error_Calculation!D12,Error_Calculation!D26)</f>
        <v>3.16798500026041</v>
      </c>
      <c r="E101" s="48">
        <f>IF(Component_Selection!$D$94="Worst Case",Error_Calculation!E12,Error_Calculation!E26)</f>
        <v>3.6</v>
      </c>
      <c r="F101" s="48">
        <f>IF(Component_Selection!$D$94="Worst Case",Error_Calculation!F12,Error_Calculation!F26)</f>
        <v>4.03201499973959</v>
      </c>
      <c r="G101" s="54" t="s">
        <v>13</v>
      </c>
      <c r="H101" s="155">
        <f t="shared" si="0"/>
        <v>0.120004166594331</v>
      </c>
      <c r="J101" s="134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43"/>
    </row>
    <row r="102" spans="3:21">
      <c r="C102" s="47" t="s">
        <v>99</v>
      </c>
      <c r="D102" s="48">
        <f>IF(Component_Selection!$D$94="Worst Case",Error_Calculation!D13,Error_Calculation!D27)</f>
        <v>78.9902658635175</v>
      </c>
      <c r="E102" s="48">
        <f>IF(Component_Selection!$D$94="Worst Case",Error_Calculation!E13,Error_Calculation!E27)</f>
        <v>81.1209302325582</v>
      </c>
      <c r="F102" s="48">
        <f>IF(Component_Selection!$D$94="Worst Case",Error_Calculation!F13,Error_Calculation!F27)</f>
        <v>83.2515946015988</v>
      </c>
      <c r="G102" s="54" t="s">
        <v>13</v>
      </c>
      <c r="H102" s="155">
        <f t="shared" si="0"/>
        <v>0.0262652852097782</v>
      </c>
      <c r="J102" s="134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43"/>
    </row>
    <row r="103" spans="3:21">
      <c r="C103" s="47" t="s">
        <v>100</v>
      </c>
      <c r="D103" s="48">
        <f>IF(Component_Selection!$D$94="Worst Case",Error_Calculation!D14,Error_Calculation!D28)</f>
        <v>18.4498928626088</v>
      </c>
      <c r="E103" s="48">
        <f>IF(Component_Selection!$D$94="Worst Case",Error_Calculation!E14,Error_Calculation!E28)</f>
        <v>19.5</v>
      </c>
      <c r="F103" s="48">
        <f>IF(Component_Selection!$D$94="Worst Case",Error_Calculation!F14,Error_Calculation!F28)</f>
        <v>20.5501071373912</v>
      </c>
      <c r="G103" s="106" t="s">
        <v>13</v>
      </c>
      <c r="H103" s="155">
        <f t="shared" si="0"/>
        <v>0.0538516480713451</v>
      </c>
      <c r="I103" s="1"/>
      <c r="J103" s="134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43"/>
    </row>
    <row r="104" spans="3:21">
      <c r="C104" s="47" t="s">
        <v>101</v>
      </c>
      <c r="D104" s="48">
        <f>IF(Component_Selection!$D$94="Worst Case",Error_Calculation!D15,Error_Calculation!D29)</f>
        <v>0.0195036005185494</v>
      </c>
      <c r="E104" s="48">
        <f>IF(Component_Selection!$D$94="Worst Case",Error_Calculation!E15,Error_Calculation!E29)</f>
        <v>0.032</v>
      </c>
      <c r="F104" s="48">
        <f>IF(Component_Selection!$D$94="Worst Case",Error_Calculation!F15,Error_Calculation!F29)</f>
        <v>0.0444963994814506</v>
      </c>
      <c r="G104" s="54" t="s">
        <v>22</v>
      </c>
      <c r="H104" s="155">
        <f t="shared" si="0"/>
        <v>0.390512483795333</v>
      </c>
      <c r="I104" s="1"/>
      <c r="J104" s="134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43"/>
    </row>
    <row r="105" spans="3:21">
      <c r="C105" s="47" t="s">
        <v>102</v>
      </c>
      <c r="D105" s="48">
        <f>IF(Component_Selection!$D$94="Worst Case",Error_Calculation!D16,Error_Calculation!D30)</f>
        <v>1.28575714714371</v>
      </c>
      <c r="E105" s="48">
        <f>IF(Component_Selection!$D$94="Worst Case",Error_Calculation!E16,Error_Calculation!E30)</f>
        <v>1.5</v>
      </c>
      <c r="F105" s="48">
        <f>IF(Component_Selection!$D$94="Worst Case",Error_Calculation!F16,Error_Calculation!F30)</f>
        <v>1.71424285285629</v>
      </c>
      <c r="G105" s="106" t="s">
        <v>54</v>
      </c>
      <c r="H105" s="155">
        <f t="shared" si="0"/>
        <v>0.142828568570857</v>
      </c>
      <c r="I105" s="1"/>
      <c r="J105" s="134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43"/>
    </row>
    <row r="106" spans="3:21">
      <c r="C106" s="47" t="s">
        <v>103</v>
      </c>
      <c r="D106" s="48">
        <f>IF(Component_Selection!$D$94="Worst Case",Error_Calculation!D17,Error_Calculation!D31)</f>
        <v>0.642878573571857</v>
      </c>
      <c r="E106" s="48">
        <f>IF(Component_Selection!$D$94="Worst Case",Error_Calculation!E17,Error_Calculation!E31)</f>
        <v>0.75</v>
      </c>
      <c r="F106" s="48">
        <f>IF(Component_Selection!$D$94="Worst Case",Error_Calculation!F17,Error_Calculation!F31)</f>
        <v>0.857121426428143</v>
      </c>
      <c r="G106" s="106" t="s">
        <v>54</v>
      </c>
      <c r="H106" s="155">
        <f t="shared" si="0"/>
        <v>0.142828568570857</v>
      </c>
      <c r="I106" s="1"/>
      <c r="J106" s="134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43"/>
    </row>
    <row r="107" spans="3:21">
      <c r="C107" s="49" t="s">
        <v>104</v>
      </c>
      <c r="D107" s="48">
        <f>IF(Component_Selection!$D$94="Worst Case",Error_Calculation!D18,Error_Calculation!D32)</f>
        <v>0.128575714714371</v>
      </c>
      <c r="E107" s="48">
        <f>IF(Component_Selection!$D$94="Worst Case",Error_Calculation!E18,Error_Calculation!E32)</f>
        <v>0.15</v>
      </c>
      <c r="F107" s="48">
        <f>IF(Component_Selection!$D$94="Worst Case",Error_Calculation!F18,Error_Calculation!F32)</f>
        <v>0.171424285285629</v>
      </c>
      <c r="G107" s="106" t="s">
        <v>54</v>
      </c>
      <c r="H107" s="155">
        <f t="shared" si="0"/>
        <v>0.142828568570857</v>
      </c>
      <c r="I107" s="1"/>
      <c r="J107" s="159"/>
      <c r="K107" s="160"/>
      <c r="L107" s="38"/>
      <c r="M107" s="38"/>
      <c r="N107" s="38"/>
      <c r="O107" s="38"/>
      <c r="P107" s="38"/>
      <c r="Q107" s="38"/>
      <c r="R107" s="38"/>
      <c r="S107" s="38"/>
      <c r="T107" s="38"/>
      <c r="U107" s="164"/>
    </row>
    <row r="108" ht="14.25" spans="3:21">
      <c r="C108" s="49" t="s">
        <v>105</v>
      </c>
      <c r="D108" s="47"/>
      <c r="E108" s="150">
        <f>E15*(E15-Error_Calculation!$N$26)/$E$92</f>
        <v>88.3516483516484</v>
      </c>
      <c r="F108" s="150">
        <f>F15*(F15-Error_Calculation!$N$26)/$E$92</f>
        <v>227.472527472527</v>
      </c>
      <c r="G108" s="54" t="s">
        <v>106</v>
      </c>
      <c r="I108" s="1"/>
      <c r="J108" s="161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5"/>
    </row>
    <row r="109" spans="9:9">
      <c r="I109" s="1"/>
    </row>
    <row r="110" spans="9:9">
      <c r="I110" s="1"/>
    </row>
    <row r="111" spans="9:9">
      <c r="I111" s="24"/>
    </row>
    <row r="112" spans="9:9">
      <c r="I112" s="24"/>
    </row>
    <row r="113" spans="9:9">
      <c r="I113" s="24"/>
    </row>
  </sheetData>
  <sheetProtection password="8433" sheet="1" selectLockedCells="1" objects="1" scenarios="1"/>
  <mergeCells count="13">
    <mergeCell ref="B1:U1"/>
    <mergeCell ref="M2:N2"/>
    <mergeCell ref="D27:F27"/>
    <mergeCell ref="D32:F32"/>
    <mergeCell ref="J33:N33"/>
    <mergeCell ref="Q33:U33"/>
    <mergeCell ref="D54:F54"/>
    <mergeCell ref="M67:R67"/>
    <mergeCell ref="P88:T88"/>
    <mergeCell ref="D94:F94"/>
    <mergeCell ref="J88:N89"/>
    <mergeCell ref="D10:H11"/>
    <mergeCell ref="M31:Q32"/>
  </mergeCells>
  <conditionalFormatting sqref="E67:E71">
    <cfRule type="expression" dxfId="0" priority="1" stopIfTrue="1">
      <formula>IF(AND($E$52&lt;$F$43,$F$41="Yes"),"TRUE","FALSE")</formula>
    </cfRule>
  </conditionalFormatting>
  <conditionalFormatting sqref="E50">
    <cfRule type="expression" dxfId="1" priority="2" stopIfTrue="1">
      <formula>IF(AND($E$50&lt;$F$44,$F$41="YES"),"TRUE","FALSE")</formula>
    </cfRule>
  </conditionalFormatting>
  <conditionalFormatting sqref="E52">
    <cfRule type="expression" dxfId="2" priority="3" stopIfTrue="1">
      <formula>IF(AND($E$52&lt;$F$43,$F$41="Yes"),"TRUE","FALSE")</formula>
    </cfRule>
  </conditionalFormatting>
  <dataValidations count="4">
    <dataValidation type="list" allowBlank="1" showInputMessage="1" showErrorMessage="1" sqref="E19">
      <formula1>Error_Calculation!$N$20:$N$21</formula1>
    </dataValidation>
    <dataValidation type="list" allowBlank="1" showInputMessage="1" showErrorMessage="1" sqref="F41">
      <formula1>$A$38:$A$39</formula1>
    </dataValidation>
    <dataValidation type="list" allowBlank="1" showInputMessage="1" showErrorMessage="1" sqref="D54">
      <formula1>$A$49:$A$50</formula1>
    </dataValidation>
    <dataValidation type="list" allowBlank="1" showInputMessage="1" showErrorMessage="1" sqref="D94">
      <formula1>Error_Calculation!$D$2:$D$3</formula1>
    </dataValidation>
  </dataValidations>
  <hyperlinks>
    <hyperlink ref="C2" r:id="rId4" display="www.ti.com/hotswap"/>
  </hyperlinks>
  <pageMargins left="0.699305555555556" right="0.699305555555556" top="0.75" bottom="0.75" header="0.3" footer="0.3"/>
  <pageSetup paperSize="1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P23"/>
  <sheetViews>
    <sheetView zoomScale="110" zoomScaleNormal="110" topLeftCell="A25" workbookViewId="0">
      <selection activeCell="C3" sqref="C3"/>
    </sheetView>
  </sheetViews>
  <sheetFormatPr defaultColWidth="9" defaultRowHeight="13.5"/>
  <cols>
    <col min="1" max="1" width="18.8833333333333" customWidth="1"/>
    <col min="2" max="2" width="26.3333333333333" customWidth="1"/>
    <col min="3" max="3" width="10" customWidth="1"/>
    <col min="4" max="4" width="15.775" style="3" customWidth="1"/>
  </cols>
  <sheetData>
    <row r="2" spans="2:11">
      <c r="B2" s="51" t="s">
        <v>107</v>
      </c>
      <c r="C2" s="51"/>
      <c r="D2" s="51"/>
      <c r="H2" s="58" t="s">
        <v>108</v>
      </c>
      <c r="I2" s="58"/>
      <c r="J2" s="58"/>
      <c r="K2" s="58"/>
    </row>
    <row r="3" spans="2:4">
      <c r="B3" s="47" t="s">
        <v>109</v>
      </c>
      <c r="C3" s="59">
        <v>54</v>
      </c>
      <c r="D3" s="60" t="s">
        <v>13</v>
      </c>
    </row>
    <row r="4" spans="2:4">
      <c r="B4" s="47" t="s">
        <v>110</v>
      </c>
      <c r="C4" s="59">
        <v>10</v>
      </c>
      <c r="D4" s="60" t="s">
        <v>13</v>
      </c>
    </row>
    <row r="5" spans="2:4">
      <c r="B5" s="61" t="s">
        <v>111</v>
      </c>
      <c r="C5" s="62">
        <v>1</v>
      </c>
      <c r="D5" s="60" t="s">
        <v>54</v>
      </c>
    </row>
    <row r="6" spans="2:4">
      <c r="B6" s="47" t="s">
        <v>112</v>
      </c>
      <c r="C6" s="59">
        <v>54</v>
      </c>
      <c r="D6" s="60" t="s">
        <v>13</v>
      </c>
    </row>
    <row r="7" spans="2:4">
      <c r="B7" s="51" t="s">
        <v>113</v>
      </c>
      <c r="C7" s="63"/>
      <c r="D7" s="64"/>
    </row>
    <row r="8" spans="2:9">
      <c r="B8" s="65" t="s">
        <v>114</v>
      </c>
      <c r="C8" s="59">
        <v>1</v>
      </c>
      <c r="D8" s="3" t="s">
        <v>13</v>
      </c>
      <c r="I8" s="2"/>
    </row>
    <row r="9" ht="15" spans="2:9">
      <c r="B9" s="47" t="s">
        <v>115</v>
      </c>
      <c r="C9" s="59">
        <v>0</v>
      </c>
      <c r="D9" s="60" t="s">
        <v>116</v>
      </c>
      <c r="I9" s="2"/>
    </row>
    <row r="10" ht="15" spans="2:4">
      <c r="B10" s="47" t="s">
        <v>117</v>
      </c>
      <c r="C10" s="59">
        <f>Component_Selection!E16/1000</f>
        <v>0.044</v>
      </c>
      <c r="D10" s="60" t="s">
        <v>116</v>
      </c>
    </row>
    <row r="11" spans="2:4">
      <c r="B11" s="47" t="s">
        <v>118</v>
      </c>
      <c r="C11" s="59">
        <f>Component_Selection!E14</f>
        <v>200</v>
      </c>
      <c r="D11" s="60" t="s">
        <v>11</v>
      </c>
    </row>
    <row r="12" spans="2:4">
      <c r="B12" s="47" t="s">
        <v>119</v>
      </c>
      <c r="C12" s="66">
        <v>0.01</v>
      </c>
      <c r="D12" s="60"/>
    </row>
    <row r="13" spans="2:4">
      <c r="B13" s="65" t="s">
        <v>120</v>
      </c>
      <c r="C13" s="67">
        <v>0.2</v>
      </c>
      <c r="D13" s="3" t="s">
        <v>54</v>
      </c>
    </row>
    <row r="14" ht="15" spans="2:4">
      <c r="B14" s="47" t="s">
        <v>121</v>
      </c>
      <c r="C14" s="54">
        <f>SUM(C9:C10)</f>
        <v>0.044</v>
      </c>
      <c r="D14" s="60" t="s">
        <v>122</v>
      </c>
    </row>
    <row r="15" spans="2:4">
      <c r="B15" s="47" t="s">
        <v>123</v>
      </c>
      <c r="C15" s="68">
        <f>Component_Selection!E24</f>
        <v>8</v>
      </c>
      <c r="D15" s="54" t="s">
        <v>22</v>
      </c>
    </row>
    <row r="16" spans="1:4">
      <c r="A16" t="s">
        <v>124</v>
      </c>
      <c r="B16" s="51" t="s">
        <v>125</v>
      </c>
      <c r="C16" s="63"/>
      <c r="D16" s="64"/>
    </row>
    <row r="17" spans="2:4">
      <c r="B17" s="49" t="s">
        <v>126</v>
      </c>
      <c r="C17" s="68" t="e">
        <f>ATIS_Calculations!E17</f>
        <v>#NUM!</v>
      </c>
      <c r="D17" s="60" t="s">
        <v>13</v>
      </c>
    </row>
    <row r="18" spans="2:16">
      <c r="B18" s="49" t="s">
        <v>127</v>
      </c>
      <c r="C18" s="68" t="e">
        <f>C6-C17</f>
        <v>#NUM!</v>
      </c>
      <c r="D18" s="54" t="s">
        <v>13</v>
      </c>
      <c r="O18" s="1"/>
      <c r="P18" s="2"/>
    </row>
    <row r="19" spans="2:4">
      <c r="B19" s="49" t="s">
        <v>128</v>
      </c>
      <c r="C19" s="68" t="e">
        <f>ATIS_Calculations!D5</f>
        <v>#NUM!</v>
      </c>
      <c r="D19" s="54" t="s">
        <v>54</v>
      </c>
    </row>
    <row r="20" spans="2:7">
      <c r="B20" s="49" t="s">
        <v>129</v>
      </c>
      <c r="C20" s="68" t="e">
        <f>ATIS_Calculations!D7</f>
        <v>#NUM!</v>
      </c>
      <c r="D20" s="54" t="s">
        <v>54</v>
      </c>
      <c r="G20" s="69"/>
    </row>
    <row r="21" spans="2:4">
      <c r="B21" s="51" t="s">
        <v>130</v>
      </c>
      <c r="C21" s="63"/>
      <c r="D21" s="64"/>
    </row>
    <row r="22" spans="2:4">
      <c r="B22" s="49" t="s">
        <v>131</v>
      </c>
      <c r="C22" s="68" t="e">
        <f>C20*2*1.2</f>
        <v>#NUM!</v>
      </c>
      <c r="D22" s="54" t="s">
        <v>54</v>
      </c>
    </row>
    <row r="23" ht="27" spans="2:4">
      <c r="B23" s="70" t="s">
        <v>132</v>
      </c>
      <c r="C23" s="68" t="e">
        <f>C18*1.05</f>
        <v>#NUM!</v>
      </c>
      <c r="D23" s="54" t="s">
        <v>13</v>
      </c>
    </row>
  </sheetData>
  <sheetProtection password="8433" sheet="1" selectLockedCells="1" objects="1" scenarios="1"/>
  <mergeCells count="3">
    <mergeCell ref="B2:D2"/>
    <mergeCell ref="H2:K2"/>
    <mergeCell ref="B7:D7"/>
  </mergeCells>
  <pageMargins left="0.699305555555556" right="0.699305555555556" top="0.75" bottom="0.75" header="0.3" footer="0.3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B1:Z89"/>
  <sheetViews>
    <sheetView topLeftCell="A61" workbookViewId="0">
      <selection activeCell="E76" sqref="E76"/>
    </sheetView>
  </sheetViews>
  <sheetFormatPr defaultColWidth="9" defaultRowHeight="13.5"/>
  <cols>
    <col min="3" max="3" width="14.2166666666667" customWidth="1"/>
    <col min="4" max="4" width="41.6666666666667" customWidth="1"/>
    <col min="5" max="5" width="18.5583333333333" customWidth="1"/>
    <col min="8" max="8" width="15.5583333333333" customWidth="1"/>
    <col min="9" max="9" width="16.2166666666667" customWidth="1"/>
    <col min="10" max="10" width="11.1083333333333" customWidth="1"/>
    <col min="15" max="15" width="11.3333333333333" customWidth="1"/>
  </cols>
  <sheetData>
    <row r="1" spans="15:26">
      <c r="O1" s="52" t="s">
        <v>133</v>
      </c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4:26">
      <c r="D2" t="s">
        <v>134</v>
      </c>
      <c r="E2" t="str">
        <f>Component_Selection!D54</f>
        <v>Target</v>
      </c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4" spans="4:20">
      <c r="D4" s="46"/>
      <c r="E4" s="46" t="s">
        <v>135</v>
      </c>
      <c r="F4" s="46"/>
      <c r="G4" s="46"/>
      <c r="H4" s="46" t="s">
        <v>56</v>
      </c>
      <c r="I4" s="46" t="s">
        <v>61</v>
      </c>
      <c r="O4" t="s">
        <v>136</v>
      </c>
      <c r="P4">
        <f>Component_Selection!E25</f>
        <v>0.6</v>
      </c>
      <c r="Q4" t="s">
        <v>22</v>
      </c>
      <c r="T4" t="s">
        <v>137</v>
      </c>
    </row>
    <row r="5" spans="4:20">
      <c r="D5" s="47" t="s">
        <v>138</v>
      </c>
      <c r="E5" s="48">
        <f>IF($E$2="Programmed",I5,H5)</f>
        <v>20</v>
      </c>
      <c r="F5" s="47" t="s">
        <v>13</v>
      </c>
      <c r="G5" s="47"/>
      <c r="H5" s="47">
        <f>Component_Selection!E50</f>
        <v>20</v>
      </c>
      <c r="I5" s="48">
        <f>Component_Selection!E103</f>
        <v>19.5</v>
      </c>
      <c r="O5" t="s">
        <v>139</v>
      </c>
      <c r="P5">
        <f>Component_Selection!F30</f>
        <v>8</v>
      </c>
      <c r="Q5" t="s">
        <v>35</v>
      </c>
      <c r="T5" t="s">
        <v>140</v>
      </c>
    </row>
    <row r="6" spans="4:20">
      <c r="D6" s="47" t="s">
        <v>141</v>
      </c>
      <c r="E6" s="48">
        <f>IF($E$2="Programmed",I6,H6)</f>
        <v>0.4</v>
      </c>
      <c r="F6" s="47" t="s">
        <v>22</v>
      </c>
      <c r="G6" s="47"/>
      <c r="H6" s="47">
        <f>Component_Selection!E51</f>
        <v>0.4</v>
      </c>
      <c r="I6" s="48">
        <f>Component_Selection!E104</f>
        <v>0.032</v>
      </c>
      <c r="O6" t="s">
        <v>142</v>
      </c>
      <c r="P6">
        <f>Component_Selection!E79</f>
        <v>7.92</v>
      </c>
      <c r="Q6" t="s">
        <v>35</v>
      </c>
      <c r="T6" t="s">
        <v>143</v>
      </c>
    </row>
    <row r="7" spans="4:17">
      <c r="D7" s="47" t="s">
        <v>78</v>
      </c>
      <c r="E7" s="48">
        <f>IF($E$2="Programmed",I7,H7)</f>
        <v>2.64</v>
      </c>
      <c r="F7" s="47" t="s">
        <v>35</v>
      </c>
      <c r="G7" s="47"/>
      <c r="H7" s="47">
        <f>Component_Selection!E78</f>
        <v>2.64</v>
      </c>
      <c r="I7" s="47">
        <f>Component_Selection!E89</f>
        <v>33</v>
      </c>
      <c r="O7" t="s">
        <v>144</v>
      </c>
      <c r="P7">
        <f>Component_Selection!E90</f>
        <v>100</v>
      </c>
      <c r="Q7" t="s">
        <v>35</v>
      </c>
    </row>
    <row r="8" spans="4:20">
      <c r="D8" s="47" t="s">
        <v>79</v>
      </c>
      <c r="E8" s="48">
        <f>IF($E$2="Programmed",I8,H8)</f>
        <v>7.92</v>
      </c>
      <c r="F8" s="47" t="s">
        <v>35</v>
      </c>
      <c r="G8" s="47"/>
      <c r="H8" s="47">
        <f>Component_Selection!E79</f>
        <v>7.92</v>
      </c>
      <c r="I8" s="47">
        <f>Component_Selection!E90</f>
        <v>100</v>
      </c>
      <c r="O8" t="s">
        <v>145</v>
      </c>
      <c r="P8">
        <f>Component_Selection!E78</f>
        <v>2.64</v>
      </c>
      <c r="Q8" t="s">
        <v>35</v>
      </c>
      <c r="T8" t="s">
        <v>146</v>
      </c>
    </row>
    <row r="9" spans="4:20">
      <c r="D9" s="49" t="s">
        <v>147</v>
      </c>
      <c r="E9" s="48">
        <f>IF($E$2="Programmed",I9,H9)</f>
        <v>2</v>
      </c>
      <c r="F9" s="49" t="s">
        <v>54</v>
      </c>
      <c r="G9" s="47"/>
      <c r="H9" s="47">
        <f>Component_Selection!E52</f>
        <v>2</v>
      </c>
      <c r="I9" s="48">
        <f>Component_Selection!E105</f>
        <v>1.5</v>
      </c>
      <c r="O9" t="s">
        <v>148</v>
      </c>
      <c r="P9">
        <f>Component_Selection!E89</f>
        <v>33</v>
      </c>
      <c r="Q9" t="s">
        <v>35</v>
      </c>
      <c r="T9" t="s">
        <v>149</v>
      </c>
    </row>
    <row r="10" spans="4:17">
      <c r="D10" s="49" t="s">
        <v>150</v>
      </c>
      <c r="E10" s="48">
        <f>Component_Selection!E24</f>
        <v>8</v>
      </c>
      <c r="F10" s="49" t="s">
        <v>22</v>
      </c>
      <c r="G10" s="47"/>
      <c r="H10" s="47"/>
      <c r="I10" s="48"/>
      <c r="O10" s="53" t="s">
        <v>22</v>
      </c>
      <c r="P10" s="53">
        <v>20</v>
      </c>
      <c r="Q10" s="53" t="s">
        <v>151</v>
      </c>
    </row>
    <row r="11" spans="4:9">
      <c r="D11" s="49" t="s">
        <v>152</v>
      </c>
      <c r="E11" s="48">
        <f>Component_Selection!E25</f>
        <v>0.6</v>
      </c>
      <c r="F11" s="49" t="s">
        <v>22</v>
      </c>
      <c r="G11" s="47"/>
      <c r="H11" s="47"/>
      <c r="I11" s="48"/>
    </row>
    <row r="12" spans="4:16">
      <c r="D12" s="49" t="s">
        <v>153</v>
      </c>
      <c r="E12" s="48">
        <f>E9/2</f>
        <v>1</v>
      </c>
      <c r="F12" s="49" t="s">
        <v>54</v>
      </c>
      <c r="G12" s="47"/>
      <c r="H12" s="47"/>
      <c r="I12" s="48"/>
      <c r="O12" t="s">
        <v>154</v>
      </c>
      <c r="P12" t="str">
        <f>Component_Selection!D54</f>
        <v>Target</v>
      </c>
    </row>
    <row r="13" spans="4:17">
      <c r="D13" s="49" t="s">
        <v>155</v>
      </c>
      <c r="E13" s="48">
        <f>E12/5</f>
        <v>0.2</v>
      </c>
      <c r="F13" s="47" t="s">
        <v>54</v>
      </c>
      <c r="G13" s="47"/>
      <c r="H13" s="47"/>
      <c r="I13" s="47"/>
      <c r="O13" t="s">
        <v>156</v>
      </c>
      <c r="P13" s="1">
        <f>E7</f>
        <v>2.64</v>
      </c>
      <c r="Q13" t="s">
        <v>35</v>
      </c>
    </row>
    <row r="14" spans="15:17">
      <c r="O14" t="s">
        <v>157</v>
      </c>
      <c r="P14" s="1">
        <f>E8</f>
        <v>7.92</v>
      </c>
      <c r="Q14" t="s">
        <v>35</v>
      </c>
    </row>
    <row r="15" spans="15:17">
      <c r="O15" t="s">
        <v>158</v>
      </c>
      <c r="P15">
        <f>Error_Calculation!N22</f>
        <v>20</v>
      </c>
      <c r="Q15" t="s">
        <v>159</v>
      </c>
    </row>
    <row r="16" spans="4:17">
      <c r="D16" s="50" t="s">
        <v>160</v>
      </c>
      <c r="E16" s="50"/>
      <c r="F16" s="47"/>
      <c r="O16" t="s">
        <v>161</v>
      </c>
      <c r="P16">
        <f>Error_Calculation!O29</f>
        <v>1</v>
      </c>
      <c r="Q16" t="s">
        <v>162</v>
      </c>
    </row>
    <row r="17" spans="4:6">
      <c r="D17" s="47" t="s">
        <v>163</v>
      </c>
      <c r="E17" s="47">
        <f>Component_Selection!F15</f>
        <v>72</v>
      </c>
      <c r="F17" s="47" t="s">
        <v>13</v>
      </c>
    </row>
    <row r="18" spans="15:17">
      <c r="O18" s="54" t="s">
        <v>164</v>
      </c>
      <c r="P18" s="54"/>
      <c r="Q18" s="54"/>
    </row>
    <row r="19" spans="4:17">
      <c r="D19" s="47" t="s">
        <v>165</v>
      </c>
      <c r="E19" s="47">
        <f>E21/10</f>
        <v>0.2</v>
      </c>
      <c r="F19" s="47" t="s">
        <v>54</v>
      </c>
      <c r="O19" s="47" t="s">
        <v>166</v>
      </c>
      <c r="P19" s="47">
        <f>P15/(P13+P14)</f>
        <v>1.89393939393939</v>
      </c>
      <c r="Q19" s="47" t="s">
        <v>167</v>
      </c>
    </row>
    <row r="20" spans="4:17">
      <c r="D20" s="47" t="s">
        <v>168</v>
      </c>
      <c r="E20" s="47">
        <f>E21/2</f>
        <v>1</v>
      </c>
      <c r="F20" s="47" t="s">
        <v>54</v>
      </c>
      <c r="O20" s="55" t="s">
        <v>169</v>
      </c>
      <c r="P20" s="55">
        <f>1/3/P19*SQRT(P4/P10)</f>
        <v>0.0304840942132122</v>
      </c>
      <c r="Q20" s="55" t="s">
        <v>54</v>
      </c>
    </row>
    <row r="21" spans="4:9">
      <c r="D21" s="47" t="s">
        <v>170</v>
      </c>
      <c r="E21" s="47">
        <f>IF(Component_Selection!D54="Target",Component_Selection!E52,Component_Selection!E105)</f>
        <v>2</v>
      </c>
      <c r="F21" s="47" t="s">
        <v>54</v>
      </c>
      <c r="H21" s="51" t="s">
        <v>171</v>
      </c>
      <c r="I21" s="51" t="s">
        <v>172</v>
      </c>
    </row>
    <row r="22" spans="4:9">
      <c r="D22" s="47" t="s">
        <v>173</v>
      </c>
      <c r="E22" s="48">
        <f>IF(I22="TBD",H22,I22)</f>
        <v>0.230484094213212</v>
      </c>
      <c r="F22" s="47" t="s">
        <v>54</v>
      </c>
      <c r="H22" s="48">
        <f>SOA_Checks!P20+E19</f>
        <v>0.230484094213212</v>
      </c>
      <c r="I22" s="47" t="str">
        <f>Component_Selection!E57</f>
        <v>TBD</v>
      </c>
    </row>
    <row r="23" spans="4:9">
      <c r="D23" s="47" t="s">
        <v>174</v>
      </c>
      <c r="E23" s="48">
        <f>IF(I23="TBD",H23,I23)</f>
        <v>0.270084094213212</v>
      </c>
      <c r="F23" s="47" t="s">
        <v>54</v>
      </c>
      <c r="H23" s="48">
        <f>SOA_Checks!P26+E19</f>
        <v>0.270084094213212</v>
      </c>
      <c r="I23" s="47" t="str">
        <f>Component_Selection!E58</f>
        <v>TBD</v>
      </c>
    </row>
    <row r="24" spans="5:18">
      <c r="E24" s="1"/>
      <c r="O24" s="3" t="s">
        <v>175</v>
      </c>
      <c r="P24" s="3"/>
      <c r="Q24" s="3"/>
      <c r="R24" t="s">
        <v>176</v>
      </c>
    </row>
    <row r="25" spans="15:18">
      <c r="O25" s="47" t="s">
        <v>177</v>
      </c>
      <c r="P25" s="48">
        <f>P4*P16*P13/P15/2</f>
        <v>0.0396</v>
      </c>
      <c r="Q25" s="47" t="s">
        <v>54</v>
      </c>
      <c r="R25" t="s">
        <v>178</v>
      </c>
    </row>
    <row r="26" spans="15:18">
      <c r="O26" s="55" t="s">
        <v>179</v>
      </c>
      <c r="P26" s="56">
        <f>P25+P20</f>
        <v>0.0700840942132122</v>
      </c>
      <c r="Q26" s="55" t="s">
        <v>54</v>
      </c>
      <c r="R26" t="s">
        <v>180</v>
      </c>
    </row>
    <row r="27" spans="3:4">
      <c r="C27" t="s">
        <v>181</v>
      </c>
      <c r="D27">
        <f>IF(Component_Selection!D54="Target",Component_Selection!E51,Component_Selection!E104)</f>
        <v>0.4</v>
      </c>
    </row>
    <row r="28" spans="3:11">
      <c r="C28" s="1"/>
      <c r="K28">
        <f>1.12*(175-96.3)/150</f>
        <v>0.587626666666667</v>
      </c>
    </row>
    <row r="30" spans="3:4">
      <c r="C30" s="1">
        <f>E13</f>
        <v>0.2</v>
      </c>
      <c r="D30" t="s">
        <v>182</v>
      </c>
    </row>
    <row r="31" spans="3:4">
      <c r="C31" s="1">
        <f>E22</f>
        <v>0.230484094213212</v>
      </c>
      <c r="D31" t="s">
        <v>183</v>
      </c>
    </row>
    <row r="32" spans="3:4">
      <c r="C32" s="1">
        <f>E23</f>
        <v>0.270084094213212</v>
      </c>
      <c r="D32" t="s">
        <v>184</v>
      </c>
    </row>
    <row r="33" spans="3:4">
      <c r="C33" s="1">
        <f>E20</f>
        <v>1</v>
      </c>
      <c r="D33" t="s">
        <v>185</v>
      </c>
    </row>
    <row r="34" spans="3:5">
      <c r="C34">
        <f>Component_Selection!F16*Component_Selection!F15/D27/1000</f>
        <v>9.504</v>
      </c>
      <c r="D34" t="s">
        <v>186</v>
      </c>
      <c r="E34" t="s">
        <v>187</v>
      </c>
    </row>
    <row r="35" spans="3:4">
      <c r="C35">
        <f>ROUND(SOA_Checks!C34/2,1)</f>
        <v>4.8</v>
      </c>
      <c r="D35" t="s">
        <v>188</v>
      </c>
    </row>
    <row r="37" spans="3:4">
      <c r="C37" s="1" t="e">
        <f>10^(FLOOR(LOG(C31),1))</f>
        <v>#NUM!</v>
      </c>
      <c r="D37" t="s">
        <v>189</v>
      </c>
    </row>
    <row r="38" spans="3:4">
      <c r="C38" t="e">
        <f t="shared" ref="C38:C42" si="0">C37*10</f>
        <v>#NUM!</v>
      </c>
      <c r="D38" t="s">
        <v>190</v>
      </c>
    </row>
    <row r="39" spans="2:4">
      <c r="B39" s="1"/>
      <c r="C39" s="1" t="e">
        <f>10^(FLOOR(LOG(C32),1))</f>
        <v>#NUM!</v>
      </c>
      <c r="D39" t="s">
        <v>191</v>
      </c>
    </row>
    <row r="40" spans="3:4">
      <c r="C40" t="e">
        <f t="shared" si="0"/>
        <v>#NUM!</v>
      </c>
      <c r="D40" t="s">
        <v>192</v>
      </c>
    </row>
    <row r="41" spans="3:4">
      <c r="C41" s="1">
        <f>10^(FLOOR(LOG(C33),1))</f>
        <v>1</v>
      </c>
      <c r="D41" t="s">
        <v>193</v>
      </c>
    </row>
    <row r="42" spans="3:4">
      <c r="C42">
        <f t="shared" si="0"/>
        <v>10</v>
      </c>
      <c r="D42" t="s">
        <v>194</v>
      </c>
    </row>
    <row r="43" spans="3:4">
      <c r="C43" s="1">
        <f>10^(FLOOR(LOG(C35),1))</f>
        <v>1</v>
      </c>
      <c r="D43" t="s">
        <v>195</v>
      </c>
    </row>
    <row r="44" spans="3:4">
      <c r="C44">
        <f>C43*10</f>
        <v>10</v>
      </c>
      <c r="D44" t="s">
        <v>196</v>
      </c>
    </row>
    <row r="46" spans="3:6">
      <c r="C46" t="s">
        <v>197</v>
      </c>
      <c r="D46" s="51" t="s">
        <v>198</v>
      </c>
      <c r="E46" s="51"/>
      <c r="F46" s="51"/>
    </row>
    <row r="47" spans="3:6">
      <c r="C47" s="1" t="e">
        <f>C37</f>
        <v>#NUM!</v>
      </c>
      <c r="D47" s="47" t="e">
        <f>"Q1 Current handling at "&amp;C37&amp;"ms and "&amp;E17&amp;"V"</f>
        <v>#NUM!</v>
      </c>
      <c r="E47" s="47">
        <f>Component_Selection!E59</f>
        <v>6</v>
      </c>
      <c r="F47" s="47" t="s">
        <v>22</v>
      </c>
    </row>
    <row r="48" spans="3:6">
      <c r="C48" s="1" t="e">
        <f t="shared" ref="C48:C50" si="1">C38</f>
        <v>#NUM!</v>
      </c>
      <c r="D48" s="47" t="e">
        <f>"Q1 Current handling at "&amp;C38&amp;"ms and "&amp;E17&amp;"V"</f>
        <v>#NUM!</v>
      </c>
      <c r="E48" s="47">
        <f>Component_Selection!E60</f>
        <v>1.8</v>
      </c>
      <c r="F48" s="47" t="s">
        <v>22</v>
      </c>
    </row>
    <row r="49" spans="3:6">
      <c r="C49" s="1" t="e">
        <f t="shared" si="1"/>
        <v>#NUM!</v>
      </c>
      <c r="D49" s="47" t="e">
        <f>"Q1 Current handling at "&amp;C39&amp;"ms and "&amp;E17&amp;"V"</f>
        <v>#NUM!</v>
      </c>
      <c r="E49" s="47">
        <f>Component_Selection!E61</f>
        <v>6</v>
      </c>
      <c r="F49" s="47" t="s">
        <v>22</v>
      </c>
    </row>
    <row r="50" spans="3:6">
      <c r="C50" s="1" t="e">
        <f t="shared" si="1"/>
        <v>#NUM!</v>
      </c>
      <c r="D50" s="47" t="e">
        <f>"Q1 Current handling at "&amp;C40&amp;"ms and "&amp;E17&amp;"V"</f>
        <v>#NUM!</v>
      </c>
      <c r="E50" s="47">
        <f>Component_Selection!E62</f>
        <v>1.8</v>
      </c>
      <c r="F50" s="47" t="s">
        <v>22</v>
      </c>
    </row>
    <row r="51" spans="3:6">
      <c r="C51" s="1">
        <f>C43</f>
        <v>1</v>
      </c>
      <c r="D51" s="47" t="str">
        <f>"Q1 Current handling at "&amp;C43&amp;"ms and "&amp;E17&amp;"V"</f>
        <v>Q1 Current handling at 1ms and 72V</v>
      </c>
      <c r="E51" s="47">
        <f>Component_Selection!E63</f>
        <v>1.8</v>
      </c>
      <c r="F51" s="47" t="s">
        <v>22</v>
      </c>
    </row>
    <row r="52" spans="3:6">
      <c r="C52" s="1">
        <f>C44</f>
        <v>10</v>
      </c>
      <c r="D52" s="47" t="str">
        <f>"Q1 Current handling at "&amp;C44&amp;"ms and "&amp;E17&amp;"V"</f>
        <v>Q1 Current handling at 10ms and 72V</v>
      </c>
      <c r="E52" s="47">
        <f>Component_Selection!E64</f>
        <v>1</v>
      </c>
      <c r="F52" s="47" t="s">
        <v>22</v>
      </c>
    </row>
    <row r="53" spans="3:6">
      <c r="C53" s="1">
        <f>C41</f>
        <v>1</v>
      </c>
      <c r="D53" s="47" t="str">
        <f>"Q1 Current handling at "&amp;C41&amp;"ms and "&amp;E5&amp;"V"</f>
        <v>Q1 Current handling at 1ms and 20V</v>
      </c>
      <c r="E53" s="47">
        <f>Component_Selection!E65</f>
        <v>30</v>
      </c>
      <c r="F53" s="47" t="s">
        <v>22</v>
      </c>
    </row>
    <row r="54" spans="3:6">
      <c r="C54" s="1">
        <f>C42</f>
        <v>10</v>
      </c>
      <c r="D54" s="47" t="str">
        <f>"Q1 Current handling at "&amp;C42&amp;"ms and "&amp;E5&amp;"V"</f>
        <v>Q1 Current handling at 10ms and 20V</v>
      </c>
      <c r="E54" s="47">
        <f>Component_Selection!E66</f>
        <v>10</v>
      </c>
      <c r="F54" s="47" t="s">
        <v>22</v>
      </c>
    </row>
    <row r="55" spans="4:6">
      <c r="D55" s="38"/>
      <c r="E55" s="38"/>
      <c r="F55" s="38"/>
    </row>
    <row r="56" spans="4:6">
      <c r="D56" s="38" t="s">
        <v>199</v>
      </c>
      <c r="E56" s="38"/>
      <c r="F56" s="38"/>
    </row>
    <row r="58" spans="3:6">
      <c r="C58" t="s">
        <v>197</v>
      </c>
      <c r="D58" s="51" t="str">
        <f>" Temp Derated SOA (Tj ="&amp;ROUND(Component_Selection!F39,0)&amp;"C)"</f>
        <v> Temp Derated SOA (Tj =101C)</v>
      </c>
      <c r="E58" s="51"/>
      <c r="F58" s="51"/>
    </row>
    <row r="59" spans="4:6">
      <c r="D59" s="47" t="s">
        <v>200</v>
      </c>
      <c r="E59" s="48">
        <f>Component_Selection!F39</f>
        <v>101.375881770883</v>
      </c>
      <c r="F59" s="47" t="s">
        <v>17</v>
      </c>
    </row>
    <row r="60" spans="4:6">
      <c r="D60" s="47" t="s">
        <v>199</v>
      </c>
      <c r="E60" s="48">
        <f>(Component_Selection!F29-E59)/(Component_Selection!F29-25)</f>
        <v>0.388992945832934</v>
      </c>
      <c r="F60" s="47"/>
    </row>
    <row r="61" spans="3:6">
      <c r="C61" s="1" t="e">
        <f t="shared" ref="C61:D68" si="2">C47</f>
        <v>#NUM!</v>
      </c>
      <c r="D61" s="47" t="e">
        <f t="shared" si="2"/>
        <v>#NUM!</v>
      </c>
      <c r="E61" s="48">
        <f t="shared" ref="E61:E68" si="3">E47*$E$60</f>
        <v>2.33395767499761</v>
      </c>
      <c r="F61" s="47" t="s">
        <v>22</v>
      </c>
    </row>
    <row r="62" spans="3:6">
      <c r="C62" s="1" t="e">
        <f t="shared" si="2"/>
        <v>#NUM!</v>
      </c>
      <c r="D62" s="47" t="e">
        <f t="shared" si="2"/>
        <v>#NUM!</v>
      </c>
      <c r="E62" s="48">
        <f t="shared" si="3"/>
        <v>0.700187302499282</v>
      </c>
      <c r="F62" s="47" t="s">
        <v>22</v>
      </c>
    </row>
    <row r="63" spans="3:6">
      <c r="C63" s="1" t="e">
        <f t="shared" si="2"/>
        <v>#NUM!</v>
      </c>
      <c r="D63" s="47" t="e">
        <f t="shared" si="2"/>
        <v>#NUM!</v>
      </c>
      <c r="E63" s="48">
        <f t="shared" si="3"/>
        <v>2.33395767499761</v>
      </c>
      <c r="F63" s="47" t="s">
        <v>22</v>
      </c>
    </row>
    <row r="64" spans="3:6">
      <c r="C64" s="1" t="e">
        <f t="shared" si="2"/>
        <v>#NUM!</v>
      </c>
      <c r="D64" s="47" t="e">
        <f t="shared" si="2"/>
        <v>#NUM!</v>
      </c>
      <c r="E64" s="48">
        <f t="shared" si="3"/>
        <v>0.700187302499282</v>
      </c>
      <c r="F64" s="47" t="s">
        <v>22</v>
      </c>
    </row>
    <row r="65" spans="3:6">
      <c r="C65" s="1">
        <f t="shared" si="2"/>
        <v>1</v>
      </c>
      <c r="D65" s="47" t="str">
        <f t="shared" si="2"/>
        <v>Q1 Current handling at 1ms and 72V</v>
      </c>
      <c r="E65" s="48">
        <f t="shared" si="3"/>
        <v>0.700187302499282</v>
      </c>
      <c r="F65" s="47" t="s">
        <v>22</v>
      </c>
    </row>
    <row r="66" spans="3:6">
      <c r="C66" s="1">
        <f t="shared" si="2"/>
        <v>10</v>
      </c>
      <c r="D66" s="47" t="str">
        <f t="shared" si="2"/>
        <v>Q1 Current handling at 10ms and 72V</v>
      </c>
      <c r="E66" s="48">
        <f t="shared" si="3"/>
        <v>0.388992945832934</v>
      </c>
      <c r="F66" s="47" t="s">
        <v>22</v>
      </c>
    </row>
    <row r="67" spans="3:6">
      <c r="C67" s="1">
        <f t="shared" si="2"/>
        <v>1</v>
      </c>
      <c r="D67" s="47" t="str">
        <f t="shared" si="2"/>
        <v>Q1 Current handling at 1ms and 20V</v>
      </c>
      <c r="E67" s="48">
        <f t="shared" si="3"/>
        <v>11.669788374988</v>
      </c>
      <c r="F67" s="47" t="s">
        <v>22</v>
      </c>
    </row>
    <row r="68" spans="3:6">
      <c r="C68" s="1">
        <f t="shared" si="2"/>
        <v>10</v>
      </c>
      <c r="D68" s="47" t="str">
        <f t="shared" si="2"/>
        <v>Q1 Current handling at 10ms and 20V</v>
      </c>
      <c r="E68" s="48">
        <f t="shared" si="3"/>
        <v>3.88992945832934</v>
      </c>
      <c r="F68" s="47" t="s">
        <v>22</v>
      </c>
    </row>
    <row r="69" spans="4:6">
      <c r="D69" s="38"/>
      <c r="E69" s="38"/>
      <c r="F69" s="38"/>
    </row>
    <row r="70" spans="4:6">
      <c r="D70" s="38"/>
      <c r="E70" s="38"/>
      <c r="F70" s="38"/>
    </row>
    <row r="71" spans="7:8">
      <c r="G71" s="3" t="s">
        <v>201</v>
      </c>
      <c r="H71" s="3"/>
    </row>
    <row r="72" spans="3:8">
      <c r="C72" t="s">
        <v>197</v>
      </c>
      <c r="D72" s="57" t="str">
        <f>" Extrapoloated SOA (Tj ="&amp;ROUND(Component_Selection!F39,0)&amp;"C)"</f>
        <v> Extrapoloated SOA (Tj =101C)</v>
      </c>
      <c r="E72" s="57"/>
      <c r="F72" s="57"/>
      <c r="G72" t="s">
        <v>166</v>
      </c>
      <c r="H72" t="s">
        <v>202</v>
      </c>
    </row>
    <row r="73" spans="3:8">
      <c r="C73" s="1">
        <f>C31</f>
        <v>0.230484094213212</v>
      </c>
      <c r="D73" s="47" t="str">
        <f>"Short Circuit; Vds = "&amp;E17&amp;"V, t= "&amp;C31&amp;"ms"</f>
        <v>Short Circuit; Vds = 72V, t= 0.230484094213212ms</v>
      </c>
      <c r="E73" s="48" t="e">
        <f>H73*C31^G73*$E$60</f>
        <v>#NUM!</v>
      </c>
      <c r="F73" s="47" t="s">
        <v>22</v>
      </c>
      <c r="G73" t="e">
        <f>LN(E47/E48)/LN(C37/C38)</f>
        <v>#NUM!</v>
      </c>
      <c r="H73" t="e">
        <f>E47/C37^G73</f>
        <v>#NUM!</v>
      </c>
    </row>
    <row r="74" spans="3:8">
      <c r="C74" s="1">
        <f>C32</f>
        <v>0.270084094213212</v>
      </c>
      <c r="D74" s="47" t="str">
        <f>"Short Circuit with resistor; Vds = "&amp;E17&amp;"V, t= "&amp;C32&amp;"ms"</f>
        <v>Short Circuit with resistor; Vds = 72V, t= 0.270084094213212ms</v>
      </c>
      <c r="E74" s="48" t="e">
        <f t="shared" ref="E74" si="4">H74*C32^G74*$E$60</f>
        <v>#NUM!</v>
      </c>
      <c r="F74" s="47" t="s">
        <v>22</v>
      </c>
      <c r="G74" t="e">
        <f>LN(E49/E50)/LN(C39/C40)</f>
        <v>#NUM!</v>
      </c>
      <c r="H74" t="e">
        <f>E49/C39^G74</f>
        <v>#NUM!</v>
      </c>
    </row>
    <row r="75" spans="3:8">
      <c r="C75">
        <f>C35</f>
        <v>4.8</v>
      </c>
      <c r="D75" s="47" t="str">
        <f>"Start-up ; Vds = "&amp;E17&amp;"V, t_eq= "&amp;C35&amp;"ms"</f>
        <v>Start-up ; Vds = 72V, t_eq= 4.8ms</v>
      </c>
      <c r="E75" s="48">
        <f>H75*C35^G75*$E$60</f>
        <v>0.469150381233193</v>
      </c>
      <c r="F75" s="47" t="s">
        <v>22</v>
      </c>
      <c r="G75">
        <f>LN(E51/E52)/LN(C43/C44)</f>
        <v>-0.255272505103306</v>
      </c>
      <c r="H75">
        <f>E51/C43^G75</f>
        <v>1.8</v>
      </c>
    </row>
    <row r="76" spans="3:8">
      <c r="C76" s="1">
        <f>C33</f>
        <v>1</v>
      </c>
      <c r="D76" s="47" t="str">
        <f>"Vd = 1.5V; Vds = "&amp;E5&amp;"V, t_eq= "&amp;C33&amp;"ms"</f>
        <v>Vd = 1.5V; Vds = 20V, t_eq= 1ms</v>
      </c>
      <c r="E76" s="48">
        <f>H76*C33^G76*$E$60</f>
        <v>11.669788374988</v>
      </c>
      <c r="F76" s="47" t="s">
        <v>22</v>
      </c>
      <c r="G76">
        <f>LN(E53/E54)/LN(C41/C42)</f>
        <v>-0.477121254719662</v>
      </c>
      <c r="H76">
        <f>E53/C41^G76</f>
        <v>30</v>
      </c>
    </row>
    <row r="79" spans="3:6">
      <c r="C79" t="s">
        <v>197</v>
      </c>
      <c r="D79" s="57" t="s">
        <v>203</v>
      </c>
      <c r="E79" s="57"/>
      <c r="F79" s="57"/>
    </row>
    <row r="80" spans="3:6">
      <c r="C80" s="1">
        <f>C73</f>
        <v>0.230484094213212</v>
      </c>
      <c r="D80" s="47" t="str">
        <f>D73</f>
        <v>Short Circuit; Vds = 72V, t= 0.230484094213212ms</v>
      </c>
      <c r="E80" s="48">
        <f>E11</f>
        <v>0.6</v>
      </c>
      <c r="F80" s="47" t="s">
        <v>22</v>
      </c>
    </row>
    <row r="81" spans="3:6">
      <c r="C81" s="1">
        <f t="shared" ref="C81:D83" si="5">C74</f>
        <v>0.270084094213212</v>
      </c>
      <c r="D81" s="47" t="str">
        <f t="shared" si="5"/>
        <v>Short Circuit with resistor; Vds = 72V, t= 0.270084094213212ms</v>
      </c>
      <c r="E81" s="48">
        <f>E11</f>
        <v>0.6</v>
      </c>
      <c r="F81" s="47" t="s">
        <v>22</v>
      </c>
    </row>
    <row r="82" spans="3:6">
      <c r="C82" s="1">
        <f t="shared" si="5"/>
        <v>4.8</v>
      </c>
      <c r="D82" s="47" t="str">
        <f t="shared" si="5"/>
        <v>Start-up ; Vds = 72V, t_eq= 4.8ms</v>
      </c>
      <c r="E82" s="48">
        <f>E6</f>
        <v>0.4</v>
      </c>
      <c r="F82" s="47" t="s">
        <v>22</v>
      </c>
    </row>
    <row r="83" spans="3:6">
      <c r="C83" s="1">
        <f t="shared" si="5"/>
        <v>1</v>
      </c>
      <c r="D83" s="47" t="str">
        <f t="shared" si="5"/>
        <v>Vd = 1.5V; Vds = 20V, t_eq= 1ms</v>
      </c>
      <c r="E83" s="48">
        <f>E10</f>
        <v>8</v>
      </c>
      <c r="F83" s="47" t="s">
        <v>22</v>
      </c>
    </row>
    <row r="84" spans="3:6">
      <c r="C84" s="1"/>
      <c r="D84" s="47"/>
      <c r="E84" s="48"/>
      <c r="F84" s="47"/>
    </row>
    <row r="85" spans="4:6">
      <c r="D85" s="57" t="s">
        <v>204</v>
      </c>
      <c r="E85" s="57"/>
      <c r="F85" s="57"/>
    </row>
    <row r="86" spans="4:6">
      <c r="D86" s="47" t="str">
        <f t="shared" ref="D86:D89" si="6">D80</f>
        <v>Short Circuit; Vds = 72V, t= 0.230484094213212ms</v>
      </c>
      <c r="E86" s="48" t="e">
        <f t="shared" ref="E86:E89" si="7">E73/E80</f>
        <v>#NUM!</v>
      </c>
      <c r="F86" s="47"/>
    </row>
    <row r="87" spans="4:6">
      <c r="D87" s="47" t="str">
        <f t="shared" si="6"/>
        <v>Short Circuit with resistor; Vds = 72V, t= 0.270084094213212ms</v>
      </c>
      <c r="E87" s="48" t="e">
        <f t="shared" si="7"/>
        <v>#NUM!</v>
      </c>
      <c r="F87" s="47"/>
    </row>
    <row r="88" spans="4:6">
      <c r="D88" s="47" t="str">
        <f t="shared" si="6"/>
        <v>Start-up ; Vds = 72V, t_eq= 4.8ms</v>
      </c>
      <c r="E88" s="48">
        <f t="shared" si="7"/>
        <v>1.17287595308298</v>
      </c>
      <c r="F88" s="47"/>
    </row>
    <row r="89" spans="4:6">
      <c r="D89" s="47" t="str">
        <f t="shared" si="6"/>
        <v>Vd = 1.5V; Vds = 20V, t_eq= 1ms</v>
      </c>
      <c r="E89" s="48">
        <f t="shared" si="7"/>
        <v>1.4587235468735</v>
      </c>
      <c r="F89" s="47"/>
    </row>
  </sheetData>
  <mergeCells count="10">
    <mergeCell ref="D16:E16"/>
    <mergeCell ref="O18:Q18"/>
    <mergeCell ref="O24:Q24"/>
    <mergeCell ref="D46:F46"/>
    <mergeCell ref="D58:F58"/>
    <mergeCell ref="G71:H71"/>
    <mergeCell ref="D72:F72"/>
    <mergeCell ref="D79:F79"/>
    <mergeCell ref="D85:F85"/>
    <mergeCell ref="O1:Z2"/>
  </mergeCells>
  <pageMargins left="0.699305555555556" right="0.699305555555556" top="0.75" bottom="0.75" header="0.3" footer="0.3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C2:R32"/>
  <sheetViews>
    <sheetView workbookViewId="0">
      <selection activeCell="N25" sqref="N25"/>
    </sheetView>
  </sheetViews>
  <sheetFormatPr defaultColWidth="9" defaultRowHeight="13.5"/>
  <cols>
    <col min="3" max="3" width="27.1083333333333" customWidth="1"/>
  </cols>
  <sheetData>
    <row r="2" spans="4:8">
      <c r="D2" t="s">
        <v>91</v>
      </c>
      <c r="G2" t="s">
        <v>205</v>
      </c>
      <c r="H2">
        <f>Component_Selection!E19</f>
        <v>40</v>
      </c>
    </row>
    <row r="3" spans="4:4">
      <c r="D3" t="s">
        <v>206</v>
      </c>
    </row>
    <row r="5" spans="3:17">
      <c r="C5" s="14" t="s">
        <v>207</v>
      </c>
      <c r="D5" s="15" t="s">
        <v>6</v>
      </c>
      <c r="E5" s="15" t="s">
        <v>7</v>
      </c>
      <c r="F5" s="16" t="s">
        <v>8</v>
      </c>
      <c r="G5" s="17"/>
      <c r="H5" s="18" t="s">
        <v>89</v>
      </c>
      <c r="L5" s="3" t="s">
        <v>208</v>
      </c>
      <c r="M5" s="3"/>
      <c r="N5" s="3"/>
      <c r="O5" s="3"/>
      <c r="P5" s="3"/>
      <c r="Q5" s="3"/>
    </row>
    <row r="6" spans="3:17">
      <c r="C6" s="19" t="s">
        <v>92</v>
      </c>
      <c r="D6" s="1">
        <f t="shared" ref="D6:D9" si="0">E6*(1-H6)</f>
        <v>7.6</v>
      </c>
      <c r="E6" s="1">
        <f>H2/Component_Selection!E83</f>
        <v>8</v>
      </c>
      <c r="F6" s="1">
        <f t="shared" ref="F6:F9" si="1">E6*(1+H6)</f>
        <v>8.4</v>
      </c>
      <c r="G6" s="20" t="s">
        <v>22</v>
      </c>
      <c r="H6" s="21">
        <f>Error_Calculation!Q20+Component_Selection!F83</f>
        <v>0.05</v>
      </c>
      <c r="L6" s="31"/>
      <c r="M6" s="32" t="s">
        <v>6</v>
      </c>
      <c r="N6" s="32" t="s">
        <v>7</v>
      </c>
      <c r="O6" s="32" t="s">
        <v>8</v>
      </c>
      <c r="P6" s="33" t="s">
        <v>9</v>
      </c>
      <c r="Q6" s="45" t="s">
        <v>209</v>
      </c>
    </row>
    <row r="7" spans="3:17">
      <c r="C7" s="19" t="s">
        <v>93</v>
      </c>
      <c r="D7" s="1">
        <f t="shared" si="0"/>
        <v>0.394</v>
      </c>
      <c r="E7" s="1">
        <f>Error_Calculation!N19/Component_Selection!E83</f>
        <v>0.6</v>
      </c>
      <c r="F7" s="1">
        <f t="shared" si="1"/>
        <v>0.806</v>
      </c>
      <c r="G7" s="20" t="s">
        <v>22</v>
      </c>
      <c r="H7" s="21">
        <f>Error_Calculation!Q19+Component_Selection!F83</f>
        <v>0.343333333333333</v>
      </c>
      <c r="L7" s="34" t="s">
        <v>94</v>
      </c>
      <c r="M7" s="35">
        <v>0.985</v>
      </c>
      <c r="N7" s="35">
        <v>1</v>
      </c>
      <c r="O7" s="35">
        <v>1.015</v>
      </c>
      <c r="P7" s="36" t="s">
        <v>13</v>
      </c>
      <c r="Q7" s="23">
        <f t="shared" ref="Q7:Q12" si="2">(O7-N7)/N7</f>
        <v>0.0149999999999999</v>
      </c>
    </row>
    <row r="8" spans="3:17">
      <c r="C8" s="19" t="s">
        <v>94</v>
      </c>
      <c r="D8" s="1">
        <f t="shared" si="0"/>
        <v>20.643</v>
      </c>
      <c r="E8" s="1">
        <f>(Component_Selection!E84+Component_Selection!E85)/Component_Selection!E85*Error_Calculation!$N$7</f>
        <v>21</v>
      </c>
      <c r="F8" s="1">
        <f t="shared" si="1"/>
        <v>21.357</v>
      </c>
      <c r="G8" s="20" t="s">
        <v>13</v>
      </c>
      <c r="H8" s="21">
        <f>Component_Selection!F84+Component_Selection!F85+Error_Calculation!Q7</f>
        <v>0.0169999999999999</v>
      </c>
      <c r="L8" s="37" t="s">
        <v>97</v>
      </c>
      <c r="M8" s="38">
        <v>0.98</v>
      </c>
      <c r="N8" s="38">
        <v>1</v>
      </c>
      <c r="O8" s="38">
        <v>1.02</v>
      </c>
      <c r="P8" s="20" t="s">
        <v>13</v>
      </c>
      <c r="Q8" s="23">
        <f t="shared" si="2"/>
        <v>0.02</v>
      </c>
    </row>
    <row r="9" spans="3:17">
      <c r="C9" s="19" t="s">
        <v>95</v>
      </c>
      <c r="D9" s="1">
        <f t="shared" si="0"/>
        <v>1.758</v>
      </c>
      <c r="E9" s="1">
        <f>Error_Calculation!$N$9*Component_Selection!E84*0.001</f>
        <v>2</v>
      </c>
      <c r="F9" s="1">
        <f t="shared" si="1"/>
        <v>2.242</v>
      </c>
      <c r="G9" s="20" t="s">
        <v>13</v>
      </c>
      <c r="H9" s="21">
        <f>Component_Selection!F84+Error_Calculation!Q9</f>
        <v>0.121</v>
      </c>
      <c r="L9" s="37" t="s">
        <v>210</v>
      </c>
      <c r="M9" s="38">
        <v>9</v>
      </c>
      <c r="N9" s="38">
        <v>10</v>
      </c>
      <c r="O9" s="38">
        <v>11.2</v>
      </c>
      <c r="P9" s="20" t="s">
        <v>159</v>
      </c>
      <c r="Q9" s="23">
        <f t="shared" si="2"/>
        <v>0.12</v>
      </c>
    </row>
    <row r="10" spans="3:17">
      <c r="C10" s="19" t="s">
        <v>96</v>
      </c>
      <c r="D10" s="1">
        <f>D8-F9</f>
        <v>18.401</v>
      </c>
      <c r="E10" s="1">
        <f>E8-E9</f>
        <v>19</v>
      </c>
      <c r="F10" s="1">
        <f>F8-D9</f>
        <v>19.599</v>
      </c>
      <c r="G10" s="20" t="s">
        <v>13</v>
      </c>
      <c r="H10" s="21" t="s">
        <v>211</v>
      </c>
      <c r="L10" s="39" t="s">
        <v>212</v>
      </c>
      <c r="M10" s="4">
        <v>9</v>
      </c>
      <c r="N10" s="4">
        <v>10</v>
      </c>
      <c r="O10" s="4">
        <v>11.2</v>
      </c>
      <c r="P10" s="40" t="s">
        <v>159</v>
      </c>
      <c r="Q10" s="23">
        <f t="shared" si="2"/>
        <v>0.12</v>
      </c>
    </row>
    <row r="11" spans="3:17">
      <c r="C11" s="19" t="s">
        <v>97</v>
      </c>
      <c r="D11" s="1">
        <f t="shared" ref="D11:D18" si="3">E11*(1-H11)</f>
        <v>82.8570697674419</v>
      </c>
      <c r="E11" s="1">
        <f>(Component_Selection!E86+Component_Selection!E87)/Component_Selection!E87*Error_Calculation!$N$7</f>
        <v>84.7209302325581</v>
      </c>
      <c r="F11" s="1">
        <f t="shared" ref="F11:F18" si="4">E11*(1+H11)</f>
        <v>86.5847906976744</v>
      </c>
      <c r="G11" s="20" t="s">
        <v>13</v>
      </c>
      <c r="H11" s="21">
        <f>Component_Selection!F86+Component_Selection!F87+Error_Calculation!Q8</f>
        <v>0.022</v>
      </c>
      <c r="L11" s="37" t="s">
        <v>213</v>
      </c>
      <c r="M11" s="38">
        <v>1.47</v>
      </c>
      <c r="N11" s="38">
        <v>1.5</v>
      </c>
      <c r="O11" s="38">
        <v>1.53</v>
      </c>
      <c r="P11" s="20" t="s">
        <v>13</v>
      </c>
      <c r="Q11" s="23">
        <f t="shared" si="2"/>
        <v>0.02</v>
      </c>
    </row>
    <row r="12" spans="3:17">
      <c r="C12" s="19" t="s">
        <v>98</v>
      </c>
      <c r="D12" s="1">
        <f t="shared" si="3"/>
        <v>3.1644</v>
      </c>
      <c r="E12" s="1">
        <f>Error_Calculation!$N$9*Component_Selection!E86*0.001</f>
        <v>3.6</v>
      </c>
      <c r="F12" s="1">
        <f t="shared" si="4"/>
        <v>4.0356</v>
      </c>
      <c r="G12" s="20" t="s">
        <v>13</v>
      </c>
      <c r="H12" s="21">
        <f>Component_Selection!F86+Error_Calculation!Q10</f>
        <v>0.121</v>
      </c>
      <c r="L12" s="37" t="s">
        <v>214</v>
      </c>
      <c r="M12" s="38">
        <f>0.98*N12</f>
        <v>0.735</v>
      </c>
      <c r="N12" s="38">
        <v>0.75</v>
      </c>
      <c r="O12" s="38">
        <f>N12*1.02</f>
        <v>0.765</v>
      </c>
      <c r="P12" s="20" t="s">
        <v>13</v>
      </c>
      <c r="Q12" s="23">
        <f t="shared" si="2"/>
        <v>0.02</v>
      </c>
    </row>
    <row r="13" spans="3:17">
      <c r="C13" s="19" t="s">
        <v>99</v>
      </c>
      <c r="D13" s="1">
        <f>D11-F12</f>
        <v>78.8214697674419</v>
      </c>
      <c r="E13" s="1">
        <f>E11-E12</f>
        <v>81.1209302325582</v>
      </c>
      <c r="F13" s="1">
        <f>F11-D12</f>
        <v>83.4203906976744</v>
      </c>
      <c r="G13" s="20" t="s">
        <v>13</v>
      </c>
      <c r="H13" s="21" t="s">
        <v>211</v>
      </c>
      <c r="L13" s="41" t="s">
        <v>215</v>
      </c>
      <c r="M13" s="7">
        <v>1.5</v>
      </c>
      <c r="Q13" s="23"/>
    </row>
    <row r="14" spans="3:17">
      <c r="C14" s="19" t="s">
        <v>100</v>
      </c>
      <c r="D14" s="1">
        <f t="shared" si="3"/>
        <v>18.135</v>
      </c>
      <c r="E14" s="1">
        <f>(Component_Selection!E88+Error_Calculation!N17)/Error_Calculation!N17*Error_Calculation!N16</f>
        <v>19.5</v>
      </c>
      <c r="F14" s="1">
        <f t="shared" si="4"/>
        <v>20.865</v>
      </c>
      <c r="G14" s="22" t="s">
        <v>13</v>
      </c>
      <c r="H14" s="23">
        <f>Error_Calculation!Q16+Error_Calculation!Q17</f>
        <v>0.07</v>
      </c>
      <c r="L14" s="37" t="s">
        <v>216</v>
      </c>
      <c r="M14" s="38">
        <v>9</v>
      </c>
      <c r="N14" s="38">
        <v>10</v>
      </c>
      <c r="O14" s="38">
        <v>11</v>
      </c>
      <c r="P14" s="20" t="s">
        <v>159</v>
      </c>
      <c r="Q14" s="23">
        <f t="shared" ref="Q14:Q17" si="5">(O14-N14)/N14</f>
        <v>0.1</v>
      </c>
    </row>
    <row r="15" spans="3:17">
      <c r="C15" s="19" t="s">
        <v>101</v>
      </c>
      <c r="D15" s="1">
        <f t="shared" si="3"/>
        <v>0.0144</v>
      </c>
      <c r="E15" s="1">
        <f>Component_Selection!F16*Error_Calculation!N22/Component_Selection!E89*0.001</f>
        <v>0.032</v>
      </c>
      <c r="F15" s="1">
        <f t="shared" si="4"/>
        <v>0.0496</v>
      </c>
      <c r="G15" s="20" t="s">
        <v>22</v>
      </c>
      <c r="H15" s="21">
        <f>Component_Selection!F89+Error_Calculation!Q22</f>
        <v>0.55</v>
      </c>
      <c r="L15" s="39" t="s">
        <v>217</v>
      </c>
      <c r="M15" s="4">
        <v>45</v>
      </c>
      <c r="N15" s="4">
        <v>50</v>
      </c>
      <c r="O15" s="4">
        <v>55</v>
      </c>
      <c r="P15" s="40" t="s">
        <v>159</v>
      </c>
      <c r="Q15" s="23">
        <f t="shared" si="5"/>
        <v>0.1</v>
      </c>
    </row>
    <row r="16" spans="3:17">
      <c r="C16" s="19" t="s">
        <v>102</v>
      </c>
      <c r="D16" s="1">
        <f t="shared" si="3"/>
        <v>1.17</v>
      </c>
      <c r="E16" s="24">
        <f>Component_Selection!E91*Error_Calculation!N11/Error_Calculation!N14</f>
        <v>1.5</v>
      </c>
      <c r="F16" s="1">
        <f t="shared" si="4"/>
        <v>1.83</v>
      </c>
      <c r="G16" s="22" t="s">
        <v>54</v>
      </c>
      <c r="H16" s="23">
        <f>Error_Calculation!Q11+Error_Calculation!Q14+Component_Selection!F91</f>
        <v>0.22</v>
      </c>
      <c r="L16" s="41" t="s">
        <v>218</v>
      </c>
      <c r="M16" s="38">
        <v>1.47</v>
      </c>
      <c r="N16" s="38">
        <v>1.5</v>
      </c>
      <c r="O16" s="38">
        <v>1.53</v>
      </c>
      <c r="P16" s="22" t="s">
        <v>13</v>
      </c>
      <c r="Q16" s="23">
        <f t="shared" si="5"/>
        <v>0.02</v>
      </c>
    </row>
    <row r="17" ht="15" spans="3:17">
      <c r="C17" s="19" t="s">
        <v>103</v>
      </c>
      <c r="D17" s="1">
        <f t="shared" si="3"/>
        <v>0.585</v>
      </c>
      <c r="E17" s="24">
        <f>Error_Calculation!N12*Component_Selection!E91/Error_Calculation!N14</f>
        <v>0.75</v>
      </c>
      <c r="F17" s="1">
        <f t="shared" si="4"/>
        <v>0.915</v>
      </c>
      <c r="G17" s="22" t="s">
        <v>54</v>
      </c>
      <c r="H17" s="23">
        <f>Error_Calculation!Q12+Error_Calculation!Q14+Component_Selection!F91</f>
        <v>0.22</v>
      </c>
      <c r="L17" s="42" t="s">
        <v>77</v>
      </c>
      <c r="M17" s="4">
        <v>28.5</v>
      </c>
      <c r="N17" s="43">
        <v>30</v>
      </c>
      <c r="O17" s="4">
        <v>31.5</v>
      </c>
      <c r="P17" s="29" t="s">
        <v>73</v>
      </c>
      <c r="Q17" s="23">
        <f t="shared" si="5"/>
        <v>0.05</v>
      </c>
    </row>
    <row r="18" spans="3:17">
      <c r="C18" s="25" t="s">
        <v>104</v>
      </c>
      <c r="D18" s="1">
        <f t="shared" si="3"/>
        <v>0.117</v>
      </c>
      <c r="E18" s="24">
        <f>Component_Selection!E91*Error_Calculation!N12/Error_Calculation!N15</f>
        <v>0.15</v>
      </c>
      <c r="F18" s="1">
        <f t="shared" si="4"/>
        <v>0.183</v>
      </c>
      <c r="G18" s="22" t="s">
        <v>54</v>
      </c>
      <c r="H18" s="23">
        <f>Error_Calculation!Q12+Error_Calculation!Q15+Component_Selection!F91</f>
        <v>0.22</v>
      </c>
      <c r="L18" s="41"/>
      <c r="M18" s="38"/>
      <c r="N18" s="7"/>
      <c r="O18" s="38"/>
      <c r="P18" s="22"/>
      <c r="Q18" s="23"/>
    </row>
    <row r="19" spans="3:17">
      <c r="C19" s="14" t="s">
        <v>219</v>
      </c>
      <c r="D19" s="15" t="s">
        <v>6</v>
      </c>
      <c r="E19" s="15" t="s">
        <v>7</v>
      </c>
      <c r="F19" s="16" t="s">
        <v>8</v>
      </c>
      <c r="G19" s="17"/>
      <c r="H19" s="18" t="s">
        <v>89</v>
      </c>
      <c r="L19" s="41" t="s">
        <v>220</v>
      </c>
      <c r="M19" s="7">
        <v>2</v>
      </c>
      <c r="N19" s="7">
        <v>3</v>
      </c>
      <c r="O19" s="7">
        <v>4</v>
      </c>
      <c r="P19" s="22" t="s">
        <v>20</v>
      </c>
      <c r="Q19" s="23">
        <f t="shared" ref="Q19:Q22" si="6">(O19-N19)/N19</f>
        <v>0.333333333333333</v>
      </c>
    </row>
    <row r="20" spans="3:17">
      <c r="C20" s="19" t="s">
        <v>92</v>
      </c>
      <c r="D20" s="1">
        <f t="shared" ref="D20:D23" si="7">E20*(1-H20)</f>
        <v>7.67015154995059</v>
      </c>
      <c r="E20" s="1">
        <f>H2/Component_Selection!E83</f>
        <v>8</v>
      </c>
      <c r="F20" s="1">
        <f t="shared" ref="F20:F23" si="8">E20*(1+H20)</f>
        <v>8.32984845004941</v>
      </c>
      <c r="G20" s="20" t="s">
        <v>22</v>
      </c>
      <c r="H20" s="21">
        <f>SQRT(Error_Calculation!Q20^2+Component_Selection!F83^2)</f>
        <v>0.0412310562561766</v>
      </c>
      <c r="L20" s="41" t="s">
        <v>205</v>
      </c>
      <c r="M20" s="7">
        <v>24</v>
      </c>
      <c r="N20" s="7">
        <v>25</v>
      </c>
      <c r="O20" s="7">
        <v>26</v>
      </c>
      <c r="P20" s="22" t="s">
        <v>20</v>
      </c>
      <c r="Q20" s="23">
        <f t="shared" si="6"/>
        <v>0.04</v>
      </c>
    </row>
    <row r="21" spans="3:17">
      <c r="C21" s="19" t="s">
        <v>93</v>
      </c>
      <c r="D21" s="1">
        <f t="shared" si="7"/>
        <v>0.399910020240893</v>
      </c>
      <c r="E21" s="1">
        <f>Error_Calculation!N19/Component_Selection!E83</f>
        <v>0.6</v>
      </c>
      <c r="F21" s="1">
        <f t="shared" si="8"/>
        <v>0.800089979759107</v>
      </c>
      <c r="G21" s="20" t="s">
        <v>22</v>
      </c>
      <c r="H21" s="21">
        <f>SQRT(Error_Calculation!Q19^2+Component_Selection!F83^2)</f>
        <v>0.333483299598512</v>
      </c>
      <c r="L21" s="41" t="s">
        <v>205</v>
      </c>
      <c r="M21" s="7">
        <v>38.4</v>
      </c>
      <c r="N21" s="7">
        <v>40</v>
      </c>
      <c r="O21" s="7">
        <v>41.6</v>
      </c>
      <c r="P21" s="22" t="s">
        <v>20</v>
      </c>
      <c r="Q21" s="23">
        <f t="shared" si="6"/>
        <v>0.04</v>
      </c>
    </row>
    <row r="22" spans="3:17">
      <c r="C22" s="19" t="s">
        <v>94</v>
      </c>
      <c r="D22" s="1">
        <f t="shared" si="7"/>
        <v>20.6836030973603</v>
      </c>
      <c r="E22" s="1">
        <f>(Component_Selection!E84+Component_Selection!E85)/Component_Selection!E85*Error_Calculation!$N$7</f>
        <v>21</v>
      </c>
      <c r="F22" s="1">
        <f t="shared" si="8"/>
        <v>21.3163969026397</v>
      </c>
      <c r="G22" s="20" t="s">
        <v>13</v>
      </c>
      <c r="H22" s="21">
        <f>SQRT(Component_Selection!F84^2+Component_Selection!F85^2+Error_Calculation!Q7^2)</f>
        <v>0.0150665191733193</v>
      </c>
      <c r="L22" s="41" t="s">
        <v>221</v>
      </c>
      <c r="M22" s="7">
        <v>15</v>
      </c>
      <c r="N22" s="7">
        <v>20</v>
      </c>
      <c r="O22" s="7">
        <v>25</v>
      </c>
      <c r="P22" s="22" t="s">
        <v>159</v>
      </c>
      <c r="Q22" s="23">
        <f t="shared" si="6"/>
        <v>0.25</v>
      </c>
    </row>
    <row r="23" spans="3:17">
      <c r="C23" s="19" t="s">
        <v>95</v>
      </c>
      <c r="D23" s="1">
        <f t="shared" si="7"/>
        <v>1.75999166681134</v>
      </c>
      <c r="E23" s="1">
        <f>Error_Calculation!$N$9*Component_Selection!E84*0.001</f>
        <v>2</v>
      </c>
      <c r="F23" s="1">
        <f t="shared" si="8"/>
        <v>2.24000833318866</v>
      </c>
      <c r="G23" s="20" t="s">
        <v>13</v>
      </c>
      <c r="H23" s="21">
        <f>SQRT(Component_Selection!F84^2+Error_Calculation!Q9^2)</f>
        <v>0.120004166594331</v>
      </c>
      <c r="L23" s="41" t="s">
        <v>222</v>
      </c>
      <c r="N23" s="7">
        <v>400</v>
      </c>
      <c r="P23" s="22" t="s">
        <v>159</v>
      </c>
      <c r="Q23" s="23"/>
    </row>
    <row r="24" spans="3:17">
      <c r="C24" s="19" t="s">
        <v>96</v>
      </c>
      <c r="D24" s="1">
        <f>D22-F23</f>
        <v>18.4435947641716</v>
      </c>
      <c r="E24" s="1">
        <f>E22-E23</f>
        <v>19</v>
      </c>
      <c r="F24" s="1">
        <f>F22-D23</f>
        <v>19.5564052358284</v>
      </c>
      <c r="G24" s="20" t="s">
        <v>13</v>
      </c>
      <c r="H24" s="21" t="s">
        <v>211</v>
      </c>
      <c r="L24" s="41"/>
      <c r="N24" s="7"/>
      <c r="P24" s="22"/>
      <c r="Q24" s="23"/>
    </row>
    <row r="25" spans="3:17">
      <c r="C25" s="19" t="s">
        <v>97</v>
      </c>
      <c r="D25" s="1">
        <f t="shared" ref="D25:D32" si="9">E25*(1-H25)</f>
        <v>83.0222808632571</v>
      </c>
      <c r="E25" s="1">
        <f>(Component_Selection!E86+Component_Selection!E87)/Component_Selection!E87*Error_Calculation!$N$7</f>
        <v>84.7209302325581</v>
      </c>
      <c r="F25" s="1">
        <f t="shared" ref="F25:F32" si="10">E25*(1+H25)</f>
        <v>86.4195796018592</v>
      </c>
      <c r="G25" s="20" t="s">
        <v>13</v>
      </c>
      <c r="H25" s="21">
        <f>SQRT(Component_Selection!F86^2+Component_Selection!F87^2+Error_Calculation!Q8^2)</f>
        <v>0.0200499376557634</v>
      </c>
      <c r="L25" s="41" t="s">
        <v>223</v>
      </c>
      <c r="N25" s="7"/>
      <c r="O25">
        <v>1.1</v>
      </c>
      <c r="P25" s="22" t="s">
        <v>224</v>
      </c>
      <c r="Q25" s="23"/>
    </row>
    <row r="26" spans="3:17">
      <c r="C26" s="19" t="s">
        <v>98</v>
      </c>
      <c r="D26" s="1">
        <f t="shared" si="9"/>
        <v>3.16798500026041</v>
      </c>
      <c r="E26" s="1">
        <f>Error_Calculation!$N$9*Component_Selection!E86*0.001</f>
        <v>3.6</v>
      </c>
      <c r="F26" s="1">
        <f t="shared" si="10"/>
        <v>4.03201499973959</v>
      </c>
      <c r="G26" s="20" t="s">
        <v>13</v>
      </c>
      <c r="H26" s="21">
        <f>SQRT(Component_Selection!F86^2+Error_Calculation!Q10^2)</f>
        <v>0.120004166594331</v>
      </c>
      <c r="L26" s="41" t="s">
        <v>225</v>
      </c>
      <c r="M26">
        <v>10</v>
      </c>
      <c r="N26" s="7">
        <v>14.5</v>
      </c>
      <c r="P26" s="22"/>
      <c r="Q26" s="23"/>
    </row>
    <row r="27" spans="3:17">
      <c r="C27" s="19" t="s">
        <v>99</v>
      </c>
      <c r="D27" s="1">
        <f>D25-F26</f>
        <v>78.9902658635175</v>
      </c>
      <c r="E27" s="1">
        <f>E25-E26</f>
        <v>81.1209302325582</v>
      </c>
      <c r="F27" s="1">
        <f>F25-D26</f>
        <v>83.2515946015988</v>
      </c>
      <c r="G27" s="20" t="s">
        <v>13</v>
      </c>
      <c r="H27" s="21" t="s">
        <v>211</v>
      </c>
      <c r="L27" s="41"/>
      <c r="M27" s="7"/>
      <c r="N27" s="7"/>
      <c r="O27" s="7"/>
      <c r="P27" s="22"/>
      <c r="Q27" s="23"/>
    </row>
    <row r="28" spans="3:18">
      <c r="C28" s="19" t="s">
        <v>100</v>
      </c>
      <c r="D28" s="1">
        <f t="shared" si="9"/>
        <v>18.4498928626088</v>
      </c>
      <c r="E28" s="1">
        <f>(Component_Selection!E88+Error_Calculation!N17)/Error_Calculation!N17*Error_Calculation!N16</f>
        <v>19.5</v>
      </c>
      <c r="F28" s="1">
        <f t="shared" si="10"/>
        <v>20.5501071373912</v>
      </c>
      <c r="G28" s="22" t="s">
        <v>13</v>
      </c>
      <c r="H28" s="23">
        <f>SQRT(Error_Calculation!Q16^2+Error_Calculation!Q17^2)</f>
        <v>0.053851648071345</v>
      </c>
      <c r="L28" s="44"/>
      <c r="M28" s="7"/>
      <c r="N28" s="7"/>
      <c r="O28" s="7"/>
      <c r="P28" s="7"/>
      <c r="Q28" s="23"/>
      <c r="R28">
        <f>(33-10)/(1.1*1.2)</f>
        <v>17.4242424242424</v>
      </c>
    </row>
    <row r="29" spans="3:16">
      <c r="C29" s="19" t="s">
        <v>101</v>
      </c>
      <c r="D29" s="1">
        <f t="shared" si="9"/>
        <v>0.0195036005185494</v>
      </c>
      <c r="E29" s="1">
        <f>Component_Selection!F16*Error_Calculation!N22/Component_Selection!E89*0.001</f>
        <v>0.032</v>
      </c>
      <c r="F29" s="1">
        <f t="shared" si="10"/>
        <v>0.0444963994814506</v>
      </c>
      <c r="G29" s="20" t="s">
        <v>22</v>
      </c>
      <c r="H29" s="21">
        <f>SQRT(Component_Selection!F89^2+Error_Calculation!Q22^2)</f>
        <v>0.390512483795333</v>
      </c>
      <c r="L29" s="44" t="s">
        <v>161</v>
      </c>
      <c r="M29" s="7"/>
      <c r="N29" s="7"/>
      <c r="O29" s="7">
        <v>1</v>
      </c>
      <c r="P29" s="7" t="s">
        <v>162</v>
      </c>
    </row>
    <row r="30" spans="3:8">
      <c r="C30" s="19" t="s">
        <v>102</v>
      </c>
      <c r="D30" s="1">
        <f t="shared" si="9"/>
        <v>1.28575714714371</v>
      </c>
      <c r="E30" s="24">
        <f>Component_Selection!E91*Error_Calculation!N11/Error_Calculation!N14</f>
        <v>1.5</v>
      </c>
      <c r="F30" s="1">
        <f t="shared" si="10"/>
        <v>1.71424285285629</v>
      </c>
      <c r="G30" s="22" t="s">
        <v>54</v>
      </c>
      <c r="H30" s="23">
        <f>SQRT(Error_Calculation!Q11^2+Error_Calculation!Q14^2+Component_Selection!F91^2)</f>
        <v>0.142828568570857</v>
      </c>
    </row>
    <row r="31" spans="3:8">
      <c r="C31" s="19" t="s">
        <v>103</v>
      </c>
      <c r="D31" s="1">
        <f t="shared" si="9"/>
        <v>0.642878573571857</v>
      </c>
      <c r="E31" s="24">
        <f>Error_Calculation!N12*Component_Selection!E91/Error_Calculation!N14</f>
        <v>0.75</v>
      </c>
      <c r="F31" s="1">
        <f t="shared" si="10"/>
        <v>0.857121426428143</v>
      </c>
      <c r="G31" s="22" t="s">
        <v>54</v>
      </c>
      <c r="H31" s="23">
        <f>SQRT(Error_Calculation!Q12^2+Error_Calculation!Q14^2+Component_Selection!F91^2)</f>
        <v>0.142828568570857</v>
      </c>
    </row>
    <row r="32" spans="3:8">
      <c r="C32" s="26" t="s">
        <v>104</v>
      </c>
      <c r="D32" s="27">
        <f t="shared" si="9"/>
        <v>0.128575714714371</v>
      </c>
      <c r="E32" s="28">
        <f>Component_Selection!E91*Error_Calculation!N12/Error_Calculation!N15</f>
        <v>0.15</v>
      </c>
      <c r="F32" s="27">
        <f t="shared" si="10"/>
        <v>0.171424285285629</v>
      </c>
      <c r="G32" s="29" t="s">
        <v>54</v>
      </c>
      <c r="H32" s="30">
        <f>SQRT(Error_Calculation!Q12^2+Error_Calculation!Q15^2+Component_Selection!F91^2)</f>
        <v>0.142828568570857</v>
      </c>
    </row>
  </sheetData>
  <mergeCells count="1">
    <mergeCell ref="L5:Q5"/>
  </mergeCells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B3:V38"/>
  <sheetViews>
    <sheetView zoomScale="70" zoomScaleNormal="70" workbookViewId="0">
      <selection activeCell="D12" sqref="D12"/>
    </sheetView>
  </sheetViews>
  <sheetFormatPr defaultColWidth="9" defaultRowHeight="13.5"/>
  <cols>
    <col min="3" max="3" width="11.6666666666667" customWidth="1"/>
    <col min="5" max="5" width="12.1083333333333" customWidth="1"/>
  </cols>
  <sheetData>
    <row r="3" spans="2:22">
      <c r="B3" s="11" t="s">
        <v>226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</row>
    <row r="4" spans="2:22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</row>
    <row r="6" spans="3:5">
      <c r="C6" t="s">
        <v>22</v>
      </c>
      <c r="D6">
        <v>20</v>
      </c>
      <c r="E6" t="s">
        <v>151</v>
      </c>
    </row>
    <row r="7" spans="3:5">
      <c r="C7" t="s">
        <v>156</v>
      </c>
      <c r="D7">
        <v>30</v>
      </c>
      <c r="E7" t="s">
        <v>35</v>
      </c>
    </row>
    <row r="8" spans="3:5">
      <c r="C8" t="s">
        <v>157</v>
      </c>
      <c r="D8">
        <v>130</v>
      </c>
      <c r="E8" t="s">
        <v>35</v>
      </c>
    </row>
    <row r="9" spans="3:5">
      <c r="C9" t="s">
        <v>158</v>
      </c>
      <c r="D9">
        <v>20</v>
      </c>
      <c r="E9" t="s">
        <v>159</v>
      </c>
    </row>
    <row r="10" spans="3:5">
      <c r="C10" t="s">
        <v>136</v>
      </c>
      <c r="D10">
        <v>1.5</v>
      </c>
      <c r="E10" t="s">
        <v>22</v>
      </c>
    </row>
    <row r="11" spans="3:5">
      <c r="C11" t="s">
        <v>161</v>
      </c>
      <c r="D11">
        <v>1</v>
      </c>
      <c r="E11" t="s">
        <v>162</v>
      </c>
    </row>
    <row r="12" spans="3:5">
      <c r="C12" t="s">
        <v>227</v>
      </c>
      <c r="D12">
        <v>60</v>
      </c>
      <c r="E12" t="s">
        <v>13</v>
      </c>
    </row>
    <row r="14" spans="2:12">
      <c r="B14" t="s">
        <v>166</v>
      </c>
      <c r="C14" s="13" t="s">
        <v>228</v>
      </c>
      <c r="D14" s="13" t="s">
        <v>229</v>
      </c>
      <c r="E14" s="13" t="s">
        <v>230</v>
      </c>
      <c r="F14" s="13" t="s">
        <v>231</v>
      </c>
      <c r="G14" s="13" t="s">
        <v>232</v>
      </c>
      <c r="H14" s="13" t="s">
        <v>233</v>
      </c>
      <c r="I14" s="13" t="s">
        <v>234</v>
      </c>
      <c r="J14" s="13" t="s">
        <v>235</v>
      </c>
      <c r="K14" s="13" t="s">
        <v>236</v>
      </c>
      <c r="L14" s="13" t="s">
        <v>237</v>
      </c>
    </row>
    <row r="15" spans="3:11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12">
      <c r="B16">
        <f>(D16-D15)/(C16-C15)</f>
        <v>0.124502416018684</v>
      </c>
      <c r="C16">
        <f t="shared" ref="C16" si="0">I16/$D$9</f>
        <v>0.602397948556636</v>
      </c>
      <c r="D16">
        <f>D15+$D$10*0.05</f>
        <v>0.075</v>
      </c>
      <c r="E16">
        <f t="shared" ref="E16:E35" si="1">$D$11*D16</f>
        <v>0.075</v>
      </c>
      <c r="F16">
        <f t="shared" ref="F16" si="2">SQRT(D16/$D$6)</f>
        <v>0.0612372435695795</v>
      </c>
      <c r="G16">
        <f t="shared" ref="G16" si="3">E16*$D$7</f>
        <v>2.25</v>
      </c>
      <c r="H16">
        <f t="shared" ref="H16:H35" si="4">F16*($D$8+$D$7)</f>
        <v>9.79795897113271</v>
      </c>
      <c r="I16">
        <f t="shared" ref="I16:I18" si="5">G16+H16</f>
        <v>12.0479589711327</v>
      </c>
      <c r="J16">
        <f t="shared" ref="J16" si="6">$D$12-E16</f>
        <v>59.925</v>
      </c>
      <c r="K16">
        <f t="shared" ref="K16" si="7">J16*D16</f>
        <v>4.494375</v>
      </c>
      <c r="L16">
        <f>AVERAGE(K16,K15)*(C16-C15)</f>
        <v>1.35370114002211</v>
      </c>
    </row>
    <row r="17" spans="2:12">
      <c r="B17">
        <f t="shared" ref="B17:B31" si="8">(D17-D16)/(C17-C16)</f>
        <v>0.237776410521935</v>
      </c>
      <c r="C17">
        <f t="shared" ref="C17:C31" si="9">I17/$D$9</f>
        <v>0.917820323027551</v>
      </c>
      <c r="D17">
        <f t="shared" ref="D17:D31" si="10">D16+$D$10*0.05</f>
        <v>0.15</v>
      </c>
      <c r="E17">
        <f t="shared" si="1"/>
        <v>0.15</v>
      </c>
      <c r="F17">
        <f t="shared" ref="F17:F31" si="11">SQRT(D17/$D$6)</f>
        <v>0.0866025403784439</v>
      </c>
      <c r="G17">
        <f t="shared" ref="G17:G31" si="12">E17*$D$7</f>
        <v>4.5</v>
      </c>
      <c r="H17">
        <f t="shared" si="4"/>
        <v>13.856406460551</v>
      </c>
      <c r="I17">
        <f t="shared" si="5"/>
        <v>18.356406460551</v>
      </c>
      <c r="J17">
        <f t="shared" ref="J17:J31" si="13">$D$12-E17</f>
        <v>59.85</v>
      </c>
      <c r="K17">
        <f t="shared" ref="K17:K31" si="14">J17*D17</f>
        <v>8.9775</v>
      </c>
      <c r="L17">
        <f t="shared" ref="L17:L35" si="15">AVERAGE(K17,K16)*(C17-C16)</f>
        <v>2.12466540053768</v>
      </c>
    </row>
    <row r="18" spans="2:12">
      <c r="B18">
        <f t="shared" si="8"/>
        <v>0.279633910625659</v>
      </c>
      <c r="C18">
        <f t="shared" si="9"/>
        <v>1.18602813742386</v>
      </c>
      <c r="D18">
        <f t="shared" si="10"/>
        <v>0.225</v>
      </c>
      <c r="E18">
        <f t="shared" si="1"/>
        <v>0.225</v>
      </c>
      <c r="F18">
        <f t="shared" si="11"/>
        <v>0.106066017177982</v>
      </c>
      <c r="G18">
        <f t="shared" si="12"/>
        <v>6.75</v>
      </c>
      <c r="H18">
        <f t="shared" si="4"/>
        <v>16.9705627484771</v>
      </c>
      <c r="I18">
        <f t="shared" si="5"/>
        <v>23.7205627484771</v>
      </c>
      <c r="J18">
        <f t="shared" si="13"/>
        <v>59.775</v>
      </c>
      <c r="K18">
        <f t="shared" si="14"/>
        <v>13.449375</v>
      </c>
      <c r="L18">
        <f t="shared" si="15"/>
        <v>3.00753156374458</v>
      </c>
    </row>
    <row r="19" spans="2:12">
      <c r="B19">
        <f t="shared" si="8"/>
        <v>0.307669890782759</v>
      </c>
      <c r="C19">
        <f t="shared" si="9"/>
        <v>1.42979589711327</v>
      </c>
      <c r="D19">
        <f t="shared" si="10"/>
        <v>0.3</v>
      </c>
      <c r="E19">
        <f t="shared" si="1"/>
        <v>0.3</v>
      </c>
      <c r="F19">
        <f t="shared" si="11"/>
        <v>0.122474487139159</v>
      </c>
      <c r="G19">
        <f t="shared" si="12"/>
        <v>9</v>
      </c>
      <c r="H19">
        <f t="shared" si="4"/>
        <v>19.5959179422654</v>
      </c>
      <c r="I19">
        <f t="shared" ref="I19:I31" si="16">G19+H19</f>
        <v>28.5959179422654</v>
      </c>
      <c r="J19">
        <f t="shared" si="13"/>
        <v>59.7</v>
      </c>
      <c r="K19">
        <f t="shared" si="14"/>
        <v>17.91</v>
      </c>
      <c r="L19">
        <f t="shared" si="15"/>
        <v>3.82220229450512</v>
      </c>
    </row>
    <row r="20" spans="2:12">
      <c r="B20">
        <f t="shared" si="8"/>
        <v>0.328732224862763</v>
      </c>
      <c r="C20">
        <f t="shared" si="9"/>
        <v>1.65794511501033</v>
      </c>
      <c r="D20">
        <f t="shared" si="10"/>
        <v>0.375</v>
      </c>
      <c r="E20">
        <f t="shared" si="1"/>
        <v>0.375</v>
      </c>
      <c r="F20">
        <f t="shared" si="11"/>
        <v>0.136930639376292</v>
      </c>
      <c r="G20">
        <f t="shared" si="12"/>
        <v>11.25</v>
      </c>
      <c r="H20">
        <f t="shared" si="4"/>
        <v>21.9089023002066</v>
      </c>
      <c r="I20">
        <f t="shared" si="16"/>
        <v>33.1589023002066</v>
      </c>
      <c r="J20">
        <f t="shared" si="13"/>
        <v>59.625</v>
      </c>
      <c r="K20">
        <f t="shared" si="14"/>
        <v>22.359375</v>
      </c>
      <c r="L20">
        <f t="shared" si="15"/>
        <v>4.59371320572673</v>
      </c>
    </row>
    <row r="21" spans="2:12">
      <c r="B21">
        <f t="shared" si="8"/>
        <v>0.345534725023904</v>
      </c>
      <c r="C21">
        <f t="shared" si="9"/>
        <v>1.875</v>
      </c>
      <c r="D21">
        <f t="shared" si="10"/>
        <v>0.45</v>
      </c>
      <c r="E21">
        <f t="shared" si="1"/>
        <v>0.45</v>
      </c>
      <c r="F21">
        <f t="shared" si="11"/>
        <v>0.15</v>
      </c>
      <c r="G21">
        <f t="shared" si="12"/>
        <v>13.5</v>
      </c>
      <c r="H21">
        <f t="shared" si="4"/>
        <v>24</v>
      </c>
      <c r="I21">
        <f t="shared" si="16"/>
        <v>37.5</v>
      </c>
      <c r="J21">
        <f t="shared" si="13"/>
        <v>59.55</v>
      </c>
      <c r="K21">
        <f t="shared" si="14"/>
        <v>26.7975</v>
      </c>
      <c r="L21">
        <f t="shared" si="15"/>
        <v>5.33486992478825</v>
      </c>
    </row>
    <row r="22" spans="2:12">
      <c r="B22">
        <f t="shared" si="8"/>
        <v>0.359456835390247</v>
      </c>
      <c r="C22">
        <f t="shared" si="9"/>
        <v>2.08364813968157</v>
      </c>
      <c r="D22">
        <f t="shared" si="10"/>
        <v>0.525</v>
      </c>
      <c r="E22">
        <f t="shared" si="1"/>
        <v>0.525</v>
      </c>
      <c r="F22">
        <f t="shared" si="11"/>
        <v>0.162018517460197</v>
      </c>
      <c r="G22">
        <f t="shared" si="12"/>
        <v>15.75</v>
      </c>
      <c r="H22">
        <f t="shared" si="4"/>
        <v>25.9229627936314</v>
      </c>
      <c r="I22">
        <f t="shared" si="16"/>
        <v>41.6729627936314</v>
      </c>
      <c r="J22">
        <f t="shared" si="13"/>
        <v>59.475</v>
      </c>
      <c r="K22">
        <f t="shared" si="14"/>
        <v>31.224375</v>
      </c>
      <c r="L22">
        <f t="shared" si="15"/>
        <v>6.05307813979335</v>
      </c>
    </row>
    <row r="23" spans="2:12">
      <c r="B23">
        <f t="shared" si="8"/>
        <v>0.371300902922151</v>
      </c>
      <c r="C23">
        <f t="shared" si="9"/>
        <v>2.2856406460551</v>
      </c>
      <c r="D23">
        <f t="shared" si="10"/>
        <v>0.6</v>
      </c>
      <c r="E23">
        <f t="shared" si="1"/>
        <v>0.6</v>
      </c>
      <c r="F23">
        <f t="shared" si="11"/>
        <v>0.173205080756888</v>
      </c>
      <c r="G23">
        <f t="shared" si="12"/>
        <v>18</v>
      </c>
      <c r="H23">
        <f t="shared" si="4"/>
        <v>27.712812921102</v>
      </c>
      <c r="I23">
        <f t="shared" si="16"/>
        <v>45.712812921102</v>
      </c>
      <c r="J23">
        <f t="shared" si="13"/>
        <v>59.4</v>
      </c>
      <c r="K23">
        <f t="shared" si="14"/>
        <v>35.64</v>
      </c>
      <c r="L23">
        <f t="shared" si="15"/>
        <v>6.7530513466748</v>
      </c>
    </row>
    <row r="24" spans="2:12">
      <c r="B24">
        <f t="shared" si="8"/>
        <v>0.381576082948439</v>
      </c>
      <c r="C24">
        <f t="shared" si="9"/>
        <v>2.48219384566991</v>
      </c>
      <c r="D24">
        <f t="shared" si="10"/>
        <v>0.675</v>
      </c>
      <c r="E24">
        <f t="shared" si="1"/>
        <v>0.675</v>
      </c>
      <c r="F24">
        <f t="shared" si="11"/>
        <v>0.183711730708738</v>
      </c>
      <c r="G24">
        <f t="shared" si="12"/>
        <v>20.25</v>
      </c>
      <c r="H24">
        <f t="shared" si="4"/>
        <v>29.3938769133981</v>
      </c>
      <c r="I24">
        <f t="shared" si="16"/>
        <v>49.6438769133981</v>
      </c>
      <c r="J24">
        <f t="shared" si="13"/>
        <v>59.325</v>
      </c>
      <c r="K24">
        <f t="shared" si="14"/>
        <v>40.044375</v>
      </c>
      <c r="L24">
        <f t="shared" si="15"/>
        <v>7.43800303354838</v>
      </c>
    </row>
    <row r="25" spans="2:12">
      <c r="B25">
        <f t="shared" si="8"/>
        <v>0.390626031877197</v>
      </c>
      <c r="C25">
        <f t="shared" si="9"/>
        <v>2.67419333848297</v>
      </c>
      <c r="D25">
        <f t="shared" si="10"/>
        <v>0.75</v>
      </c>
      <c r="E25">
        <f t="shared" si="1"/>
        <v>0.75</v>
      </c>
      <c r="F25">
        <f t="shared" si="11"/>
        <v>0.193649167310371</v>
      </c>
      <c r="G25">
        <f t="shared" si="12"/>
        <v>22.5</v>
      </c>
      <c r="H25">
        <f t="shared" si="4"/>
        <v>30.9838667696593</v>
      </c>
      <c r="I25">
        <f t="shared" si="16"/>
        <v>53.4838667696593</v>
      </c>
      <c r="J25">
        <f t="shared" si="13"/>
        <v>59.25</v>
      </c>
      <c r="K25">
        <f t="shared" si="14"/>
        <v>44.4375</v>
      </c>
      <c r="L25">
        <f t="shared" si="15"/>
        <v>8.11023857594816</v>
      </c>
    </row>
    <row r="26" spans="2:12">
      <c r="B26">
        <f t="shared" si="8"/>
        <v>0.398693682924453</v>
      </c>
      <c r="C26">
        <f t="shared" si="9"/>
        <v>2.86230768092719</v>
      </c>
      <c r="D26">
        <f t="shared" si="10"/>
        <v>0.825</v>
      </c>
      <c r="E26">
        <f t="shared" si="1"/>
        <v>0.825</v>
      </c>
      <c r="F26">
        <f t="shared" si="11"/>
        <v>0.203100960115899</v>
      </c>
      <c r="G26">
        <f t="shared" si="12"/>
        <v>24.75</v>
      </c>
      <c r="H26">
        <f t="shared" si="4"/>
        <v>32.4961536185438</v>
      </c>
      <c r="I26">
        <f t="shared" si="16"/>
        <v>57.2461536185438</v>
      </c>
      <c r="J26">
        <f t="shared" si="13"/>
        <v>59.175</v>
      </c>
      <c r="K26">
        <f t="shared" si="14"/>
        <v>48.819375</v>
      </c>
      <c r="L26">
        <f t="shared" si="15"/>
        <v>8.77147785951417</v>
      </c>
    </row>
    <row r="27" spans="2:12">
      <c r="B27">
        <f t="shared" si="8"/>
        <v>0.405957081504312</v>
      </c>
      <c r="C27">
        <f t="shared" si="9"/>
        <v>3.04705627484771</v>
      </c>
      <c r="D27">
        <f t="shared" si="10"/>
        <v>0.9</v>
      </c>
      <c r="E27">
        <f t="shared" si="1"/>
        <v>0.9</v>
      </c>
      <c r="F27">
        <f t="shared" si="11"/>
        <v>0.212132034355964</v>
      </c>
      <c r="G27">
        <f t="shared" si="12"/>
        <v>27</v>
      </c>
      <c r="H27">
        <f t="shared" si="4"/>
        <v>33.9411254969543</v>
      </c>
      <c r="I27">
        <f t="shared" si="16"/>
        <v>60.9411254969543</v>
      </c>
      <c r="J27">
        <f t="shared" si="13"/>
        <v>59.1</v>
      </c>
      <c r="K27">
        <f t="shared" si="14"/>
        <v>53.19</v>
      </c>
      <c r="L27">
        <f t="shared" si="15"/>
        <v>9.42304429898058</v>
      </c>
    </row>
    <row r="28" spans="2:12">
      <c r="B28">
        <f t="shared" si="8"/>
        <v>0.41255056166126</v>
      </c>
      <c r="C28">
        <f t="shared" si="9"/>
        <v>3.22885217326557</v>
      </c>
      <c r="D28">
        <f t="shared" si="10"/>
        <v>0.975</v>
      </c>
      <c r="E28">
        <f t="shared" si="1"/>
        <v>0.975</v>
      </c>
      <c r="F28">
        <f t="shared" si="11"/>
        <v>0.220794021658196</v>
      </c>
      <c r="G28">
        <f t="shared" si="12"/>
        <v>29.25</v>
      </c>
      <c r="H28">
        <f t="shared" si="4"/>
        <v>35.3270434653114</v>
      </c>
      <c r="I28">
        <f t="shared" si="16"/>
        <v>64.5770434653114</v>
      </c>
      <c r="J28">
        <f t="shared" si="13"/>
        <v>59.025</v>
      </c>
      <c r="K28">
        <f t="shared" si="14"/>
        <v>57.549375</v>
      </c>
      <c r="L28">
        <f t="shared" si="15"/>
        <v>10.0659820841784</v>
      </c>
    </row>
    <row r="29" spans="2:12">
      <c r="B29">
        <f t="shared" si="8"/>
        <v>0.418577929030757</v>
      </c>
      <c r="C29">
        <f t="shared" si="9"/>
        <v>3.40803027798234</v>
      </c>
      <c r="D29">
        <f t="shared" si="10"/>
        <v>1.05</v>
      </c>
      <c r="E29">
        <f t="shared" si="1"/>
        <v>1.05</v>
      </c>
      <c r="F29">
        <f t="shared" si="11"/>
        <v>0.229128784747792</v>
      </c>
      <c r="G29">
        <f t="shared" si="12"/>
        <v>31.5</v>
      </c>
      <c r="H29">
        <f t="shared" si="4"/>
        <v>36.6606055596467</v>
      </c>
      <c r="I29">
        <f t="shared" si="16"/>
        <v>68.1606055596467</v>
      </c>
      <c r="J29">
        <f t="shared" si="13"/>
        <v>58.95</v>
      </c>
      <c r="K29">
        <f t="shared" si="14"/>
        <v>61.8975</v>
      </c>
      <c r="L29">
        <f t="shared" si="15"/>
        <v>10.7011323384202</v>
      </c>
    </row>
    <row r="30" spans="2:12">
      <c r="B30">
        <f t="shared" si="8"/>
        <v>0.424121022185388</v>
      </c>
      <c r="C30">
        <f t="shared" si="9"/>
        <v>3.58486659610103</v>
      </c>
      <c r="D30">
        <f t="shared" si="10"/>
        <v>1.125</v>
      </c>
      <c r="E30">
        <f t="shared" si="1"/>
        <v>1.125</v>
      </c>
      <c r="F30">
        <f t="shared" si="11"/>
        <v>0.237170824512628</v>
      </c>
      <c r="G30">
        <f t="shared" si="12"/>
        <v>33.75</v>
      </c>
      <c r="H30">
        <f t="shared" si="4"/>
        <v>37.9473319220205</v>
      </c>
      <c r="I30">
        <f t="shared" si="16"/>
        <v>71.6973319220205</v>
      </c>
      <c r="J30">
        <f t="shared" si="13"/>
        <v>58.875</v>
      </c>
      <c r="K30">
        <f t="shared" si="14"/>
        <v>66.234375</v>
      </c>
      <c r="L30">
        <f t="shared" si="15"/>
        <v>11.3291845043222</v>
      </c>
    </row>
    <row r="31" spans="2:12">
      <c r="B31">
        <f t="shared" si="8"/>
        <v>0.429245471200573</v>
      </c>
      <c r="C31">
        <f t="shared" si="9"/>
        <v>3.75959179422654</v>
      </c>
      <c r="D31">
        <f t="shared" si="10"/>
        <v>1.2</v>
      </c>
      <c r="E31">
        <f t="shared" si="1"/>
        <v>1.2</v>
      </c>
      <c r="F31">
        <f t="shared" si="11"/>
        <v>0.244948974278318</v>
      </c>
      <c r="G31">
        <f t="shared" si="12"/>
        <v>36</v>
      </c>
      <c r="H31">
        <f t="shared" si="4"/>
        <v>39.1918358845308</v>
      </c>
      <c r="I31">
        <f t="shared" si="16"/>
        <v>75.1918358845308</v>
      </c>
      <c r="J31">
        <f t="shared" si="13"/>
        <v>58.8</v>
      </c>
      <c r="K31">
        <f t="shared" si="14"/>
        <v>70.56</v>
      </c>
      <c r="L31">
        <f t="shared" si="15"/>
        <v>11.9507121371655</v>
      </c>
    </row>
    <row r="32" spans="2:12">
      <c r="B32">
        <f t="shared" ref="B32:B35" si="17">(D32-D31)/(C32-C31)</f>
        <v>0.434004687508083</v>
      </c>
      <c r="C32">
        <f t="shared" ref="C32:C35" si="18">I32/$D$9</f>
        <v>3.93240098767241</v>
      </c>
      <c r="D32">
        <f t="shared" ref="D32:D35" si="19">D31+$D$10*0.05</f>
        <v>1.275</v>
      </c>
      <c r="E32">
        <f t="shared" si="1"/>
        <v>1.275</v>
      </c>
      <c r="F32">
        <f t="shared" ref="F32:F35" si="20">SQRT(D32/$D$6)</f>
        <v>0.252487623459052</v>
      </c>
      <c r="G32">
        <f t="shared" ref="G32:G35" si="21">E32*$D$7</f>
        <v>38.25</v>
      </c>
      <c r="H32">
        <f t="shared" si="4"/>
        <v>40.3980197534483</v>
      </c>
      <c r="I32">
        <f t="shared" ref="I32:I35" si="22">G32+H32</f>
        <v>78.6480197534483</v>
      </c>
      <c r="J32">
        <f t="shared" ref="J32:J35" si="23">$D$12-E32</f>
        <v>58.725</v>
      </c>
      <c r="K32">
        <f t="shared" ref="K32:K35" si="24">J32*D32</f>
        <v>74.874375</v>
      </c>
      <c r="L32">
        <f t="shared" si="15"/>
        <v>12.5661985215273</v>
      </c>
    </row>
    <row r="33" spans="2:12">
      <c r="B33">
        <f t="shared" si="17"/>
        <v>0.438442699348451</v>
      </c>
      <c r="C33">
        <f t="shared" si="18"/>
        <v>4.10346096908265</v>
      </c>
      <c r="D33">
        <f t="shared" si="19"/>
        <v>1.35</v>
      </c>
      <c r="E33">
        <f t="shared" si="1"/>
        <v>1.35</v>
      </c>
      <c r="F33">
        <f t="shared" si="20"/>
        <v>0.259807621135332</v>
      </c>
      <c r="G33">
        <f t="shared" si="21"/>
        <v>40.5</v>
      </c>
      <c r="H33">
        <f t="shared" si="4"/>
        <v>41.569219381653</v>
      </c>
      <c r="I33">
        <f t="shared" si="22"/>
        <v>82.069219381653</v>
      </c>
      <c r="J33">
        <f t="shared" si="23"/>
        <v>58.65</v>
      </c>
      <c r="K33">
        <f t="shared" si="24"/>
        <v>79.1775</v>
      </c>
      <c r="L33">
        <f t="shared" si="15"/>
        <v>13.1760554368561</v>
      </c>
    </row>
    <row r="34" spans="2:12">
      <c r="B34">
        <f t="shared" si="17"/>
        <v>0.442596211648892</v>
      </c>
      <c r="C34">
        <f t="shared" si="18"/>
        <v>4.27291565040626</v>
      </c>
      <c r="D34">
        <f t="shared" si="19"/>
        <v>1.425</v>
      </c>
      <c r="E34">
        <f t="shared" si="1"/>
        <v>1.425</v>
      </c>
      <c r="F34">
        <f t="shared" si="20"/>
        <v>0.266926956300783</v>
      </c>
      <c r="G34">
        <f t="shared" si="21"/>
        <v>42.75</v>
      </c>
      <c r="H34">
        <f t="shared" si="4"/>
        <v>42.7083130081252</v>
      </c>
      <c r="I34">
        <f t="shared" si="22"/>
        <v>85.4583130081252</v>
      </c>
      <c r="J34">
        <f t="shared" si="23"/>
        <v>58.575</v>
      </c>
      <c r="K34">
        <f t="shared" si="24"/>
        <v>83.469375</v>
      </c>
      <c r="L34">
        <f t="shared" si="15"/>
        <v>13.780637185703</v>
      </c>
    </row>
    <row r="35" spans="2:12">
      <c r="B35">
        <f t="shared" si="17"/>
        <v>0.446496131570432</v>
      </c>
      <c r="C35">
        <f t="shared" si="18"/>
        <v>4.44089023002066</v>
      </c>
      <c r="D35">
        <f t="shared" si="19"/>
        <v>1.5</v>
      </c>
      <c r="E35">
        <f t="shared" si="1"/>
        <v>1.5</v>
      </c>
      <c r="F35">
        <f t="shared" si="20"/>
        <v>0.273861278752583</v>
      </c>
      <c r="G35">
        <f t="shared" si="21"/>
        <v>45</v>
      </c>
      <c r="H35">
        <f t="shared" si="4"/>
        <v>43.8178046004133</v>
      </c>
      <c r="I35">
        <f t="shared" si="22"/>
        <v>88.8178046004133</v>
      </c>
      <c r="J35">
        <f t="shared" si="23"/>
        <v>58.5</v>
      </c>
      <c r="K35">
        <f t="shared" si="24"/>
        <v>87.75</v>
      </c>
      <c r="L35">
        <f t="shared" si="15"/>
        <v>14.3802512687328</v>
      </c>
    </row>
    <row r="37" spans="11:13">
      <c r="K37" t="s">
        <v>238</v>
      </c>
      <c r="L37">
        <f>SUM(L16:L35)</f>
        <v>164.735730260689</v>
      </c>
      <c r="M37" t="s">
        <v>239</v>
      </c>
    </row>
    <row r="38" spans="11:13">
      <c r="K38" t="s">
        <v>240</v>
      </c>
      <c r="L38">
        <f>L37/(D10*D12)</f>
        <v>1.83039700289655</v>
      </c>
      <c r="M38" t="s">
        <v>54</v>
      </c>
    </row>
  </sheetData>
  <mergeCells count="1">
    <mergeCell ref="B3:V4"/>
  </mergeCells>
  <pageMargins left="0.699305555555556" right="0.699305555555556" top="0.75" bottom="0.75" header="0.3" footer="0.3"/>
  <pageSetup paperSize="1" orientation="portrait" horizontalDpi="1200" verticalDpi="12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E2:I22"/>
  <sheetViews>
    <sheetView zoomScale="145" zoomScaleNormal="145" topLeftCell="B25" workbookViewId="0">
      <selection activeCell="H32" sqref="H32"/>
    </sheetView>
  </sheetViews>
  <sheetFormatPr defaultColWidth="9" defaultRowHeight="13.5"/>
  <cols>
    <col min="5" max="5" width="10.2166666666667" customWidth="1"/>
  </cols>
  <sheetData>
    <row r="2" spans="5:7">
      <c r="E2" t="s">
        <v>241</v>
      </c>
      <c r="F2">
        <f>Component_Selection!F15</f>
        <v>72</v>
      </c>
      <c r="G2" t="s">
        <v>13</v>
      </c>
    </row>
    <row r="3" spans="5:7">
      <c r="E3" t="s">
        <v>242</v>
      </c>
      <c r="F3">
        <f>Component_Selection!F16</f>
        <v>52.8</v>
      </c>
      <c r="G3" t="s">
        <v>15</v>
      </c>
    </row>
    <row r="4" spans="5:8">
      <c r="E4" t="s">
        <v>243</v>
      </c>
      <c r="F4">
        <f>SOA_Checks!D27</f>
        <v>0.4</v>
      </c>
      <c r="G4" t="s">
        <v>22</v>
      </c>
      <c r="H4" t="s">
        <v>244</v>
      </c>
    </row>
    <row r="6" spans="5:9">
      <c r="E6" t="s">
        <v>197</v>
      </c>
      <c r="F6" t="s">
        <v>245</v>
      </c>
      <c r="G6" t="s">
        <v>235</v>
      </c>
      <c r="H6" t="s">
        <v>246</v>
      </c>
      <c r="I6" t="s">
        <v>247</v>
      </c>
    </row>
    <row r="7" spans="5:9">
      <c r="E7">
        <v>0</v>
      </c>
      <c r="F7">
        <v>0</v>
      </c>
      <c r="G7">
        <f>F2</f>
        <v>72</v>
      </c>
      <c r="H7">
        <f>G7*F7</f>
        <v>0</v>
      </c>
      <c r="I7">
        <v>0</v>
      </c>
    </row>
    <row r="8" spans="5:9">
      <c r="E8">
        <v>10</v>
      </c>
      <c r="F8">
        <v>0</v>
      </c>
      <c r="G8">
        <f t="shared" ref="G8:G11" si="0">G7</f>
        <v>72</v>
      </c>
      <c r="H8">
        <f t="shared" ref="H8:H14" si="1">G8*F8</f>
        <v>0</v>
      </c>
      <c r="I8">
        <v>0</v>
      </c>
    </row>
    <row r="9" spans="5:9">
      <c r="E9">
        <f t="shared" ref="E9:E13" si="2">E8+0.01</f>
        <v>10.01</v>
      </c>
      <c r="F9">
        <f>$F$4</f>
        <v>0.4</v>
      </c>
      <c r="G9">
        <f t="shared" si="0"/>
        <v>72</v>
      </c>
      <c r="H9">
        <f t="shared" si="1"/>
        <v>28.8</v>
      </c>
      <c r="I9">
        <f>H9</f>
        <v>28.8</v>
      </c>
    </row>
    <row r="10" spans="5:9">
      <c r="E10">
        <f>AVERAGE(E9,E12)</f>
        <v>14.762</v>
      </c>
      <c r="F10">
        <f t="shared" ref="F10:F14" si="3">F9</f>
        <v>0.4</v>
      </c>
      <c r="G10">
        <v>30</v>
      </c>
      <c r="H10">
        <f t="shared" si="1"/>
        <v>12</v>
      </c>
      <c r="I10">
        <f>I9</f>
        <v>28.8</v>
      </c>
    </row>
    <row r="11" spans="5:9">
      <c r="E11">
        <f t="shared" si="2"/>
        <v>14.772</v>
      </c>
      <c r="F11">
        <f t="shared" si="3"/>
        <v>0.4</v>
      </c>
      <c r="G11">
        <f t="shared" si="0"/>
        <v>30</v>
      </c>
      <c r="H11">
        <f t="shared" si="1"/>
        <v>12</v>
      </c>
      <c r="I11">
        <v>0</v>
      </c>
    </row>
    <row r="12" spans="5:9">
      <c r="E12">
        <f>E9+F3*F2/F12/1000</f>
        <v>19.514</v>
      </c>
      <c r="F12">
        <f>F10</f>
        <v>0.4</v>
      </c>
      <c r="G12">
        <v>0</v>
      </c>
      <c r="H12">
        <f t="shared" si="1"/>
        <v>0</v>
      </c>
      <c r="I12">
        <v>0</v>
      </c>
    </row>
    <row r="13" spans="5:9">
      <c r="E13">
        <f t="shared" si="2"/>
        <v>19.524</v>
      </c>
      <c r="F13">
        <v>0</v>
      </c>
      <c r="G13">
        <v>0</v>
      </c>
      <c r="H13">
        <f t="shared" si="1"/>
        <v>0</v>
      </c>
      <c r="I13">
        <v>0</v>
      </c>
    </row>
    <row r="14" spans="5:9">
      <c r="E14">
        <f>E13+10</f>
        <v>29.524</v>
      </c>
      <c r="F14">
        <f t="shared" si="3"/>
        <v>0</v>
      </c>
      <c r="G14">
        <f>G13</f>
        <v>0</v>
      </c>
      <c r="H14">
        <f t="shared" si="1"/>
        <v>0</v>
      </c>
      <c r="I14">
        <v>0</v>
      </c>
    </row>
    <row r="18" spans="7:8">
      <c r="G18" t="s">
        <v>235</v>
      </c>
      <c r="H18" t="s">
        <v>136</v>
      </c>
    </row>
    <row r="19" spans="7:8">
      <c r="G19">
        <v>1</v>
      </c>
      <c r="H19" s="1">
        <f>SOA_Checks!E10</f>
        <v>8</v>
      </c>
    </row>
    <row r="20" spans="7:8">
      <c r="G20" s="1">
        <f>SOA_Checks!E5</f>
        <v>20</v>
      </c>
      <c r="H20" s="1">
        <f>H19</f>
        <v>8</v>
      </c>
    </row>
    <row r="21" spans="7:8">
      <c r="G21" s="1">
        <f>G20+0.01</f>
        <v>20.01</v>
      </c>
      <c r="H21" s="1">
        <f>SOA_Checks!E11</f>
        <v>0.6</v>
      </c>
    </row>
    <row r="22" spans="7:8">
      <c r="G22">
        <v>100</v>
      </c>
      <c r="H22" s="1">
        <f>H21</f>
        <v>0.6</v>
      </c>
    </row>
  </sheetData>
  <pageMargins left="0.699305555555556" right="0.699305555555556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B3:I26"/>
  <sheetViews>
    <sheetView zoomScale="115" zoomScaleNormal="115" workbookViewId="0">
      <selection activeCell="A22" sqref="A22"/>
    </sheetView>
  </sheetViews>
  <sheetFormatPr defaultColWidth="9" defaultRowHeight="13.5"/>
  <sheetData>
    <row r="3" spans="3:6">
      <c r="C3" t="s">
        <v>22</v>
      </c>
      <c r="D3" s="1">
        <f>BrownOut!C10/BrownOut!C15</f>
        <v>0.0055</v>
      </c>
      <c r="E3" s="2" t="s">
        <v>248</v>
      </c>
      <c r="F3" t="s">
        <v>249</v>
      </c>
    </row>
    <row r="4" spans="3:6">
      <c r="C4" t="s">
        <v>250</v>
      </c>
      <c r="D4" s="1">
        <f>BrownOut!C11/BrownOut!C15</f>
        <v>25</v>
      </c>
      <c r="E4" s="2" t="s">
        <v>13</v>
      </c>
      <c r="F4" t="s">
        <v>251</v>
      </c>
    </row>
    <row r="5" spans="3:6">
      <c r="C5" t="s">
        <v>252</v>
      </c>
      <c r="D5" s="1" t="e">
        <f>D3*(BrownOut!C6-BrownOut!C17)+D3*D4*LN((BrownOut!C6-D4)/(BrownOut!C17-D4))</f>
        <v>#NUM!</v>
      </c>
      <c r="E5" s="2" t="s">
        <v>54</v>
      </c>
      <c r="F5" t="s">
        <v>253</v>
      </c>
    </row>
    <row r="6" spans="3:5">
      <c r="C6" t="s">
        <v>254</v>
      </c>
      <c r="D6" s="1" t="e">
        <f>AVERAGE(BrownOut!C17,BrownOut!C6)</f>
        <v>#NUM!</v>
      </c>
      <c r="E6" s="2" t="s">
        <v>13</v>
      </c>
    </row>
    <row r="7" spans="3:5">
      <c r="C7" t="s">
        <v>255</v>
      </c>
      <c r="D7" s="1" t="e">
        <f>D3*(D6-BrownOut!C17)+D3*D4*LN((D6-D4)/(BrownOut!C17-D4))</f>
        <v>#NUM!</v>
      </c>
      <c r="E7" s="2" t="s">
        <v>54</v>
      </c>
    </row>
    <row r="8" spans="5:5">
      <c r="E8" s="3"/>
    </row>
    <row r="9" spans="5:5">
      <c r="E9" s="3"/>
    </row>
    <row r="10" spans="3:7">
      <c r="C10" s="4" t="s">
        <v>197</v>
      </c>
      <c r="D10" s="5" t="s">
        <v>256</v>
      </c>
      <c r="E10" s="6" t="s">
        <v>257</v>
      </c>
      <c r="F10" s="7" t="s">
        <v>258</v>
      </c>
      <c r="G10" s="7" t="s">
        <v>259</v>
      </c>
    </row>
    <row r="11" spans="3:7">
      <c r="C11">
        <v>0</v>
      </c>
      <c r="D11" s="8">
        <f>BrownOut!$C$3</f>
        <v>54</v>
      </c>
      <c r="E11" s="3">
        <f>BrownOut!$C$3</f>
        <v>54</v>
      </c>
      <c r="F11">
        <f>IF(D11=E11,G11,IF(E11&gt;D11,0,BrownOut!$C$15))</f>
        <v>3.7037037037037</v>
      </c>
      <c r="G11" s="1">
        <f>BrownOut!$C$11/E11</f>
        <v>3.7037037037037</v>
      </c>
    </row>
    <row r="12" spans="3:7">
      <c r="C12">
        <v>2.5</v>
      </c>
      <c r="D12" s="8">
        <f>BrownOut!$C$3</f>
        <v>54</v>
      </c>
      <c r="E12" s="3">
        <f>BrownOut!$C$3</f>
        <v>54</v>
      </c>
      <c r="F12">
        <f>IF(D12=E12,G12,IF(E12&gt;D12,0,BrownOut!$C$15))</f>
        <v>3.7037037037037</v>
      </c>
      <c r="G12" s="1">
        <f>BrownOut!$C$11/E12</f>
        <v>3.7037037037037</v>
      </c>
    </row>
    <row r="13" spans="2:7">
      <c r="B13" s="9" t="s">
        <v>260</v>
      </c>
      <c r="C13">
        <f>C12+0.01</f>
        <v>2.51</v>
      </c>
      <c r="D13" s="8">
        <f>BrownOut!$C$4</f>
        <v>10</v>
      </c>
      <c r="E13" s="3">
        <f>BrownOut!$C$3</f>
        <v>54</v>
      </c>
      <c r="F13">
        <f>IF(D13=E13,G13,IF(E13&gt;D13,0,BrownOut!$C$15))</f>
        <v>0</v>
      </c>
      <c r="G13" s="1">
        <f>BrownOut!$C$11/E13</f>
        <v>3.7037037037037</v>
      </c>
    </row>
    <row r="14" spans="3:9">
      <c r="C14">
        <f>C13+BrownOut!$C$5/4</f>
        <v>2.76</v>
      </c>
      <c r="D14" s="8">
        <f>BrownOut!$C$4</f>
        <v>10</v>
      </c>
      <c r="E14" s="10">
        <f>SQRT(E13^2-2*(C14-C13)*BrownOut!$C$11*(1+BrownOut!$C$12)/BrownOut!$C$14)-BrownOut!$C$8*BrownOut!$C$9/BrownOut!$C$14</f>
        <v>24.9107497788697</v>
      </c>
      <c r="F14">
        <f>IF(D14=E14,G14,IF(E14&gt;D14,0,BrownOut!$C$15))</f>
        <v>0</v>
      </c>
      <c r="G14" s="1">
        <f>BrownOut!$C$11/E14</f>
        <v>8.02866239576813</v>
      </c>
      <c r="I14" t="s">
        <v>261</v>
      </c>
    </row>
    <row r="15" spans="3:7">
      <c r="C15">
        <f>C14+BrownOut!$C$5/4</f>
        <v>3.01</v>
      </c>
      <c r="D15" s="8">
        <f>BrownOut!$C$4</f>
        <v>10</v>
      </c>
      <c r="E15" s="10" t="e">
        <f>SQRT(E14^2-2*(C15-C14)*BrownOut!$C$11*(1+BrownOut!$C$12)/BrownOut!$C$14)</f>
        <v>#NUM!</v>
      </c>
      <c r="F15" t="e">
        <f>IF(D15=E15,G15,IF(E15&gt;D15,0,BrownOut!$C$15))</f>
        <v>#NUM!</v>
      </c>
      <c r="G15" s="1" t="e">
        <f>BrownOut!$C$11/E15</f>
        <v>#NUM!</v>
      </c>
    </row>
    <row r="16" spans="3:7">
      <c r="C16">
        <f>C15+BrownOut!$C$5/4</f>
        <v>3.26</v>
      </c>
      <c r="D16" s="8">
        <f>BrownOut!$C$4</f>
        <v>10</v>
      </c>
      <c r="E16" s="10" t="e">
        <f>SQRT(E15^2-2*(C16-C15)*BrownOut!$C$11*(1+BrownOut!$C$12)/BrownOut!$C$14)</f>
        <v>#NUM!</v>
      </c>
      <c r="F16" t="e">
        <f>IF(D16=E16,G16,IF(E16&gt;D16,0,BrownOut!$C$15))</f>
        <v>#NUM!</v>
      </c>
      <c r="G16" s="1" t="e">
        <f>BrownOut!$C$11/E16</f>
        <v>#NUM!</v>
      </c>
    </row>
    <row r="17" spans="2:7">
      <c r="B17" s="9" t="s">
        <v>262</v>
      </c>
      <c r="C17">
        <f>C13+BrownOut!C5</f>
        <v>3.51</v>
      </c>
      <c r="D17" s="8">
        <f>BrownOut!$C$4</f>
        <v>10</v>
      </c>
      <c r="E17" s="10" t="e">
        <f>SQRT(E16^2-2*(C17-C16)*BrownOut!$C$11*(1+BrownOut!$C$12)/BrownOut!$C$14)</f>
        <v>#NUM!</v>
      </c>
      <c r="F17" t="e">
        <f>IF(D17=E17,G17,IF(E17&gt;D17,0,BrownOut!$C$15))</f>
        <v>#NUM!</v>
      </c>
      <c r="G17" s="1" t="e">
        <f>BrownOut!$C$11/E17</f>
        <v>#NUM!</v>
      </c>
    </row>
    <row r="18" spans="2:7">
      <c r="B18" s="9" t="s">
        <v>263</v>
      </c>
      <c r="C18">
        <f>C17+0.001</f>
        <v>3.511</v>
      </c>
      <c r="D18" s="8">
        <f>BrownOut!$C$6</f>
        <v>54</v>
      </c>
      <c r="E18" s="10" t="e">
        <f>SQRT(E17^2-2*(C18-C17)*BrownOut!$C$11*(1+BrownOut!$C$12)/BrownOut!$C$14)</f>
        <v>#NUM!</v>
      </c>
      <c r="F18">
        <v>0</v>
      </c>
      <c r="G18" s="1" t="e">
        <f>BrownOut!$C$11/E18</f>
        <v>#NUM!</v>
      </c>
    </row>
    <row r="19" spans="2:7">
      <c r="B19" t="s">
        <v>264</v>
      </c>
      <c r="C19">
        <f>C18+BrownOut!C13</f>
        <v>3.711</v>
      </c>
      <c r="D19" s="8">
        <f>BrownOut!$C$6</f>
        <v>54</v>
      </c>
      <c r="E19" s="10" t="e">
        <f>SQRT(E18^2-2*(C19-C18)*BrownOut!$C$11*(1+BrownOut!$C$12)/BrownOut!$C$14)</f>
        <v>#NUM!</v>
      </c>
      <c r="F19" t="e">
        <f>IF(D19=E19,G19,IF(E19&gt;D19,0,BrownOut!$C$15))</f>
        <v>#NUM!</v>
      </c>
      <c r="G19" s="1" t="e">
        <f>BrownOut!$C$11/E19</f>
        <v>#NUM!</v>
      </c>
    </row>
    <row r="20" spans="3:7">
      <c r="C20" s="1" t="e">
        <f>C19+$D$3*(E20-E19)+$D$3*$D$4*LN((E20-$D$4)/(E19-$D$4))</f>
        <v>#NUM!</v>
      </c>
      <c r="D20" s="8">
        <f>BrownOut!$C$6</f>
        <v>54</v>
      </c>
      <c r="E20" s="10" t="e">
        <f t="shared" ref="E20:E22" si="0">E19+($E$23-$E$19)*1/4</f>
        <v>#NUM!</v>
      </c>
      <c r="F20" t="e">
        <f>IF(D20=E20,G20,IF(E20&gt;D20,0,BrownOut!$C$15))</f>
        <v>#NUM!</v>
      </c>
      <c r="G20" s="1" t="e">
        <f>BrownOut!$C$11/E20</f>
        <v>#NUM!</v>
      </c>
    </row>
    <row r="21" spans="3:7">
      <c r="C21" s="1" t="e">
        <f>C20+$D$3*(E21-E20)+$D$3*$D$4*LN((E21-$D$4)/(E20-$D$4))</f>
        <v>#NUM!</v>
      </c>
      <c r="D21" s="8">
        <f>BrownOut!$C$6</f>
        <v>54</v>
      </c>
      <c r="E21" s="10" t="e">
        <f t="shared" si="0"/>
        <v>#NUM!</v>
      </c>
      <c r="F21" t="e">
        <f>IF(D21=E21,G21,IF(E21&gt;D21,0,BrownOut!$C$15))</f>
        <v>#NUM!</v>
      </c>
      <c r="G21" s="1" t="e">
        <f>BrownOut!$C$11/E21</f>
        <v>#NUM!</v>
      </c>
    </row>
    <row r="22" spans="2:7">
      <c r="B22" s="9" t="s">
        <v>265</v>
      </c>
      <c r="C22" s="1" t="e">
        <f>C21+$D$3*(E22-E21)+$D$3*$D$4*LN((E22-$D$4)/(E21-$D$4))</f>
        <v>#NUM!</v>
      </c>
      <c r="D22" s="8">
        <f>BrownOut!$C$6</f>
        <v>54</v>
      </c>
      <c r="E22" s="10" t="e">
        <f t="shared" si="0"/>
        <v>#NUM!</v>
      </c>
      <c r="F22" t="e">
        <f>IF(D22=E22,G22,IF(E22&gt;D22,0,BrownOut!$C$15))</f>
        <v>#NUM!</v>
      </c>
      <c r="G22" s="1" t="e">
        <f>BrownOut!$C$11/E22</f>
        <v>#NUM!</v>
      </c>
    </row>
    <row r="23" spans="3:7">
      <c r="C23" s="1" t="e">
        <f>C22+$D$3*(E23-E22)+$D$3*$D$4*LN((E23-$D$4)/(E22-$D$4))</f>
        <v>#NUM!</v>
      </c>
      <c r="D23" s="8">
        <f>BrownOut!$C$6</f>
        <v>54</v>
      </c>
      <c r="E23" s="3">
        <f>D23</f>
        <v>54</v>
      </c>
      <c r="F23">
        <f>IF(D23=E23,G23,IF(E23&gt;D23,0,BrownOut!$C$15))</f>
        <v>3.7037037037037</v>
      </c>
      <c r="G23" s="1">
        <f>BrownOut!$C$11/E23</f>
        <v>3.7037037037037</v>
      </c>
    </row>
    <row r="24" spans="3:7">
      <c r="C24" s="1" t="e">
        <f>C23+2.5</f>
        <v>#NUM!</v>
      </c>
      <c r="D24" s="8">
        <f>BrownOut!$C$6</f>
        <v>54</v>
      </c>
      <c r="E24" s="3">
        <f>D24</f>
        <v>54</v>
      </c>
      <c r="F24">
        <f>IF(D24=E24,G24,IF(E24&gt;D24,0,BrownOut!$C$15))</f>
        <v>3.7037037037037</v>
      </c>
      <c r="G24" s="1">
        <f>BrownOut!$C$11/E24</f>
        <v>3.7037037037037</v>
      </c>
    </row>
    <row r="25" spans="5:5">
      <c r="E25" s="3"/>
    </row>
    <row r="26" spans="5:5">
      <c r="E26" s="3"/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2020-05-26T03:12:27Z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2052-10.8.0.5422</vt:lpwstr>
  </property>
</Properties>
</file>