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8433" lockStructure="1"/>
  <bookViews>
    <workbookView xWindow="0" yWindow="0" windowWidth="15360" windowHeight="8088" tabRatio="733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52511"/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H14" i="7" s="1"/>
  <c r="F14" i="7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>
  <authors>
    <author>Author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<sst xmlns="http://schemas.openxmlformats.org/spreadsheetml/2006/main" count="539" uniqueCount="265">
  <si>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</si>
  <si>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</si>
  <si>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</si>
  <si>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</si>
  <si>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</si>
  <si>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</si>
  <si>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</si>
  <si>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</si>
  <si>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</si>
  <si>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</si>
  <si>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</si>
  <si>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</si>
  <si>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</si>
  <si>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</si>
  <si>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</si>
  <si>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</si>
  <si>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</si>
  <si>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</si>
  <si>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</si>
  <si>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</si>
  <si>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</si>
  <si>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</si>
  <si>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</si>
  <si>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</si>
  <si>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</si>
  <si>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</si>
  <si>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</si>
  <si>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</si>
  <si>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</si>
  <si>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</si>
  <si>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</si>
  <si>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</si>
  <si>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</si>
  <si>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</si>
  <si>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</si>
  <si>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</si>
  <si>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</si>
  <si>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</si>
  <si>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</si>
  <si>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</si>
  <si>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</si>
  <si>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</si>
  <si>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</si>
  <si>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</si>
  <si>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</si>
  <si>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</si>
  <si>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</si>
  <si>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</si>
  <si>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</si>
  <si>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</si>
  <si>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</si>
  <si>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</si>
  <si>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</si>
  <si>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</si>
  <si>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</si>
  <si>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</si>
  <si>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</si>
  <si>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</si>
  <si>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</si>
  <si>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</si>
  <si>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</si>
  <si>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</si>
  <si>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</si>
  <si>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</si>
  <si>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</si>
  <si>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</si>
  <si>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</si>
  <si>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</si>
  <si>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</si>
  <si>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</si>
  <si>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</si>
  <si>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</si>
  <si>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</si>
  <si>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</si>
  <si>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</si>
  <si>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</si>
  <si>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</si>
  <si>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</si>
  <si>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</si>
  <si>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</si>
  <si>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</si>
  <si>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</si>
  <si>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</si>
  <si>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</si>
  <si>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</si>
  <si>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</si>
  <si>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</si>
  <si>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</si>
  <si>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</si>
  <si>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</si>
  <si>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</si>
  <si>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</si>
  <si>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</si>
  <si>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</si>
  <si>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</si>
  <si>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</si>
  <si>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</si>
  <si>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</si>
  <si>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</si>
  <si>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</si>
  <si>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</si>
  <si>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</si>
  <si>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</si>
  <si>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</si>
  <si>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</si>
  <si>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</si>
  <si>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</si>
  <si>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</si>
  <si>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</si>
  <si>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</si>
  <si>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</si>
  <si>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</si>
  <si>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</si>
  <si>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</si>
  <si>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</si>
  <si>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</si>
  <si>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</si>
  <si>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</si>
  <si>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</si>
  <si>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</si>
  <si>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</si>
  <si>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</si>
  <si>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</si>
  <si>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</si>
  <si>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</si>
  <si>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</si>
  <si>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</si>
  <si>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</si>
  <si>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</si>
  <si>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</si>
  <si>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</si>
  <si>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</si>
  <si>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</si>
  <si>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</si>
  <si>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</si>
  <si>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</si>
  <si>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</si>
  <si>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</si>
  <si>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</si>
  <si>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</si>
  <si>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</si>
  <si>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</si>
  <si>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</si>
  <si>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</si>
  <si>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</si>
  <si>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</si>
  <si>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</si>
  <si>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</si>
  <si>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</si>
  <si>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</si>
  <si>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</si>
  <si>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</si>
  <si>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</si>
  <si>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</si>
  <si>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</si>
  <si>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</si>
  <si>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</si>
  <si>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</si>
  <si>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</si>
  <si>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</si>
  <si>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</si>
  <si>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</si>
  <si>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</si>
  <si>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</si>
  <si>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</si>
  <si>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</si>
  <si>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</si>
  <si>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</si>
  <si>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</si>
  <si>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</si>
  <si>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</si>
  <si>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</si>
  <si>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</si>
  <si>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</si>
  <si>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</si>
  <si>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</si>
  <si>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</si>
  <si>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</si>
  <si>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</si>
  <si>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</si>
  <si>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</si>
  <si>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</si>
  <si>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</si>
  <si>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</si>
  <si>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</si>
  <si>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</si>
  <si>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</si>
  <si>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</si>
  <si>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</si>
  <si>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</si>
  <si>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</si>
  <si>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</si>
  <si>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</si>
  <si>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</si>
  <si>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</si>
  <si>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</si>
  <si>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</si>
  <si>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</si>
  <si>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</si>
  <si>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</si>
  <si>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</si>
  <si>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</si>
  <si>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</si>
  <si>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</si>
  <si>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</si>
  <si>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</si>
  <si>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</si>
  <si>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</si>
  <si>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</si>
  <si>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</si>
  <si>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</si>
  <si>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</si>
  <si>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</si>
  <si>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</si>
  <si>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</si>
  <si>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</si>
  <si>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</si>
  <si>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</si>
  <si>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</si>
  <si>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</si>
  <si>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</si>
  <si>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</si>
  <si>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</si>
  <si>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</si>
  <si>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</si>
  <si>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</si>
  <si>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</si>
  <si>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</si>
  <si>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</si>
  <si>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</si>
  <si>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</si>
  <si>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</si>
  <si>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</si>
  <si>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</si>
  <si>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</si>
  <si>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</si>
  <si>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</si>
  <si>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</si>
  <si>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</si>
  <si>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</si>
  <si>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</si>
  <si>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</si>
  <si>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</si>
  <si>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</si>
  <si>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</si>
  <si>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</si>
  <si>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</si>
  <si>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</si>
  <si>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</si>
  <si>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</si>
  <si>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</si>
  <si>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</si>
  <si>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</si>
  <si>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</si>
  <si>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</si>
  <si>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</si>
  <si>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</si>
  <si>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</si>
  <si>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</si>
  <si>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</si>
  <si>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</si>
  <si>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</si>
  <si>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</si>
  <si>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</si>
  <si>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PSMN4R8-100BSE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</si>
</sst>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20</c:v>
                </c:pt>
                <c:pt idx="1">
                  <c:v>3.8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8B-4B66-9B7C-FCAAFA7B3CD6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6.5177469135802477</c:v>
                </c:pt>
                <c:pt idx="1">
                  <c:v>1.2383719135802471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8B-4B66-9B7C-FCAAFA7B3CD6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1.6096818842642449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4.6236715043620435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8B-4B66-9B7C-FCAAFA7B3CD6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1.6096818842642449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0.6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8B-4B66-9B7C-FCAAFA7B3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33888"/>
        <c:axId val="188835456"/>
      </c:scatterChart>
      <c:valAx>
        <c:axId val="18883388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88835456"/>
        <c:crossesAt val="0.1"/>
        <c:crossBetween val="midCat"/>
      </c:valAx>
      <c:valAx>
        <c:axId val="18883545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83388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E5-493E-B00D-253E3CEC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086904"/>
        <c:axId val="504090432"/>
      </c:scatterChart>
      <c:valAx>
        <c:axId val="5040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4090432"/>
        <c:crosses val="autoZero"/>
        <c:crossBetween val="midCat"/>
      </c:valAx>
      <c:valAx>
        <c:axId val="50409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4086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25</c:v>
                </c:pt>
                <c:pt idx="2">
                  <c:v>25.01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08-458D-A9C6-E644AD7D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085728"/>
        <c:axId val="504089648"/>
      </c:scatterChart>
      <c:valAx>
        <c:axId val="504085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4089648"/>
        <c:crosses val="autoZero"/>
        <c:crossBetween val="midCat"/>
      </c:valAx>
      <c:valAx>
        <c:axId val="504089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504085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80</c:v>
                </c:pt>
                <c:pt idx="1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B5-438D-9368-B329284A669E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26.070987654320991</c:v>
                </c:pt>
                <c:pt idx="1">
                  <c:v>9.776620370370372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B5-438D-9368-B329284A669E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13.134638287665215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B5-438D-9368-B329284A669E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B5-438D-9368-B329284A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33496"/>
        <c:axId val="188836632"/>
      </c:scatterChart>
      <c:valAx>
        <c:axId val="18883349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88836632"/>
        <c:crossesAt val="0.1"/>
        <c:crossBetween val="midCat"/>
      </c:valAx>
      <c:valAx>
        <c:axId val="18883663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833496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105.05</c:v>
                </c:pt>
                <c:pt idx="4">
                  <c:v>105.06</c:v>
                </c:pt>
                <c:pt idx="5">
                  <c:v>200.09</c:v>
                </c:pt>
                <c:pt idx="6">
                  <c:v>200.1</c:v>
                </c:pt>
                <c:pt idx="7">
                  <c:v>210.1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BC-4E3A-8FF8-B5AE7FD24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34280"/>
        <c:axId val="193658688"/>
      </c:scatterChart>
      <c:valAx>
        <c:axId val="188834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3658688"/>
        <c:crosses val="autoZero"/>
        <c:crossBetween val="midCat"/>
      </c:valAx>
      <c:valAx>
        <c:axId val="193658688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8342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105.05</c:v>
                </c:pt>
                <c:pt idx="4">
                  <c:v>105.06</c:v>
                </c:pt>
                <c:pt idx="5">
                  <c:v>200.09</c:v>
                </c:pt>
                <c:pt idx="6">
                  <c:v>200.1</c:v>
                </c:pt>
                <c:pt idx="7">
                  <c:v>210.1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14.4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6E-4E03-BFFD-6529BD7630E6}"/>
            </c:ext>
          </c:extLst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105.05</c:v>
                </c:pt>
                <c:pt idx="4">
                  <c:v>105.06</c:v>
                </c:pt>
                <c:pt idx="5">
                  <c:v>200.09</c:v>
                </c:pt>
                <c:pt idx="6">
                  <c:v>200.1</c:v>
                </c:pt>
                <c:pt idx="7">
                  <c:v>210.1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14.4</c:v>
                </c:pt>
                <c:pt idx="3">
                  <c:v>14.4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6E-4E03-BFFD-6529BD763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60256"/>
        <c:axId val="193655160"/>
      </c:scatterChart>
      <c:valAx>
        <c:axId val="19366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3655160"/>
        <c:crosses val="autoZero"/>
        <c:crossBetween val="midCat"/>
      </c:valAx>
      <c:valAx>
        <c:axId val="193655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36602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25</c:v>
                </c:pt>
                <c:pt idx="2">
                  <c:v>25.01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E1-402B-AE40-71A15135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56728"/>
        <c:axId val="193656336"/>
      </c:scatterChart>
      <c:valAx>
        <c:axId val="193656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3656336"/>
        <c:crosses val="autoZero"/>
        <c:crossBetween val="midCat"/>
      </c:valAx>
      <c:valAx>
        <c:axId val="193656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93656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1.6</c:v>
                </c:pt>
                <c:pt idx="1">
                  <c:v>1.1000000000000001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0C-4A9E-9533-75D2F91F1D7B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0.52141975308641986</c:v>
                </c:pt>
                <c:pt idx="1">
                  <c:v>0.35847608024691369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0C-4A9E-9533-75D2F91F1D7B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95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0.36148073748842841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50C-4A9E-9533-75D2F91F1D7B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95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50C-4A9E-9533-75D2F91F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54768"/>
        <c:axId val="193659080"/>
      </c:scatterChart>
      <c:valAx>
        <c:axId val="19365476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93659080"/>
        <c:crossesAt val="0.1"/>
        <c:crossBetween val="midCat"/>
      </c:valAx>
      <c:valAx>
        <c:axId val="193659080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365476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1-4BED-AE8C-7AF7F87945BF}"/>
            </c:ext>
          </c:extLst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50.711752268895403</c:v>
                </c:pt>
                <c:pt idx="4" formatCode="0.00">
                  <c:v>47.194953505259818</c:v>
                </c:pt>
                <c:pt idx="5" formatCode="0.00">
                  <c:v>43.394071652075404</c:v>
                </c:pt>
                <c:pt idx="6" formatCode="0.00">
                  <c:v>39.226614341888748</c:v>
                </c:pt>
                <c:pt idx="7" formatCode="0.00">
                  <c:v>39.209055076601878</c:v>
                </c:pt>
                <c:pt idx="8" formatCode="0.00">
                  <c:v>35.523167856280125</c:v>
                </c:pt>
                <c:pt idx="9" formatCode="0.00">
                  <c:v>40.142375892210097</c:v>
                </c:pt>
                <c:pt idx="10" formatCode="0.00">
                  <c:v>44.76158392814007</c:v>
                </c:pt>
                <c:pt idx="11" formatCode="0.00">
                  <c:v>49.380791964070042</c:v>
                </c:pt>
                <c:pt idx="12">
                  <c:v>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D1-4BED-AE8C-7AF7F879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57120"/>
        <c:axId val="193662216"/>
      </c:scatterChart>
      <c:valAx>
        <c:axId val="193657120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93662216"/>
        <c:crosses val="autoZero"/>
        <c:crossBetween val="midCat"/>
      </c:valAx>
      <c:valAx>
        <c:axId val="193662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93657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5.5555555555555554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DC-4CBB-9434-DAC9AF12B067}"/>
            </c:ext>
          </c:extLst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5.5555555555555554</c:v>
                </c:pt>
                <c:pt idx="3">
                  <c:v>5.9157884825054294</c:v>
                </c:pt>
                <c:pt idx="4">
                  <c:v>6.3566118349192857</c:v>
                </c:pt>
                <c:pt idx="5">
                  <c:v>6.9133867502763344</c:v>
                </c:pt>
                <c:pt idx="6">
                  <c:v>7.6478688011481113</c:v>
                </c:pt>
                <c:pt idx="7">
                  <c:v>7.6512937997076573</c:v>
                </c:pt>
                <c:pt idx="8">
                  <c:v>8.4451927602217811</c:v>
                </c:pt>
                <c:pt idx="9">
                  <c:v>7.4733992030157106</c:v>
                </c:pt>
                <c:pt idx="10">
                  <c:v>6.7021756978398681</c:v>
                </c:pt>
                <c:pt idx="11">
                  <c:v>6.0752367077928398</c:v>
                </c:pt>
                <c:pt idx="12">
                  <c:v>5.5555555555555554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DC-4CBB-9434-DAC9AF12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58296"/>
        <c:axId val="193659472"/>
      </c:scatterChart>
      <c:valAx>
        <c:axId val="19365829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93659472"/>
        <c:crosses val="autoZero"/>
        <c:crossBetween val="midCat"/>
      </c:valAx>
      <c:valAx>
        <c:axId val="193659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936582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1C-437C-BCAB-6D885A01C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59864"/>
        <c:axId val="193660648"/>
      </c:scatterChart>
      <c:valAx>
        <c:axId val="19365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660648"/>
        <c:crosses val="autoZero"/>
        <c:crossBetween val="midCat"/>
      </c:valAx>
      <c:valAx>
        <c:axId val="193660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3659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3"/>
  <sheetViews>
    <sheetView tabSelected="1" topLeftCell="B1" zoomScale="85" zoomScaleNormal="85" workbookViewId="0">
      <selection activeCell="E90" sqref="E90"/>
    </sheetView>
  </sheetViews>
  <sheetFormatPr defaultRowHeight="14.4" x14ac:dyDescent="0.3"/>
  <cols>
    <col min="1" max="1" width="8.77734375" hidden="1" customWidth="1"/>
    <col min="2" max="2" width="15.77734375" customWidth="1"/>
    <col min="3" max="3" width="58.21875" customWidth="1"/>
    <col min="4" max="4" width="8.77734375" customWidth="1"/>
    <col min="5" max="5" width="9.21875" customWidth="1"/>
    <col min="6" max="6" width="10.44140625" customWidth="1"/>
    <col min="7" max="7" width="7" customWidth="1"/>
    <col min="8" max="8" width="13.5546875" customWidth="1"/>
    <col min="9" max="9" width="12" customWidth="1"/>
    <col min="10" max="10" width="16.44140625" customWidth="1"/>
    <col min="12" max="12" width="12" bestFit="1" customWidth="1"/>
    <col min="20" max="20" width="15.77734375" customWidth="1"/>
    <col min="21" max="21" width="15.44140625" customWidth="1"/>
    <col min="22" max="22" width="13.77734375" customWidth="1"/>
  </cols>
  <sheetData>
    <row r="1" spans="2:40" ht="62.55" customHeight="1" x14ac:dyDescent="0.3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6" x14ac:dyDescent="0.3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3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3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3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3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3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3">
      <c r="C8" s="57"/>
      <c r="D8" s="58" t="s">
        <v>128</v>
      </c>
      <c r="E8" s="59"/>
    </row>
    <row r="9" spans="2:40" x14ac:dyDescent="0.3">
      <c r="C9" s="60"/>
      <c r="D9" s="61" t="s">
        <v>129</v>
      </c>
      <c r="E9" s="62"/>
    </row>
    <row r="10" spans="2:40" x14ac:dyDescent="0.3">
      <c r="C10" s="63"/>
      <c r="D10" s="163" t="s">
        <v>130</v>
      </c>
      <c r="E10" s="164"/>
      <c r="F10" s="164"/>
      <c r="G10" s="164"/>
      <c r="H10" s="164"/>
    </row>
    <row r="11" spans="2:40" x14ac:dyDescent="0.3">
      <c r="C11" s="64"/>
      <c r="D11" s="163"/>
      <c r="E11" s="164"/>
      <c r="F11" s="164"/>
      <c r="G11" s="164"/>
      <c r="H11" s="164"/>
    </row>
    <row r="12" spans="2:40" x14ac:dyDescent="0.3">
      <c r="C12" s="1"/>
    </row>
    <row r="13" spans="2:40" x14ac:dyDescent="0.3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3">
      <c r="C14" s="52" t="s">
        <v>18</v>
      </c>
      <c r="D14" s="30"/>
      <c r="E14" s="130">
        <v>300</v>
      </c>
      <c r="F14" s="131">
        <v>350</v>
      </c>
      <c r="G14" s="23" t="s">
        <v>20</v>
      </c>
    </row>
    <row r="15" spans="2:40" x14ac:dyDescent="0.3">
      <c r="C15" s="52" t="s">
        <v>19</v>
      </c>
      <c r="D15" s="129">
        <v>36</v>
      </c>
      <c r="E15" s="130">
        <v>48</v>
      </c>
      <c r="F15" s="131">
        <v>72</v>
      </c>
      <c r="G15" s="23" t="s">
        <v>4</v>
      </c>
    </row>
    <row r="16" spans="2:40" x14ac:dyDescent="0.3">
      <c r="C16" s="52" t="s">
        <v>22</v>
      </c>
      <c r="D16" s="30"/>
      <c r="E16" s="130">
        <v>440</v>
      </c>
      <c r="F16" s="131">
        <f>E16*1.2</f>
        <v>528</v>
      </c>
      <c r="G16" s="23" t="s">
        <v>23</v>
      </c>
    </row>
    <row r="17" spans="3:21" x14ac:dyDescent="0.3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3">
      <c r="C18" s="37" t="s">
        <v>98</v>
      </c>
      <c r="D18" s="26"/>
      <c r="E18" s="26"/>
      <c r="F18" s="31"/>
      <c r="G18" s="54"/>
    </row>
    <row r="19" spans="3:21" ht="15.6" x14ac:dyDescent="0.35">
      <c r="C19" s="52" t="s">
        <v>257</v>
      </c>
      <c r="D19" s="30"/>
      <c r="E19" s="146">
        <v>40</v>
      </c>
      <c r="F19" s="32"/>
      <c r="G19" s="148" t="s">
        <v>17</v>
      </c>
    </row>
    <row r="20" spans="3:21" x14ac:dyDescent="0.3">
      <c r="C20" s="52" t="s">
        <v>25</v>
      </c>
      <c r="D20" s="30"/>
      <c r="E20" s="138">
        <f>E14/E15</f>
        <v>6.25</v>
      </c>
      <c r="F20" s="139">
        <f>F14/D15</f>
        <v>9.7222222222222214</v>
      </c>
      <c r="G20" s="23" t="s">
        <v>26</v>
      </c>
    </row>
    <row r="21" spans="3:21" x14ac:dyDescent="0.3">
      <c r="C21" s="52" t="s">
        <v>28</v>
      </c>
      <c r="D21" s="30"/>
      <c r="E21" s="130">
        <v>6</v>
      </c>
      <c r="F21" s="32"/>
      <c r="G21" s="23" t="s">
        <v>26</v>
      </c>
    </row>
    <row r="22" spans="3:21" x14ac:dyDescent="0.3">
      <c r="C22" s="52" t="s">
        <v>29</v>
      </c>
      <c r="D22" s="30"/>
      <c r="E22" s="138">
        <f>Error_Calculation!H2/E21</f>
        <v>6.666666666666667</v>
      </c>
      <c r="F22" s="32"/>
      <c r="G22" s="22" t="s">
        <v>30</v>
      </c>
    </row>
    <row r="23" spans="3:21" x14ac:dyDescent="0.3">
      <c r="C23" s="52" t="s">
        <v>31</v>
      </c>
      <c r="D23" s="30"/>
      <c r="E23" s="130">
        <v>5</v>
      </c>
      <c r="F23" s="32"/>
      <c r="G23" s="22" t="s">
        <v>30</v>
      </c>
    </row>
    <row r="24" spans="3:21" x14ac:dyDescent="0.3">
      <c r="C24" s="52" t="s">
        <v>32</v>
      </c>
      <c r="D24" s="30"/>
      <c r="E24" s="138">
        <f>Error_Calculation!H2/E23</f>
        <v>8</v>
      </c>
      <c r="F24" s="32"/>
      <c r="G24" s="23" t="s">
        <v>26</v>
      </c>
    </row>
    <row r="25" spans="3:21" x14ac:dyDescent="0.3">
      <c r="C25" s="52" t="s">
        <v>33</v>
      </c>
      <c r="D25" s="30"/>
      <c r="E25" s="138">
        <f>Error_Calculation!N19/E23</f>
        <v>0.6</v>
      </c>
      <c r="F25" s="32"/>
      <c r="G25" s="23" t="s">
        <v>26</v>
      </c>
    </row>
    <row r="26" spans="3:21" x14ac:dyDescent="0.3">
      <c r="C26" s="52" t="s">
        <v>34</v>
      </c>
      <c r="D26" s="78">
        <f>Error_Calculation!M13/E23</f>
        <v>0.3</v>
      </c>
      <c r="E26" s="25"/>
      <c r="F26" s="33"/>
      <c r="G26" s="55" t="s">
        <v>26</v>
      </c>
    </row>
    <row r="27" spans="3:21" x14ac:dyDescent="0.3">
      <c r="C27" s="75" t="s">
        <v>245</v>
      </c>
      <c r="D27" s="155" t="s">
        <v>264</v>
      </c>
      <c r="E27" s="155"/>
      <c r="F27" s="156"/>
      <c r="G27" s="51"/>
    </row>
    <row r="28" spans="3:21" x14ac:dyDescent="0.3">
      <c r="C28" s="52" t="s">
        <v>246</v>
      </c>
      <c r="D28" s="30"/>
      <c r="E28" s="30"/>
      <c r="F28" s="132">
        <v>8.6999999999999993</v>
      </c>
      <c r="G28" s="22" t="s">
        <v>30</v>
      </c>
    </row>
    <row r="29" spans="3:21" x14ac:dyDescent="0.3">
      <c r="C29" s="52" t="s">
        <v>247</v>
      </c>
      <c r="D29" s="30"/>
      <c r="E29" s="30"/>
      <c r="F29" s="132">
        <v>175</v>
      </c>
      <c r="G29" s="22" t="s">
        <v>24</v>
      </c>
    </row>
    <row r="30" spans="3:21" ht="15" thickBot="1" x14ac:dyDescent="0.35">
      <c r="C30" s="75" t="s">
        <v>248</v>
      </c>
      <c r="D30" s="30"/>
      <c r="E30" s="30"/>
      <c r="F30" s="132">
        <v>14.4</v>
      </c>
      <c r="G30" s="22" t="s">
        <v>50</v>
      </c>
    </row>
    <row r="31" spans="3:21" x14ac:dyDescent="0.3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3">
      <c r="C32" s="52" t="s">
        <v>249</v>
      </c>
      <c r="D32" s="155"/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5.6" x14ac:dyDescent="0.35">
      <c r="C33" s="52" t="s">
        <v>252</v>
      </c>
      <c r="D33" s="30"/>
      <c r="E33" s="30"/>
      <c r="F33" s="132"/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3">
      <c r="C34" s="52" t="s">
        <v>251</v>
      </c>
      <c r="D34" s="30"/>
      <c r="E34" s="146">
        <v>0</v>
      </c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3">
      <c r="C35" s="52" t="s">
        <v>100</v>
      </c>
      <c r="D35" s="30"/>
      <c r="E35" s="30"/>
      <c r="F35" s="146">
        <v>50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3">
      <c r="C36" s="52" t="s">
        <v>260</v>
      </c>
      <c r="D36" s="30"/>
      <c r="E36" s="30"/>
      <c r="F36" s="139">
        <f>IF(E34=0, F20, (F33/E34)/(F33/E34+F28/E31)*F20)</f>
        <v>9.7222222222222214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3">
      <c r="C37" s="52" t="s">
        <v>261</v>
      </c>
      <c r="D37" s="30"/>
      <c r="E37" s="30"/>
      <c r="F37" s="138">
        <f>F28*(F36/E31)^2/1000</f>
        <v>0.8223379629629628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3">
      <c r="A38" t="s">
        <v>132</v>
      </c>
      <c r="C38" s="52" t="s">
        <v>263</v>
      </c>
      <c r="D38" s="30"/>
      <c r="E38" s="30"/>
      <c r="F38" s="69">
        <f>F37*E31+IF(E34=0, 0, (F20-F36)^2*F33/E34)/1000</f>
        <v>0.8223379629629628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3">
      <c r="A39" t="s">
        <v>259</v>
      </c>
      <c r="C39" s="75" t="s">
        <v>262</v>
      </c>
      <c r="D39" s="30"/>
      <c r="E39" s="30"/>
      <c r="F39" s="69">
        <f>F17+F37*F35</f>
        <v>126.11689814814814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3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3">
      <c r="C41" s="77" t="s">
        <v>226</v>
      </c>
      <c r="D41" s="52"/>
      <c r="E41" s="52"/>
      <c r="F41" s="133" t="s">
        <v>132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3">
      <c r="C42" s="144" t="str">
        <f>IF(F41="YES", "Go to 'ATIS_BrownOut' Tab and Update per your requirments!!", "Targets Below are suggestions only")</f>
        <v>Go to 'ATIS_BrownOut' Tab and Update per your requirments!!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3">
      <c r="C43" s="84" t="str">
        <f>IF(F41="No","Suggested Time Out (low Vds)","Min Recomended Time Out ( @ low Vds)")</f>
        <v>Min Recomended Time Out ( @ low Vds)</v>
      </c>
      <c r="D43" s="87"/>
      <c r="E43" s="88"/>
      <c r="F43" s="86">
        <f>IF(F41="Yes", BrownOut!C22, 5)</f>
        <v>9.2097308361210501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3">
      <c r="C44" s="85" t="str">
        <f>IF(F41="No","Suggested Ilim switch","Min Recommended Ilim switch")</f>
        <v>Min Recommended Ilim switch</v>
      </c>
      <c r="D44" s="89"/>
      <c r="E44" s="33"/>
      <c r="F44" s="86">
        <f>IF(F41="Yes", BrownOut!C23, 15)</f>
        <v>15.512054941016816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" thickBot="1" x14ac:dyDescent="0.35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3">
      <c r="C46" s="49" t="s">
        <v>36</v>
      </c>
      <c r="D46" s="30"/>
      <c r="E46" s="134">
        <v>40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3">
      <c r="C47" s="52" t="s">
        <v>38</v>
      </c>
      <c r="D47" s="30"/>
      <c r="E47" s="146">
        <v>39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" thickBot="1" x14ac:dyDescent="0.35">
      <c r="C48" s="52" t="s">
        <v>37</v>
      </c>
      <c r="D48" s="30"/>
      <c r="E48" s="146">
        <v>60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3">
      <c r="A49" t="s">
        <v>64</v>
      </c>
      <c r="C49" s="52" t="s">
        <v>39</v>
      </c>
      <c r="D49" s="30"/>
      <c r="E49" s="146">
        <v>59</v>
      </c>
      <c r="F49" s="32"/>
      <c r="G49" s="23" t="s">
        <v>4</v>
      </c>
    </row>
    <row r="50" spans="1:7" x14ac:dyDescent="0.3">
      <c r="A50" t="s">
        <v>147</v>
      </c>
      <c r="C50" s="52" t="s">
        <v>43</v>
      </c>
      <c r="D50" s="30"/>
      <c r="E50" s="146">
        <v>25</v>
      </c>
      <c r="F50" s="32"/>
      <c r="G50" s="22" t="s">
        <v>4</v>
      </c>
    </row>
    <row r="51" spans="1:7" x14ac:dyDescent="0.3">
      <c r="C51" s="52" t="s">
        <v>68</v>
      </c>
      <c r="D51" s="30"/>
      <c r="E51" s="146">
        <v>0.2</v>
      </c>
      <c r="F51" s="32"/>
      <c r="G51" s="23" t="s">
        <v>26</v>
      </c>
    </row>
    <row r="52" spans="1:7" x14ac:dyDescent="0.3">
      <c r="C52" s="52" t="s">
        <v>54</v>
      </c>
      <c r="D52" s="30"/>
      <c r="E52" s="146">
        <v>10</v>
      </c>
      <c r="F52" s="32"/>
      <c r="G52" s="22" t="s">
        <v>55</v>
      </c>
    </row>
    <row r="53" spans="1:7" ht="15" thickBot="1" x14ac:dyDescent="0.35">
      <c r="C53" s="96" t="s">
        <v>148</v>
      </c>
      <c r="D53" s="97"/>
      <c r="E53" s="97"/>
      <c r="F53" s="96"/>
      <c r="G53" s="98"/>
    </row>
    <row r="54" spans="1:7" ht="57.6" x14ac:dyDescent="0.3">
      <c r="C54" s="95" t="s">
        <v>258</v>
      </c>
      <c r="D54" s="151" t="s">
        <v>64</v>
      </c>
      <c r="E54" s="152"/>
      <c r="F54" s="153"/>
      <c r="G54" s="22"/>
    </row>
    <row r="55" spans="1:7" x14ac:dyDescent="0.3">
      <c r="C55" s="52" t="s">
        <v>177</v>
      </c>
      <c r="D55" s="30"/>
      <c r="E55" s="69">
        <f>SOA_Checks!C31</f>
        <v>1.6096818842642449</v>
      </c>
      <c r="F55" s="30"/>
      <c r="G55" s="22" t="s">
        <v>55</v>
      </c>
    </row>
    <row r="56" spans="1:7" hidden="1" x14ac:dyDescent="0.3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2.4016818842642449</v>
      </c>
      <c r="F56" s="30"/>
      <c r="G56" s="22" t="s">
        <v>55</v>
      </c>
    </row>
    <row r="57" spans="1:7" x14ac:dyDescent="0.3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" hidden="1" thickBot="1" x14ac:dyDescent="0.35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3">
      <c r="C59" s="52" t="str">
        <f>SOA_Checks!D47</f>
        <v>Q1 Current handling at 1ms and 72V</v>
      </c>
      <c r="D59" s="102"/>
      <c r="E59" s="146">
        <v>20</v>
      </c>
      <c r="F59" s="102"/>
      <c r="G59" s="101" t="s">
        <v>26</v>
      </c>
    </row>
    <row r="60" spans="1:7" x14ac:dyDescent="0.3">
      <c r="C60" s="52" t="str">
        <f>SOA_Checks!D48</f>
        <v>Q1 Current handling at 10ms and 72V</v>
      </c>
      <c r="D60" s="103"/>
      <c r="E60" s="146">
        <v>3.8</v>
      </c>
      <c r="F60" s="103"/>
      <c r="G60" s="101" t="s">
        <v>26</v>
      </c>
    </row>
    <row r="61" spans="1:7" x14ac:dyDescent="0.3">
      <c r="C61" s="52" t="str">
        <f>SOA_Checks!D49</f>
        <v>Q1 Current handling at 1ms and 72V</v>
      </c>
      <c r="D61" s="103"/>
      <c r="E61" s="146">
        <v>20</v>
      </c>
      <c r="F61" s="103"/>
      <c r="G61" s="101" t="s">
        <v>26</v>
      </c>
    </row>
    <row r="62" spans="1:7" x14ac:dyDescent="0.3">
      <c r="C62" s="52" t="str">
        <f>SOA_Checks!D50</f>
        <v>Q1 Current handling at 10ms and 72V</v>
      </c>
      <c r="D62" s="103"/>
      <c r="E62" s="146">
        <v>3.8</v>
      </c>
      <c r="F62" s="103"/>
      <c r="G62" s="101" t="s">
        <v>26</v>
      </c>
    </row>
    <row r="63" spans="1:7" x14ac:dyDescent="0.3">
      <c r="C63" s="52" t="str">
        <f>SOA_Checks!D51</f>
        <v>Q1 Current handling at 10ms and 72V</v>
      </c>
      <c r="D63" s="103"/>
      <c r="E63" s="146">
        <v>1.6</v>
      </c>
      <c r="F63" s="103"/>
      <c r="G63" s="101" t="s">
        <v>26</v>
      </c>
    </row>
    <row r="64" spans="1:7" x14ac:dyDescent="0.3">
      <c r="C64" s="52" t="str">
        <f>SOA_Checks!D52</f>
        <v>Q1 Current handling at 100ms and 72V</v>
      </c>
      <c r="D64" s="103"/>
      <c r="E64" s="146">
        <v>1.1000000000000001</v>
      </c>
      <c r="F64" s="103"/>
      <c r="G64" s="101" t="s">
        <v>26</v>
      </c>
    </row>
    <row r="65" spans="3:21" x14ac:dyDescent="0.3">
      <c r="C65" s="52" t="str">
        <f>SOA_Checks!D53</f>
        <v>Q1 Current handling at 1ms and 25V</v>
      </c>
      <c r="D65" s="103"/>
      <c r="E65" s="146">
        <v>80</v>
      </c>
      <c r="F65" s="103"/>
      <c r="G65" s="101" t="s">
        <v>26</v>
      </c>
    </row>
    <row r="66" spans="3:21" x14ac:dyDescent="0.3">
      <c r="C66" s="50" t="str">
        <f>SOA_Checks!D54</f>
        <v>Q1 Current handling at 10ms and 25V</v>
      </c>
      <c r="D66" s="103"/>
      <c r="E66" s="146">
        <v>30</v>
      </c>
      <c r="F66" s="103"/>
      <c r="G66" s="101" t="s">
        <v>26</v>
      </c>
    </row>
    <row r="67" spans="3:21" x14ac:dyDescent="0.3">
      <c r="C67" s="52" t="str">
        <f>"SOA Margin: Hot Short / Start-into Short (@ Vin= "&amp;$F$15&amp;"V)"</f>
        <v>SOA Margin: Hot Short / Start-into Short (@ Vin= 72V)</v>
      </c>
      <c r="D67" s="103"/>
      <c r="E67" s="74">
        <f>SOA_Checks!E86</f>
        <v>7.7061191739367398</v>
      </c>
      <c r="F67" s="103"/>
      <c r="G67" s="101"/>
      <c r="K67" s="149"/>
      <c r="L67" s="149"/>
      <c r="M67" s="161" t="str">
        <f>"Start Into Short with Vin = " &amp;F15&amp;"V"</f>
        <v>Start Into Short with Vin = 72V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3">
      <c r="C68" s="52" t="str">
        <f>"SOA Margin: Start-into "&amp;Error_Calculation!O29&amp;" ohm Short (@ Vin= "&amp;$F$15&amp;"V)"</f>
        <v>SOA Margin: Start-into 1 ohm Short (@ Vin= 72V)</v>
      </c>
      <c r="D68" s="103"/>
      <c r="E68" s="74">
        <f>SOA_Checks!E87</f>
        <v>5.7743196420576517</v>
      </c>
      <c r="F68" s="103"/>
      <c r="G68" s="101"/>
    </row>
    <row r="69" spans="3:21" x14ac:dyDescent="0.3">
      <c r="C69" s="52" t="str">
        <f>"SOA Margin: Start-up (@ Vin= "&amp;$F$15&amp;"V)"</f>
        <v>SOA Margin: Start-up (@ Vin= 72V)</v>
      </c>
      <c r="D69" s="103"/>
      <c r="E69" s="74">
        <f>SOA_Checks!E88</f>
        <v>1.807403687442142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3">
      <c r="C70" s="52" t="str">
        <f>"SOA Margin: Current limit (@ Vds just under  "&amp;SOA_Checks!E5&amp;"V)"</f>
        <v>SOA Margin: Current limit (@ Vds just under  25V)</v>
      </c>
      <c r="D70" s="104"/>
      <c r="E70" s="74">
        <f>SOA_Checks!E89</f>
        <v>1.6418297859581519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3">
      <c r="C71" s="52" t="s">
        <v>233</v>
      </c>
      <c r="D71" s="119"/>
      <c r="E71" s="120">
        <f>SOA_Checks!C34</f>
        <v>190.08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3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3">
      <c r="C73" s="52" t="s">
        <v>45</v>
      </c>
      <c r="D73" s="30"/>
      <c r="E73" s="52">
        <f>(E46-E47)/Error_Calculation!N9*1000</f>
        <v>100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3">
      <c r="C74" s="52" t="s">
        <v>46</v>
      </c>
      <c r="D74" s="30"/>
      <c r="E74" s="46">
        <f>E73/(E46-Error_Calculation!N7)</f>
        <v>2.5641025641025643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3">
      <c r="C75" s="52" t="s">
        <v>47</v>
      </c>
      <c r="D75" s="30"/>
      <c r="E75" s="52">
        <f>(E48-E49)/Error_Calculation!N10*1000</f>
        <v>100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3">
      <c r="C76" s="52" t="s">
        <v>48</v>
      </c>
      <c r="D76" s="30"/>
      <c r="E76" s="79">
        <f>E75/(E48-Error_Calculation!N8)</f>
        <v>1.6949152542372881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3">
      <c r="C77" s="75" t="s">
        <v>13</v>
      </c>
      <c r="D77" s="30"/>
      <c r="E77" s="52">
        <f>((E50/Error_Calculation!N16)-1)*Error_Calculation!N17</f>
        <v>470.00000000000006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3">
      <c r="C78" s="75" t="s">
        <v>49</v>
      </c>
      <c r="D78" s="30"/>
      <c r="E78" s="52">
        <f>Error_Calculation!N22*F16/E51*0.001</f>
        <v>52.800000000000004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3">
      <c r="C79" s="75" t="s">
        <v>179</v>
      </c>
      <c r="D79" s="30"/>
      <c r="E79" s="52">
        <f>3*E78</f>
        <v>158.4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3">
      <c r="C80" s="75" t="s">
        <v>56</v>
      </c>
      <c r="D80" s="30"/>
      <c r="E80" s="80">
        <f>E52*Error_Calculation!N14/Error_Calculation!N11</f>
        <v>66.666666666666671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3">
      <c r="C81" s="75" t="s">
        <v>205</v>
      </c>
      <c r="D81" s="30"/>
      <c r="E81" s="80">
        <f>(E47-Error_Calculation!M26)/(Error_Calculation!O25*1.2)</f>
        <v>21.969696969696969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3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3">
      <c r="C83" s="52" t="s">
        <v>78</v>
      </c>
      <c r="D83" s="30"/>
      <c r="E83" s="132">
        <v>5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3">
      <c r="C84" s="52" t="s">
        <v>45</v>
      </c>
      <c r="D84" s="30"/>
      <c r="E84" s="132">
        <v>100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3">
      <c r="C85" s="52" t="s">
        <v>46</v>
      </c>
      <c r="D85" s="30"/>
      <c r="E85" s="132">
        <v>2.7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3">
      <c r="C86" s="52" t="s">
        <v>47</v>
      </c>
      <c r="D86" s="30"/>
      <c r="E86" s="132">
        <v>100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3">
      <c r="C87" s="52" t="s">
        <v>48</v>
      </c>
      <c r="D87" s="30"/>
      <c r="E87" s="132">
        <v>1.8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55" customHeight="1" x14ac:dyDescent="0.3">
      <c r="C88" s="75" t="s">
        <v>13</v>
      </c>
      <c r="D88" s="30"/>
      <c r="E88" s="132">
        <v>470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25V</v>
      </c>
      <c r="Q88" s="161"/>
      <c r="R88" s="161"/>
      <c r="S88" s="161"/>
      <c r="T88" s="161"/>
      <c r="U88" s="115"/>
    </row>
    <row r="89" spans="3:21" x14ac:dyDescent="0.3">
      <c r="C89" s="75" t="s">
        <v>49</v>
      </c>
      <c r="D89" s="30"/>
      <c r="E89" s="132">
        <v>53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3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3">
      <c r="C91" s="75" t="s">
        <v>56</v>
      </c>
      <c r="D91" s="30"/>
      <c r="E91" s="132">
        <v>66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3">
      <c r="C92" s="75" t="s">
        <v>125</v>
      </c>
      <c r="D92" s="30"/>
      <c r="E92" s="132">
        <v>22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3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3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3">
      <c r="C95" s="52" t="s">
        <v>76</v>
      </c>
      <c r="D95" s="46">
        <f>IF(Component_Selection!$D$94="Worst Case", Error_Calculation!D6, Error_Calculation!D20)</f>
        <v>7.670151549950587</v>
      </c>
      <c r="E95" s="46">
        <f>IF(Component_Selection!$D$94="Worst Case", Error_Calculation!E6, Error_Calculation!E20)</f>
        <v>8</v>
      </c>
      <c r="F95" s="46">
        <f>IF(Component_Selection!$D$94="Worst Case", Error_Calculation!F6, Error_Calculation!F20)</f>
        <v>8.329848450049413</v>
      </c>
      <c r="G95" s="143" t="s">
        <v>26</v>
      </c>
      <c r="H95" s="53">
        <f t="shared" ref="H95:H107" si="0">MAX(F95-E95, E95-D95)/E95</f>
        <v>4.1231056256176624E-2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3">
      <c r="C96" s="52" t="s">
        <v>77</v>
      </c>
      <c r="D96" s="46">
        <f>IF(Component_Selection!$D$94="Worst Case", Error_Calculation!D7, Error_Calculation!D21)</f>
        <v>0.39991002024089262</v>
      </c>
      <c r="E96" s="46">
        <f>IF(Component_Selection!$D$94="Worst Case", Error_Calculation!E7, Error_Calculation!E21)</f>
        <v>0.6</v>
      </c>
      <c r="F96" s="46">
        <f>IF(Component_Selection!$D$94="Worst Case", Error_Calculation!F7, Error_Calculation!F21)</f>
        <v>0.80008997975910745</v>
      </c>
      <c r="G96" s="143" t="s">
        <v>26</v>
      </c>
      <c r="H96" s="53">
        <f t="shared" si="0"/>
        <v>0.33348329959851247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3">
      <c r="C97" s="52" t="s">
        <v>40</v>
      </c>
      <c r="D97" s="46">
        <f>IF(Component_Selection!$D$94="Worst Case", Error_Calculation!D8, Error_Calculation!D22)</f>
        <v>37.463951289222265</v>
      </c>
      <c r="E97" s="46">
        <f>IF(Component_Selection!$D$94="Worst Case", Error_Calculation!E8, Error_Calculation!E22)</f>
        <v>38.037037037037038</v>
      </c>
      <c r="F97" s="46">
        <f>IF(Component_Selection!$D$94="Worst Case", Error_Calculation!F8, Error_Calculation!F22)</f>
        <v>38.610122784851811</v>
      </c>
      <c r="G97" s="143" t="s">
        <v>4</v>
      </c>
      <c r="H97" s="53">
        <f t="shared" si="0"/>
        <v>1.5066519173319241E-2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3">
      <c r="C98" s="52" t="s">
        <v>71</v>
      </c>
      <c r="D98" s="46">
        <f>IF(Component_Selection!$D$94="Worst Case", Error_Calculation!D9, Error_Calculation!D23)</f>
        <v>0.87999583340566889</v>
      </c>
      <c r="E98" s="46">
        <f>IF(Component_Selection!$D$94="Worst Case", Error_Calculation!E9, Error_Calculation!E23)</f>
        <v>1</v>
      </c>
      <c r="F98" s="46">
        <f>IF(Component_Selection!$D$94="Worst Case", Error_Calculation!F9, Error_Calculation!F23)</f>
        <v>1.1200041665943312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3">
      <c r="C99" s="52" t="s">
        <v>59</v>
      </c>
      <c r="D99" s="46">
        <f>IF(Component_Selection!$D$94="Worst Case", Error_Calculation!D10, Error_Calculation!D24)</f>
        <v>36.343947122627931</v>
      </c>
      <c r="E99" s="46">
        <f>IF(Component_Selection!$D$94="Worst Case", Error_Calculation!E10, Error_Calculation!E24)</f>
        <v>37.037037037037038</v>
      </c>
      <c r="F99" s="46">
        <f>IF(Component_Selection!$D$94="Worst Case", Error_Calculation!F10, Error_Calculation!F24)</f>
        <v>37.730126951446145</v>
      </c>
      <c r="G99" s="143" t="s">
        <v>4</v>
      </c>
      <c r="H99" s="53">
        <f t="shared" si="0"/>
        <v>1.8713427689045894E-2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3">
      <c r="C100" s="52" t="s">
        <v>42</v>
      </c>
      <c r="D100" s="46">
        <f>IF(Component_Selection!$D$94="Worst Case", Error_Calculation!D11, Error_Calculation!D25)</f>
        <v>55.421620192579596</v>
      </c>
      <c r="E100" s="46">
        <f>IF(Component_Selection!$D$94="Worst Case", Error_Calculation!E11, Error_Calculation!E25)</f>
        <v>56.55555555555555</v>
      </c>
      <c r="F100" s="46">
        <f>IF(Component_Selection!$D$94="Worst Case", Error_Calculation!F11, Error_Calculation!F25)</f>
        <v>57.689490918531504</v>
      </c>
      <c r="G100" s="143" t="s">
        <v>4</v>
      </c>
      <c r="H100" s="53">
        <f t="shared" si="0"/>
        <v>2.0049937655763437E-2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3">
      <c r="C101" s="52" t="s">
        <v>72</v>
      </c>
      <c r="D101" s="46">
        <f>IF(Component_Selection!$D$94="Worst Case", Error_Calculation!D12, Error_Calculation!D26)</f>
        <v>0.87999583340566889</v>
      </c>
      <c r="E101" s="46">
        <f>IF(Component_Selection!$D$94="Worst Case", Error_Calculation!E12, Error_Calculation!E26)</f>
        <v>1</v>
      </c>
      <c r="F101" s="46">
        <f>IF(Component_Selection!$D$94="Worst Case", Error_Calculation!F12, Error_Calculation!F26)</f>
        <v>1.1200041665943312</v>
      </c>
      <c r="G101" s="143" t="s">
        <v>4</v>
      </c>
      <c r="H101" s="53">
        <f t="shared" si="0"/>
        <v>0.12000416659433122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3">
      <c r="C102" s="52" t="s">
        <v>41</v>
      </c>
      <c r="D102" s="46">
        <f>IF(Component_Selection!$D$94="Worst Case", Error_Calculation!D13, Error_Calculation!D27)</f>
        <v>54.301616025985261</v>
      </c>
      <c r="E102" s="46">
        <f>IF(Component_Selection!$D$94="Worst Case", Error_Calculation!E13, Error_Calculation!E27)</f>
        <v>55.55555555555555</v>
      </c>
      <c r="F102" s="46">
        <f>IF(Component_Selection!$D$94="Worst Case", Error_Calculation!F13, Error_Calculation!F27)</f>
        <v>56.809495085125839</v>
      </c>
      <c r="G102" s="143" t="s">
        <v>4</v>
      </c>
      <c r="H102" s="53">
        <f t="shared" si="0"/>
        <v>2.2570911532265203E-2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3">
      <c r="C103" s="52" t="s">
        <v>60</v>
      </c>
      <c r="D103" s="46">
        <f>IF(Component_Selection!$D$94="Worst Case", Error_Calculation!D14, Error_Calculation!D28)</f>
        <v>23.653708798216375</v>
      </c>
      <c r="E103" s="46">
        <f>IF(Component_Selection!$D$94="Worst Case", Error_Calculation!E14, Error_Calculation!E28)</f>
        <v>25</v>
      </c>
      <c r="F103" s="46">
        <f>IF(Component_Selection!$D$94="Worst Case", Error_Calculation!F14, Error_Calculation!F28)</f>
        <v>26.346291201783629</v>
      </c>
      <c r="G103" s="144" t="s">
        <v>4</v>
      </c>
      <c r="H103" s="53">
        <f t="shared" si="0"/>
        <v>5.3851648071345154E-2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3">
      <c r="C104" s="52" t="s">
        <v>67</v>
      </c>
      <c r="D104" s="46">
        <f>IF(Component_Selection!$D$94="Worst Case", Error_Calculation!D15, Error_Calculation!D29)</f>
        <v>0.12143751266266579</v>
      </c>
      <c r="E104" s="46">
        <f>IF(Component_Selection!$D$94="Worst Case", Error_Calculation!E15, Error_Calculation!E29)</f>
        <v>0.19924528301886793</v>
      </c>
      <c r="F104" s="46">
        <f>IF(Component_Selection!$D$94="Worst Case", Error_Calculation!F15, Error_Calculation!F29)</f>
        <v>0.27705305337507008</v>
      </c>
      <c r="G104" s="143" t="s">
        <v>26</v>
      </c>
      <c r="H104" s="53">
        <f t="shared" si="0"/>
        <v>0.39051248379533277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3">
      <c r="C105" s="52" t="s">
        <v>63</v>
      </c>
      <c r="D105" s="46">
        <f>IF(Component_Selection!$D$94="Worst Case", Error_Calculation!D16, Error_Calculation!D30)</f>
        <v>8.4859971711485152</v>
      </c>
      <c r="E105" s="46">
        <f>IF(Component_Selection!$D$94="Worst Case", Error_Calculation!E16, Error_Calculation!E30)</f>
        <v>9.9</v>
      </c>
      <c r="F105" s="46">
        <f>IF(Component_Selection!$D$94="Worst Case", Error_Calculation!F16, Error_Calculation!F30)</f>
        <v>11.314002828851486</v>
      </c>
      <c r="G105" s="144" t="s">
        <v>55</v>
      </c>
      <c r="H105" s="53">
        <f t="shared" si="0"/>
        <v>0.14282856857085707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3">
      <c r="C106" s="52" t="s">
        <v>62</v>
      </c>
      <c r="D106" s="46">
        <f>IF(Component_Selection!$D$94="Worst Case", Error_Calculation!D17, Error_Calculation!D31)</f>
        <v>4.2429985855742576</v>
      </c>
      <c r="E106" s="46">
        <f>IF(Component_Selection!$D$94="Worst Case", Error_Calculation!E17, Error_Calculation!E31)</f>
        <v>4.95</v>
      </c>
      <c r="F106" s="46">
        <f>IF(Component_Selection!$D$94="Worst Case", Error_Calculation!F17, Error_Calculation!F31)</f>
        <v>5.6570014144257428</v>
      </c>
      <c r="G106" s="144" t="s">
        <v>55</v>
      </c>
      <c r="H106" s="53">
        <f t="shared" si="0"/>
        <v>0.14282856857085707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3">
      <c r="C107" s="75" t="s">
        <v>61</v>
      </c>
      <c r="D107" s="46">
        <f>IF(Component_Selection!$D$94="Worst Case", Error_Calculation!D18, Error_Calculation!D32)</f>
        <v>0.84859971711485149</v>
      </c>
      <c r="E107" s="46">
        <f>IF(Component_Selection!$D$94="Worst Case", Error_Calculation!E18, Error_Calculation!E32)</f>
        <v>0.99</v>
      </c>
      <c r="F107" s="46">
        <f>IF(Component_Selection!$D$94="Worst Case", Error_Calculation!F18, Error_Calculation!F32)</f>
        <v>1.1314002828851484</v>
      </c>
      <c r="G107" s="144" t="s">
        <v>55</v>
      </c>
      <c r="H107" s="53">
        <f t="shared" si="0"/>
        <v>0.14282856857085707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" thickBot="1" x14ac:dyDescent="0.35">
      <c r="C108" s="75" t="s">
        <v>204</v>
      </c>
      <c r="D108" s="52"/>
      <c r="E108" s="80">
        <f>E15*(E15-Error_Calculation!$N$26)/$E$92</f>
        <v>73.090909090909093</v>
      </c>
      <c r="F108" s="80">
        <f>F15*(F15-Error_Calculation!$N$26)/$E$92</f>
        <v>188.18181818181819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3">
      <c r="I109" s="28"/>
    </row>
    <row r="110" spans="3:21" x14ac:dyDescent="0.3">
      <c r="I110" s="28"/>
    </row>
    <row r="111" spans="3:21" x14ac:dyDescent="0.3">
      <c r="I111" s="19"/>
    </row>
    <row r="112" spans="3:21" x14ac:dyDescent="0.3">
      <c r="I112" s="19"/>
    </row>
    <row r="113" spans="9:9" x14ac:dyDescent="0.3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>
      <formula1>$A$49:$A$50</formula1>
    </dataValidation>
    <dataValidation type="list" allowBlank="1" showInputMessage="1" showErrorMessage="1" sqref="F41">
      <formula1>$A$38:$A$39</formula1>
    </dataValidation>
  </dataValidations>
  <hyperlinks>
    <hyperlink ref="C2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Error_Calculation!$D$2:$D$3</xm:f>
          </x14:formula1>
          <xm:sqref>D94</xm:sqref>
        </x14:dataValidation>
        <x14:dataValidation type="list" allowBlank="1" showInputMessage="1" showErrorMessage="1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110" zoomScaleNormal="110" workbookViewId="0">
      <selection activeCell="C3" sqref="C3"/>
    </sheetView>
  </sheetViews>
  <sheetFormatPr defaultRowHeight="14.4" x14ac:dyDescent="0.3"/>
  <cols>
    <col min="1" max="1" width="18.77734375" customWidth="1"/>
    <col min="2" max="2" width="26.21875" customWidth="1"/>
    <col min="3" max="3" width="10" customWidth="1"/>
    <col min="4" max="4" width="15.77734375" style="56" customWidth="1"/>
  </cols>
  <sheetData>
    <row r="2" spans="1:11" x14ac:dyDescent="0.3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3">
      <c r="B3" s="52" t="s">
        <v>74</v>
      </c>
      <c r="C3" s="131">
        <v>54</v>
      </c>
      <c r="D3" s="68" t="s">
        <v>4</v>
      </c>
    </row>
    <row r="4" spans="1:11" x14ac:dyDescent="0.3">
      <c r="B4" s="52" t="s">
        <v>256</v>
      </c>
      <c r="C4" s="131">
        <v>10</v>
      </c>
      <c r="D4" s="68" t="s">
        <v>4</v>
      </c>
    </row>
    <row r="5" spans="1:11" x14ac:dyDescent="0.3">
      <c r="B5" s="72" t="s">
        <v>214</v>
      </c>
      <c r="C5" s="130">
        <v>1</v>
      </c>
      <c r="D5" s="68" t="s">
        <v>55</v>
      </c>
    </row>
    <row r="6" spans="1:11" x14ac:dyDescent="0.3">
      <c r="B6" s="52" t="s">
        <v>75</v>
      </c>
      <c r="C6" s="131">
        <v>54</v>
      </c>
      <c r="D6" s="68" t="s">
        <v>4</v>
      </c>
    </row>
    <row r="7" spans="1:11" x14ac:dyDescent="0.3">
      <c r="B7" s="170" t="s">
        <v>134</v>
      </c>
      <c r="C7" s="171"/>
      <c r="D7" s="172"/>
    </row>
    <row r="8" spans="1:11" x14ac:dyDescent="0.3">
      <c r="B8" s="92" t="s">
        <v>208</v>
      </c>
      <c r="C8" s="131">
        <v>1</v>
      </c>
      <c r="D8" s="56" t="s">
        <v>4</v>
      </c>
      <c r="I8" s="24"/>
    </row>
    <row r="9" spans="1:11" x14ac:dyDescent="0.3">
      <c r="B9" s="52" t="s">
        <v>79</v>
      </c>
      <c r="C9" s="131">
        <v>0</v>
      </c>
      <c r="D9" s="68" t="s">
        <v>255</v>
      </c>
      <c r="I9" s="24"/>
    </row>
    <row r="10" spans="1:11" x14ac:dyDescent="0.3">
      <c r="B10" s="52" t="s">
        <v>209</v>
      </c>
      <c r="C10" s="131">
        <f>Component_Selection!E16/1000</f>
        <v>0.44</v>
      </c>
      <c r="D10" s="68" t="s">
        <v>255</v>
      </c>
    </row>
    <row r="11" spans="1:11" x14ac:dyDescent="0.3">
      <c r="B11" s="52" t="s">
        <v>133</v>
      </c>
      <c r="C11" s="131">
        <f>Component_Selection!E14</f>
        <v>300</v>
      </c>
      <c r="D11" s="68" t="s">
        <v>20</v>
      </c>
    </row>
    <row r="12" spans="1:11" x14ac:dyDescent="0.3">
      <c r="B12" s="52" t="s">
        <v>210</v>
      </c>
      <c r="C12" s="136">
        <v>0.01</v>
      </c>
      <c r="D12" s="68"/>
    </row>
    <row r="13" spans="1:11" x14ac:dyDescent="0.3">
      <c r="B13" s="92" t="s">
        <v>211</v>
      </c>
      <c r="C13" s="137">
        <v>0.2</v>
      </c>
      <c r="D13" s="56" t="s">
        <v>55</v>
      </c>
    </row>
    <row r="14" spans="1:11" x14ac:dyDescent="0.3">
      <c r="B14" s="52" t="s">
        <v>83</v>
      </c>
      <c r="C14" s="73">
        <f>SUM(C9:C10)</f>
        <v>0.44</v>
      </c>
      <c r="D14" s="68" t="s">
        <v>254</v>
      </c>
    </row>
    <row r="15" spans="1:11" x14ac:dyDescent="0.3">
      <c r="B15" s="52" t="s">
        <v>135</v>
      </c>
      <c r="C15" s="74">
        <f>Component_Selection!E24</f>
        <v>8</v>
      </c>
      <c r="D15" s="106" t="s">
        <v>26</v>
      </c>
    </row>
    <row r="16" spans="1:11" x14ac:dyDescent="0.3">
      <c r="A16" t="s">
        <v>136</v>
      </c>
      <c r="B16" s="108" t="s">
        <v>139</v>
      </c>
      <c r="C16" s="109"/>
      <c r="D16" s="110"/>
    </row>
    <row r="17" spans="2:16" x14ac:dyDescent="0.3">
      <c r="B17" s="75" t="s">
        <v>140</v>
      </c>
      <c r="C17" s="74">
        <f>ATIS_Calculations!E17</f>
        <v>39.226614341888748</v>
      </c>
      <c r="D17" s="68" t="s">
        <v>4</v>
      </c>
    </row>
    <row r="18" spans="2:16" x14ac:dyDescent="0.3">
      <c r="B18" s="75" t="s">
        <v>141</v>
      </c>
      <c r="C18" s="74">
        <f>C6-C17</f>
        <v>14.773385658111252</v>
      </c>
      <c r="D18" s="106" t="s">
        <v>4</v>
      </c>
      <c r="O18" s="28"/>
      <c r="P18" s="24"/>
    </row>
    <row r="19" spans="2:16" x14ac:dyDescent="0.3">
      <c r="B19" s="75" t="s">
        <v>142</v>
      </c>
      <c r="C19" s="74">
        <f>ATIS_Calculations!D5</f>
        <v>5.4680069164273339</v>
      </c>
      <c r="D19" s="106" t="s">
        <v>55</v>
      </c>
    </row>
    <row r="20" spans="2:16" x14ac:dyDescent="0.3">
      <c r="B20" s="75" t="s">
        <v>143</v>
      </c>
      <c r="C20" s="74">
        <f>ATIS_Calculations!D7</f>
        <v>3.8373878483837713</v>
      </c>
      <c r="D20" s="106" t="s">
        <v>55</v>
      </c>
      <c r="G20" s="47"/>
    </row>
    <row r="21" spans="2:16" x14ac:dyDescent="0.3">
      <c r="B21" s="108" t="s">
        <v>144</v>
      </c>
      <c r="C21" s="109"/>
      <c r="D21" s="110"/>
    </row>
    <row r="22" spans="2:16" x14ac:dyDescent="0.3">
      <c r="B22" s="75" t="s">
        <v>145</v>
      </c>
      <c r="C22" s="74">
        <f>C20*2*1.2</f>
        <v>9.2097308361210501</v>
      </c>
      <c r="D22" s="106" t="s">
        <v>55</v>
      </c>
    </row>
    <row r="23" spans="2:16" ht="28.8" x14ac:dyDescent="0.3">
      <c r="B23" s="76" t="s">
        <v>146</v>
      </c>
      <c r="C23" s="74">
        <f>C18*1.05</f>
        <v>15.512054941016816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9"/>
  <sheetViews>
    <sheetView topLeftCell="A61" zoomScaleNormal="100" workbookViewId="0">
      <selection activeCell="E76" sqref="E76"/>
    </sheetView>
  </sheetViews>
  <sheetFormatPr defaultRowHeight="14.4" x14ac:dyDescent="0.3"/>
  <cols>
    <col min="3" max="3" width="14.21875" customWidth="1"/>
    <col min="4" max="4" width="41.77734375" customWidth="1"/>
    <col min="5" max="5" width="18.5546875" customWidth="1"/>
    <col min="8" max="8" width="15.5546875" customWidth="1"/>
    <col min="9" max="9" width="16.21875" customWidth="1"/>
    <col min="10" max="10" width="11.21875" customWidth="1"/>
    <col min="15" max="15" width="11.21875" customWidth="1"/>
  </cols>
  <sheetData>
    <row r="1" spans="4:26" x14ac:dyDescent="0.3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3">
      <c r="D2" t="s">
        <v>215</v>
      </c>
      <c r="E2" t="str">
        <f>Component_Selection!D54</f>
        <v>Target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3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0.6</v>
      </c>
      <c r="Q4" t="s">
        <v>26</v>
      </c>
      <c r="T4" t="s">
        <v>152</v>
      </c>
    </row>
    <row r="5" spans="4:26" x14ac:dyDescent="0.3">
      <c r="D5" s="52" t="s">
        <v>217</v>
      </c>
      <c r="E5" s="46">
        <f>IF($E$2="Programmed", I5, H5)</f>
        <v>25</v>
      </c>
      <c r="F5" s="52" t="s">
        <v>4</v>
      </c>
      <c r="G5" s="52"/>
      <c r="H5" s="52">
        <f>Component_Selection!E50</f>
        <v>25</v>
      </c>
      <c r="I5" s="46">
        <f>Component_Selection!E103</f>
        <v>25</v>
      </c>
      <c r="O5" t="s">
        <v>180</v>
      </c>
      <c r="P5">
        <f>Component_Selection!F30</f>
        <v>14.4</v>
      </c>
      <c r="Q5" t="s">
        <v>50</v>
      </c>
      <c r="T5" t="s">
        <v>153</v>
      </c>
    </row>
    <row r="6" spans="4:26" x14ac:dyDescent="0.3">
      <c r="D6" s="52" t="s">
        <v>218</v>
      </c>
      <c r="E6" s="46">
        <f>IF($E$2="Programmed", I6, H6)</f>
        <v>0.2</v>
      </c>
      <c r="F6" s="52" t="s">
        <v>26</v>
      </c>
      <c r="G6" s="52"/>
      <c r="H6" s="52">
        <f>Component_Selection!E51</f>
        <v>0.2</v>
      </c>
      <c r="I6" s="46">
        <f>Component_Selection!E104</f>
        <v>0.19924528301886793</v>
      </c>
      <c r="O6" t="s">
        <v>184</v>
      </c>
      <c r="P6">
        <f>Component_Selection!E79</f>
        <v>158.4</v>
      </c>
      <c r="Q6" t="s">
        <v>50</v>
      </c>
      <c r="T6" t="s">
        <v>154</v>
      </c>
    </row>
    <row r="7" spans="4:26" x14ac:dyDescent="0.3">
      <c r="D7" s="52" t="s">
        <v>49</v>
      </c>
      <c r="E7" s="46">
        <f>IF($E$2="Programmed", I7, H7)</f>
        <v>52.800000000000004</v>
      </c>
      <c r="F7" s="52" t="s">
        <v>50</v>
      </c>
      <c r="G7" s="52"/>
      <c r="H7" s="52">
        <f>Component_Selection!E78</f>
        <v>52.800000000000004</v>
      </c>
      <c r="I7" s="52">
        <f>Component_Selection!E89</f>
        <v>53</v>
      </c>
      <c r="O7" t="s">
        <v>185</v>
      </c>
      <c r="P7">
        <f>Component_Selection!E90</f>
        <v>150</v>
      </c>
      <c r="Q7" t="s">
        <v>50</v>
      </c>
    </row>
    <row r="8" spans="4:26" x14ac:dyDescent="0.3">
      <c r="D8" s="52" t="s">
        <v>179</v>
      </c>
      <c r="E8" s="46">
        <f>IF($E$2="Programmed", I8, H8)</f>
        <v>158.4</v>
      </c>
      <c r="F8" s="52" t="s">
        <v>50</v>
      </c>
      <c r="G8" s="52"/>
      <c r="H8" s="52">
        <f>Component_Selection!E79</f>
        <v>158.4</v>
      </c>
      <c r="I8" s="52">
        <f>Component_Selection!E90</f>
        <v>150</v>
      </c>
      <c r="O8" t="s">
        <v>181</v>
      </c>
      <c r="P8">
        <f>Component_Selection!E78</f>
        <v>52.800000000000004</v>
      </c>
      <c r="Q8" t="s">
        <v>50</v>
      </c>
      <c r="T8" t="s">
        <v>155</v>
      </c>
    </row>
    <row r="9" spans="4:26" x14ac:dyDescent="0.3">
      <c r="D9" s="75" t="s">
        <v>221</v>
      </c>
      <c r="E9" s="46">
        <f>IF($E$2="Programmed", I9, H9)</f>
        <v>10</v>
      </c>
      <c r="F9" s="75" t="s">
        <v>55</v>
      </c>
      <c r="G9" s="52"/>
      <c r="H9" s="52">
        <f>Component_Selection!E52</f>
        <v>10</v>
      </c>
      <c r="I9" s="46">
        <f>Component_Selection!E105</f>
        <v>9.9</v>
      </c>
      <c r="O9" t="s">
        <v>182</v>
      </c>
      <c r="P9">
        <f>Component_Selection!E89</f>
        <v>53</v>
      </c>
      <c r="Q9" t="s">
        <v>50</v>
      </c>
      <c r="T9" t="s">
        <v>156</v>
      </c>
    </row>
    <row r="10" spans="4:26" x14ac:dyDescent="0.3">
      <c r="D10" s="75" t="s">
        <v>219</v>
      </c>
      <c r="E10" s="46">
        <f>Component_Selection!E24</f>
        <v>8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3">
      <c r="D11" s="75" t="s">
        <v>220</v>
      </c>
      <c r="E11" s="46">
        <f>Component_Selection!E25</f>
        <v>0.6</v>
      </c>
      <c r="F11" s="75" t="s">
        <v>26</v>
      </c>
      <c r="G11" s="52"/>
      <c r="H11" s="52"/>
      <c r="I11" s="46"/>
    </row>
    <row r="12" spans="4:26" x14ac:dyDescent="0.3">
      <c r="D12" s="75" t="s">
        <v>223</v>
      </c>
      <c r="E12" s="46">
        <f>E9/2</f>
        <v>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Target</v>
      </c>
    </row>
    <row r="13" spans="4:26" x14ac:dyDescent="0.3">
      <c r="D13" s="75" t="s">
        <v>222</v>
      </c>
      <c r="E13" s="46">
        <f>E12/5</f>
        <v>1</v>
      </c>
      <c r="F13" s="52" t="s">
        <v>55</v>
      </c>
      <c r="G13" s="52"/>
      <c r="H13" s="52"/>
      <c r="I13" s="52"/>
      <c r="O13" t="s">
        <v>158</v>
      </c>
      <c r="P13" s="28">
        <f>E7</f>
        <v>52.800000000000004</v>
      </c>
      <c r="Q13" t="s">
        <v>50</v>
      </c>
    </row>
    <row r="14" spans="4:26" x14ac:dyDescent="0.3">
      <c r="O14" t="s">
        <v>159</v>
      </c>
      <c r="P14" s="28">
        <f>E8</f>
        <v>158.4</v>
      </c>
      <c r="Q14" t="s">
        <v>50</v>
      </c>
    </row>
    <row r="15" spans="4:26" x14ac:dyDescent="0.3">
      <c r="O15" t="s">
        <v>160</v>
      </c>
      <c r="P15">
        <f>Error_Calculation!N22</f>
        <v>20</v>
      </c>
      <c r="Q15" t="s">
        <v>7</v>
      </c>
    </row>
    <row r="16" spans="4:26" x14ac:dyDescent="0.3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3">
      <c r="D17" s="52" t="s">
        <v>102</v>
      </c>
      <c r="E17" s="52">
        <f>Component_Selection!F15</f>
        <v>72</v>
      </c>
      <c r="F17" s="52" t="s">
        <v>4</v>
      </c>
    </row>
    <row r="18" spans="3:18" x14ac:dyDescent="0.3">
      <c r="O18" s="174" t="s">
        <v>186</v>
      </c>
      <c r="P18" s="174"/>
      <c r="Q18" s="174"/>
    </row>
    <row r="19" spans="3:18" x14ac:dyDescent="0.3">
      <c r="D19" s="52" t="s">
        <v>149</v>
      </c>
      <c r="E19" s="52">
        <f>E21/10</f>
        <v>1</v>
      </c>
      <c r="F19" s="52" t="s">
        <v>55</v>
      </c>
      <c r="O19" s="52" t="s">
        <v>112</v>
      </c>
      <c r="P19" s="52">
        <f>P15/(P13+P14)</f>
        <v>9.4696969696969696E-2</v>
      </c>
      <c r="Q19" s="52" t="s">
        <v>163</v>
      </c>
    </row>
    <row r="20" spans="3:18" x14ac:dyDescent="0.3">
      <c r="D20" s="52" t="s">
        <v>150</v>
      </c>
      <c r="E20" s="52">
        <f>E21/2</f>
        <v>5</v>
      </c>
      <c r="F20" s="52" t="s">
        <v>55</v>
      </c>
      <c r="O20" s="93" t="s">
        <v>187</v>
      </c>
      <c r="P20" s="93">
        <f>1/3/P19*SQRT(P4/P10)</f>
        <v>0.60968188426424486</v>
      </c>
      <c r="Q20" s="93" t="s">
        <v>55</v>
      </c>
    </row>
    <row r="21" spans="3:18" x14ac:dyDescent="0.3">
      <c r="D21" s="52" t="s">
        <v>151</v>
      </c>
      <c r="E21" s="52">
        <f>IF(Component_Selection!D54="Target", Component_Selection!E52, Component_Selection!E105)</f>
        <v>10</v>
      </c>
      <c r="F21" s="52" t="s">
        <v>55</v>
      </c>
      <c r="H21" s="111" t="s">
        <v>228</v>
      </c>
      <c r="I21" s="111" t="s">
        <v>229</v>
      </c>
    </row>
    <row r="22" spans="3:18" x14ac:dyDescent="0.3">
      <c r="D22" s="52" t="s">
        <v>196</v>
      </c>
      <c r="E22" s="46">
        <f>IF(I22="TBD", H22, I22)</f>
        <v>1.6096818842642449</v>
      </c>
      <c r="F22" s="52" t="s">
        <v>55</v>
      </c>
      <c r="H22" s="46">
        <f>SOA_Checks!P20+E19</f>
        <v>1.6096818842642449</v>
      </c>
      <c r="I22" s="52" t="str">
        <f>Component_Selection!E57</f>
        <v>TBD</v>
      </c>
    </row>
    <row r="23" spans="3:18" x14ac:dyDescent="0.3">
      <c r="D23" s="52" t="s">
        <v>197</v>
      </c>
      <c r="E23" s="46">
        <f>IF(I23="TBD", H23, I23)</f>
        <v>2.4016818842642449</v>
      </c>
      <c r="F23" s="52" t="s">
        <v>55</v>
      </c>
      <c r="H23" s="46">
        <f>SOA_Checks!P26+E19</f>
        <v>2.4016818842642449</v>
      </c>
      <c r="I23" s="52" t="str">
        <f>Component_Selection!E58</f>
        <v>TBD</v>
      </c>
    </row>
    <row r="24" spans="3:18" x14ac:dyDescent="0.3">
      <c r="E24" s="28"/>
      <c r="O24" s="175" t="s">
        <v>189</v>
      </c>
      <c r="P24" s="175"/>
      <c r="Q24" s="175"/>
      <c r="R24" t="s">
        <v>192</v>
      </c>
    </row>
    <row r="25" spans="3:18" x14ac:dyDescent="0.3">
      <c r="O25" s="52" t="s">
        <v>190</v>
      </c>
      <c r="P25" s="46">
        <f>P4*P16*P13/P15/2</f>
        <v>0.79200000000000004</v>
      </c>
      <c r="Q25" s="52" t="s">
        <v>55</v>
      </c>
      <c r="R25" t="s">
        <v>191</v>
      </c>
    </row>
    <row r="26" spans="3:18" x14ac:dyDescent="0.3">
      <c r="O26" s="93" t="s">
        <v>193</v>
      </c>
      <c r="P26" s="94">
        <f>P25+P20</f>
        <v>1.4016818842642449</v>
      </c>
      <c r="Q26" s="93" t="s">
        <v>55</v>
      </c>
      <c r="R26" t="s">
        <v>194</v>
      </c>
    </row>
    <row r="27" spans="3:18" x14ac:dyDescent="0.3">
      <c r="C27" t="s">
        <v>203</v>
      </c>
      <c r="D27">
        <f>IF(Component_Selection!D54="Target", Component_Selection!E51, Component_Selection!E104)</f>
        <v>0.2</v>
      </c>
    </row>
    <row r="28" spans="3:18" x14ac:dyDescent="0.3">
      <c r="C28" s="28"/>
      <c r="K28">
        <f>1.12*(175-96.3)/150</f>
        <v>0.58762666666666674</v>
      </c>
    </row>
    <row r="30" spans="3:18" x14ac:dyDescent="0.3">
      <c r="C30" s="28">
        <f>E13</f>
        <v>1</v>
      </c>
      <c r="D30" t="s">
        <v>198</v>
      </c>
    </row>
    <row r="31" spans="3:18" x14ac:dyDescent="0.3">
      <c r="C31" s="28">
        <f>E22</f>
        <v>1.6096818842642449</v>
      </c>
      <c r="D31" t="s">
        <v>199</v>
      </c>
    </row>
    <row r="32" spans="3:18" x14ac:dyDescent="0.3">
      <c r="C32" s="28">
        <f>E23</f>
        <v>2.4016818842642449</v>
      </c>
      <c r="D32" t="s">
        <v>200</v>
      </c>
    </row>
    <row r="33" spans="2:6" x14ac:dyDescent="0.3">
      <c r="C33" s="28">
        <f>E20</f>
        <v>5</v>
      </c>
      <c r="D33" t="s">
        <v>114</v>
      </c>
    </row>
    <row r="34" spans="2:6" x14ac:dyDescent="0.3">
      <c r="C34">
        <f>Component_Selection!F16*Component_Selection!F15/D27/1000</f>
        <v>190.08</v>
      </c>
      <c r="D34" t="s">
        <v>107</v>
      </c>
      <c r="E34" t="s">
        <v>225</v>
      </c>
    </row>
    <row r="35" spans="2:6" x14ac:dyDescent="0.3">
      <c r="C35">
        <f>ROUND(SOA_Checks!C34/2,1)</f>
        <v>95</v>
      </c>
      <c r="D35" t="s">
        <v>110</v>
      </c>
    </row>
    <row r="37" spans="2:6" x14ac:dyDescent="0.3">
      <c r="C37" s="28">
        <f>10^(FLOOR(LOG(C31),1))</f>
        <v>1</v>
      </c>
      <c r="D37" t="s">
        <v>105</v>
      </c>
    </row>
    <row r="38" spans="2:6" x14ac:dyDescent="0.3">
      <c r="C38">
        <f>C37*10</f>
        <v>10</v>
      </c>
      <c r="D38" t="s">
        <v>106</v>
      </c>
    </row>
    <row r="39" spans="2:6" x14ac:dyDescent="0.3">
      <c r="B39" s="28"/>
      <c r="C39" s="28">
        <f>10^(FLOOR(LOG(C32),1))</f>
        <v>1</v>
      </c>
      <c r="D39" t="s">
        <v>201</v>
      </c>
    </row>
    <row r="40" spans="2:6" x14ac:dyDescent="0.3">
      <c r="C40">
        <f>C39*10</f>
        <v>10</v>
      </c>
      <c r="D40" t="s">
        <v>202</v>
      </c>
    </row>
    <row r="41" spans="2:6" x14ac:dyDescent="0.3">
      <c r="C41" s="28">
        <f>10^(FLOOR(LOG(C33),1))</f>
        <v>1</v>
      </c>
      <c r="D41" t="s">
        <v>103</v>
      </c>
    </row>
    <row r="42" spans="2:6" x14ac:dyDescent="0.3">
      <c r="C42">
        <f>C41*10</f>
        <v>10</v>
      </c>
      <c r="D42" t="s">
        <v>104</v>
      </c>
    </row>
    <row r="43" spans="2:6" x14ac:dyDescent="0.3">
      <c r="C43" s="28">
        <f>10^(FLOOR(LOG(C35),1))</f>
        <v>10</v>
      </c>
      <c r="D43" t="s">
        <v>108</v>
      </c>
    </row>
    <row r="44" spans="2:6" x14ac:dyDescent="0.3">
      <c r="C44">
        <f>C43*10</f>
        <v>100</v>
      </c>
      <c r="D44" t="s">
        <v>109</v>
      </c>
    </row>
    <row r="46" spans="2:6" x14ac:dyDescent="0.3">
      <c r="C46" t="s">
        <v>82</v>
      </c>
      <c r="D46" s="170" t="s">
        <v>111</v>
      </c>
      <c r="E46" s="170"/>
      <c r="F46" s="170"/>
    </row>
    <row r="47" spans="2:6" x14ac:dyDescent="0.3">
      <c r="C47" s="28">
        <f>C37</f>
        <v>1</v>
      </c>
      <c r="D47" s="52" t="str">
        <f>"Q1 Current handling at "&amp;C37&amp;"ms and "&amp; E17 &amp;"V"</f>
        <v>Q1 Current handling at 1ms and 72V</v>
      </c>
      <c r="E47" s="52">
        <f>Component_Selection!E59</f>
        <v>20</v>
      </c>
      <c r="F47" s="52" t="s">
        <v>26</v>
      </c>
    </row>
    <row r="48" spans="2:6" x14ac:dyDescent="0.3">
      <c r="C48" s="28">
        <f>C38</f>
        <v>10</v>
      </c>
      <c r="D48" s="52" t="str">
        <f>"Q1 Current handling at "&amp;C38&amp;"ms and "&amp; E17 &amp;"V"</f>
        <v>Q1 Current handling at 10ms and 72V</v>
      </c>
      <c r="E48" s="52">
        <f>Component_Selection!E60</f>
        <v>3.8</v>
      </c>
      <c r="F48" s="52" t="s">
        <v>26</v>
      </c>
    </row>
    <row r="49" spans="3:6" x14ac:dyDescent="0.3">
      <c r="C49" s="28">
        <f>C39</f>
        <v>1</v>
      </c>
      <c r="D49" s="52" t="str">
        <f>"Q1 Current handling at "&amp;C39&amp;"ms and "&amp; E17 &amp;"V"</f>
        <v>Q1 Current handling at 1ms and 72V</v>
      </c>
      <c r="E49" s="52">
        <f>Component_Selection!E61</f>
        <v>20</v>
      </c>
      <c r="F49" s="52" t="s">
        <v>26</v>
      </c>
    </row>
    <row r="50" spans="3:6" x14ac:dyDescent="0.3">
      <c r="C50" s="28">
        <f>C40</f>
        <v>10</v>
      </c>
      <c r="D50" s="52" t="str">
        <f>"Q1 Current handling at "&amp;C40&amp;"ms and "&amp; E17 &amp;"V"</f>
        <v>Q1 Current handling at 10ms and 72V</v>
      </c>
      <c r="E50" s="52">
        <f>Component_Selection!E62</f>
        <v>3.8</v>
      </c>
      <c r="F50" s="52" t="s">
        <v>26</v>
      </c>
    </row>
    <row r="51" spans="3:6" x14ac:dyDescent="0.3">
      <c r="C51" s="28">
        <f>C43</f>
        <v>10</v>
      </c>
      <c r="D51" s="52" t="str">
        <f>"Q1 Current handling at "&amp;C43&amp;"ms and "&amp; E17 &amp;"V"</f>
        <v>Q1 Current handling at 10ms and 72V</v>
      </c>
      <c r="E51" s="52">
        <f>Component_Selection!E63</f>
        <v>1.6</v>
      </c>
      <c r="F51" s="52" t="s">
        <v>26</v>
      </c>
    </row>
    <row r="52" spans="3:6" x14ac:dyDescent="0.3">
      <c r="C52" s="28">
        <f>C44</f>
        <v>100</v>
      </c>
      <c r="D52" s="52" t="str">
        <f>"Q1 Current handling at "&amp;C44&amp;"ms and "&amp; E17 &amp;"V"</f>
        <v>Q1 Current handling at 100ms and 72V</v>
      </c>
      <c r="E52" s="52">
        <f>Component_Selection!E64</f>
        <v>1.1000000000000001</v>
      </c>
      <c r="F52" s="52" t="s">
        <v>26</v>
      </c>
    </row>
    <row r="53" spans="3:6" x14ac:dyDescent="0.3">
      <c r="C53" s="28">
        <f>C41</f>
        <v>1</v>
      </c>
      <c r="D53" s="52" t="str">
        <f>"Q1 Current handling at "&amp;C41&amp;"ms and "&amp; E5 &amp;"V"</f>
        <v>Q1 Current handling at 1ms and 25V</v>
      </c>
      <c r="E53" s="52">
        <f>Component_Selection!E65</f>
        <v>80</v>
      </c>
      <c r="F53" s="52" t="s">
        <v>26</v>
      </c>
    </row>
    <row r="54" spans="3:6" x14ac:dyDescent="0.3">
      <c r="C54" s="28">
        <f>C42</f>
        <v>10</v>
      </c>
      <c r="D54" s="52" t="str">
        <f>"Q1 Current handling at "&amp;C42&amp;"ms and "&amp; E5 &amp;"V"</f>
        <v>Q1 Current handling at 10ms and 25V</v>
      </c>
      <c r="E54" s="52">
        <f>Component_Selection!E66</f>
        <v>30</v>
      </c>
      <c r="F54" s="52" t="s">
        <v>26</v>
      </c>
    </row>
    <row r="55" spans="3:6" x14ac:dyDescent="0.3">
      <c r="D55" s="1"/>
      <c r="E55" s="1"/>
      <c r="F55" s="1"/>
    </row>
    <row r="56" spans="3:6" x14ac:dyDescent="0.3">
      <c r="D56" s="1" t="s">
        <v>115</v>
      </c>
      <c r="E56" s="1"/>
      <c r="F56" s="1"/>
    </row>
    <row r="58" spans="3:6" x14ac:dyDescent="0.3">
      <c r="C58" t="s">
        <v>82</v>
      </c>
      <c r="D58" s="170" t="str">
        <f>" Temp Derated SOA (Tj ="&amp;ROUND(Component_Selection!F39,0)&amp;"C)"</f>
        <v xml:space="preserve"> Temp Derated SOA (Tj =126C)</v>
      </c>
      <c r="E58" s="170"/>
      <c r="F58" s="170"/>
    </row>
    <row r="59" spans="3:6" x14ac:dyDescent="0.3">
      <c r="D59" s="52" t="s">
        <v>253</v>
      </c>
      <c r="E59" s="46">
        <f>Component_Selection!F39</f>
        <v>126.11689814814814</v>
      </c>
      <c r="F59" s="52" t="s">
        <v>24</v>
      </c>
    </row>
    <row r="60" spans="3:6" x14ac:dyDescent="0.3">
      <c r="D60" s="52" t="s">
        <v>115</v>
      </c>
      <c r="E60" s="46">
        <f>(Component_Selection!F29-E59)/(Component_Selection!F29-25)</f>
        <v>0.3258873456790124</v>
      </c>
      <c r="F60" s="52"/>
    </row>
    <row r="61" spans="3:6" x14ac:dyDescent="0.3">
      <c r="C61" s="28">
        <f t="shared" ref="C61:D68" si="0">C47</f>
        <v>1</v>
      </c>
      <c r="D61" s="52" t="str">
        <f t="shared" si="0"/>
        <v>Q1 Current handling at 1ms and 72V</v>
      </c>
      <c r="E61" s="46">
        <f t="shared" ref="E61:E68" si="1">E47*$E$60</f>
        <v>6.5177469135802477</v>
      </c>
      <c r="F61" s="52" t="s">
        <v>26</v>
      </c>
    </row>
    <row r="62" spans="3:6" x14ac:dyDescent="0.3">
      <c r="C62" s="28">
        <f t="shared" si="0"/>
        <v>10</v>
      </c>
      <c r="D62" s="52" t="str">
        <f t="shared" si="0"/>
        <v>Q1 Current handling at 10ms and 72V</v>
      </c>
      <c r="E62" s="46">
        <f t="shared" si="1"/>
        <v>1.2383719135802471</v>
      </c>
      <c r="F62" s="52" t="s">
        <v>26</v>
      </c>
    </row>
    <row r="63" spans="3:6" x14ac:dyDescent="0.3">
      <c r="C63" s="28">
        <f t="shared" si="0"/>
        <v>1</v>
      </c>
      <c r="D63" s="52" t="str">
        <f t="shared" si="0"/>
        <v>Q1 Current handling at 1ms and 72V</v>
      </c>
      <c r="E63" s="46">
        <f t="shared" si="1"/>
        <v>6.5177469135802477</v>
      </c>
      <c r="F63" s="52" t="s">
        <v>26</v>
      </c>
    </row>
    <row r="64" spans="3:6" x14ac:dyDescent="0.3">
      <c r="C64" s="28">
        <f t="shared" si="0"/>
        <v>10</v>
      </c>
      <c r="D64" s="52" t="str">
        <f t="shared" si="0"/>
        <v>Q1 Current handling at 10ms and 72V</v>
      </c>
      <c r="E64" s="46">
        <f t="shared" si="1"/>
        <v>1.2383719135802471</v>
      </c>
      <c r="F64" s="52" t="s">
        <v>26</v>
      </c>
    </row>
    <row r="65" spans="3:8" x14ac:dyDescent="0.3">
      <c r="C65" s="28">
        <f t="shared" si="0"/>
        <v>10</v>
      </c>
      <c r="D65" s="52" t="str">
        <f t="shared" si="0"/>
        <v>Q1 Current handling at 10ms and 72V</v>
      </c>
      <c r="E65" s="46">
        <f t="shared" si="1"/>
        <v>0.52141975308641986</v>
      </c>
      <c r="F65" s="52" t="s">
        <v>26</v>
      </c>
    </row>
    <row r="66" spans="3:8" x14ac:dyDescent="0.3">
      <c r="C66" s="28">
        <f t="shared" si="0"/>
        <v>100</v>
      </c>
      <c r="D66" s="52" t="str">
        <f t="shared" si="0"/>
        <v>Q1 Current handling at 100ms and 72V</v>
      </c>
      <c r="E66" s="46">
        <f t="shared" si="1"/>
        <v>0.35847608024691369</v>
      </c>
      <c r="F66" s="52" t="s">
        <v>26</v>
      </c>
    </row>
    <row r="67" spans="3:8" x14ac:dyDescent="0.3">
      <c r="C67" s="28">
        <f t="shared" si="0"/>
        <v>1</v>
      </c>
      <c r="D67" s="52" t="str">
        <f t="shared" si="0"/>
        <v>Q1 Current handling at 1ms and 25V</v>
      </c>
      <c r="E67" s="46">
        <f t="shared" si="1"/>
        <v>26.070987654320991</v>
      </c>
      <c r="F67" s="52" t="s">
        <v>26</v>
      </c>
    </row>
    <row r="68" spans="3:8" x14ac:dyDescent="0.3">
      <c r="C68" s="28">
        <f t="shared" si="0"/>
        <v>10</v>
      </c>
      <c r="D68" s="52" t="str">
        <f t="shared" si="0"/>
        <v>Q1 Current handling at 10ms and 25V</v>
      </c>
      <c r="E68" s="46">
        <f t="shared" si="1"/>
        <v>9.776620370370372</v>
      </c>
      <c r="F68" s="52" t="s">
        <v>26</v>
      </c>
    </row>
    <row r="69" spans="3:8" x14ac:dyDescent="0.3">
      <c r="D69" s="1"/>
      <c r="E69" s="1"/>
      <c r="F69" s="1"/>
    </row>
    <row r="70" spans="3:8" x14ac:dyDescent="0.3">
      <c r="D70" s="1"/>
      <c r="E70" s="1"/>
      <c r="F70" s="1"/>
    </row>
    <row r="71" spans="3:8" x14ac:dyDescent="0.3">
      <c r="G71" s="175" t="s">
        <v>230</v>
      </c>
      <c r="H71" s="175"/>
    </row>
    <row r="72" spans="3:8" x14ac:dyDescent="0.3">
      <c r="C72" t="s">
        <v>82</v>
      </c>
      <c r="D72" s="178" t="str">
        <f>" Extrapoloated SOA (Tj ="&amp;ROUND(Component_Selection!F39,0)&amp;"C)"</f>
        <v xml:space="preserve"> Extrapoloated SOA (Tj =126C)</v>
      </c>
      <c r="E72" s="178"/>
      <c r="F72" s="178"/>
      <c r="G72" t="s">
        <v>112</v>
      </c>
      <c r="H72" t="s">
        <v>113</v>
      </c>
    </row>
    <row r="73" spans="3:8" x14ac:dyDescent="0.3">
      <c r="C73" s="28">
        <f>C31</f>
        <v>1.6096818842642449</v>
      </c>
      <c r="D73" s="52" t="str">
        <f>"Short Circuit; Vds = "&amp;E17&amp;"V, t= " &amp;C31 &amp; "ms"</f>
        <v>Short Circuit; Vds = 72V, t= 1.60968188426424ms</v>
      </c>
      <c r="E73" s="46">
        <f>H73*C31^G73*$E$60</f>
        <v>4.6236715043620435</v>
      </c>
      <c r="F73" s="52" t="s">
        <v>26</v>
      </c>
      <c r="G73">
        <f>LN(E47/E48)/LN(C37/C38)</f>
        <v>-0.72124639904717114</v>
      </c>
      <c r="H73">
        <f>E47/C37^G73</f>
        <v>20</v>
      </c>
    </row>
    <row r="74" spans="3:8" x14ac:dyDescent="0.3">
      <c r="C74" s="28">
        <f>C32</f>
        <v>2.4016818842642449</v>
      </c>
      <c r="D74" s="52" t="str">
        <f>"Short Circuit with resistor; Vds = "&amp;E17&amp;"V, t= " &amp;C32 &amp; "ms"</f>
        <v>Short Circuit with resistor; Vds = 72V, t= 2.40168188426424ms</v>
      </c>
      <c r="E74" s="46">
        <f>H74*C32^G74*$E$60</f>
        <v>3.4645917852345911</v>
      </c>
      <c r="F74" s="52" t="s">
        <v>26</v>
      </c>
      <c r="G74">
        <f>LN(E49/E50)/LN(C39/C40)</f>
        <v>-0.72124639904717114</v>
      </c>
      <c r="H74">
        <f>E49/C39^G74</f>
        <v>20</v>
      </c>
    </row>
    <row r="75" spans="3:8" x14ac:dyDescent="0.3">
      <c r="C75">
        <f>C35</f>
        <v>95</v>
      </c>
      <c r="D75" s="52" t="str">
        <f>"Start-up ; Vds = "&amp;E17&amp;"V, t_eq= " &amp;C35 &amp; "ms"</f>
        <v>Start-up ; Vds = 72V, t_eq= 95ms</v>
      </c>
      <c r="E75" s="46">
        <f>H75*C35^G75*$E$60</f>
        <v>0.36148073748842841</v>
      </c>
      <c r="F75" s="52" t="s">
        <v>26</v>
      </c>
      <c r="G75">
        <f>LN(E51/E52)/LN(C43/C44)</f>
        <v>-0.16272729749769976</v>
      </c>
      <c r="H75">
        <f>E51/C43^G75</f>
        <v>2.3272727272727276</v>
      </c>
    </row>
    <row r="76" spans="3:8" x14ac:dyDescent="0.3">
      <c r="C76" s="28">
        <f>C33</f>
        <v>5</v>
      </c>
      <c r="D76" s="52" t="str">
        <f>"Vd = 1.5V; Vds = "&amp;E5&amp;"V, t_eq= " &amp;C33 &amp; "ms"</f>
        <v>Vd = 1.5V; Vds = 25V, t_eq= 5ms</v>
      </c>
      <c r="E76" s="46">
        <f>H76*C33^G76*$E$60</f>
        <v>13.134638287665215</v>
      </c>
      <c r="F76" s="52" t="s">
        <v>26</v>
      </c>
      <c r="G76">
        <f>LN(E53/E54)/LN(C41/C42)</f>
        <v>-0.42596873227228116</v>
      </c>
      <c r="H76">
        <f>E53/C41^G76</f>
        <v>80</v>
      </c>
    </row>
    <row r="79" spans="3:8" x14ac:dyDescent="0.3">
      <c r="C79" t="s">
        <v>82</v>
      </c>
      <c r="D79" s="178" t="s">
        <v>231</v>
      </c>
      <c r="E79" s="178"/>
      <c r="F79" s="178"/>
    </row>
    <row r="80" spans="3:8" x14ac:dyDescent="0.3">
      <c r="C80" s="28">
        <f>C73</f>
        <v>1.6096818842642449</v>
      </c>
      <c r="D80" s="52" t="str">
        <f>D73</f>
        <v>Short Circuit; Vds = 72V, t= 1.60968188426424ms</v>
      </c>
      <c r="E80" s="46">
        <f>E11</f>
        <v>0.6</v>
      </c>
      <c r="F80" s="52" t="s">
        <v>26</v>
      </c>
    </row>
    <row r="81" spans="3:6" x14ac:dyDescent="0.3">
      <c r="C81" s="28">
        <f t="shared" ref="C81:D83" si="2">C74</f>
        <v>2.4016818842642449</v>
      </c>
      <c r="D81" s="52" t="str">
        <f t="shared" si="2"/>
        <v>Short Circuit with resistor; Vds = 72V, t= 2.40168188426424ms</v>
      </c>
      <c r="E81" s="46">
        <f>E11</f>
        <v>0.6</v>
      </c>
      <c r="F81" s="52" t="s">
        <v>26</v>
      </c>
    </row>
    <row r="82" spans="3:6" x14ac:dyDescent="0.3">
      <c r="C82" s="28">
        <f t="shared" si="2"/>
        <v>95</v>
      </c>
      <c r="D82" s="52" t="str">
        <f t="shared" si="2"/>
        <v>Start-up ; Vds = 72V, t_eq= 95ms</v>
      </c>
      <c r="E82" s="46">
        <f>E6</f>
        <v>0.2</v>
      </c>
      <c r="F82" s="52" t="s">
        <v>26</v>
      </c>
    </row>
    <row r="83" spans="3:6" x14ac:dyDescent="0.3">
      <c r="C83" s="28">
        <f t="shared" si="2"/>
        <v>5</v>
      </c>
      <c r="D83" s="52" t="str">
        <f t="shared" si="2"/>
        <v>Vd = 1.5V; Vds = 25V, t_eq= 5ms</v>
      </c>
      <c r="E83" s="46">
        <f>E10</f>
        <v>8</v>
      </c>
      <c r="F83" s="52" t="s">
        <v>26</v>
      </c>
    </row>
    <row r="84" spans="3:6" x14ac:dyDescent="0.3">
      <c r="C84" s="28"/>
      <c r="D84" s="52"/>
      <c r="E84" s="46"/>
      <c r="F84" s="52"/>
    </row>
    <row r="85" spans="3:6" x14ac:dyDescent="0.3">
      <c r="D85" s="178" t="s">
        <v>116</v>
      </c>
      <c r="E85" s="178"/>
      <c r="F85" s="178"/>
    </row>
    <row r="86" spans="3:6" x14ac:dyDescent="0.3">
      <c r="D86" s="52" t="str">
        <f>D80</f>
        <v>Short Circuit; Vds = 72V, t= 1.60968188426424ms</v>
      </c>
      <c r="E86" s="46">
        <f>E73/E80</f>
        <v>7.7061191739367398</v>
      </c>
      <c r="F86" s="52"/>
    </row>
    <row r="87" spans="3:6" x14ac:dyDescent="0.3">
      <c r="D87" s="52" t="str">
        <f>D81</f>
        <v>Short Circuit with resistor; Vds = 72V, t= 2.40168188426424ms</v>
      </c>
      <c r="E87" s="46">
        <f>E74/E81</f>
        <v>5.7743196420576517</v>
      </c>
      <c r="F87" s="52"/>
    </row>
    <row r="88" spans="3:6" x14ac:dyDescent="0.3">
      <c r="D88" s="52" t="str">
        <f>D82</f>
        <v>Start-up ; Vds = 72V, t_eq= 95ms</v>
      </c>
      <c r="E88" s="46">
        <f>E75/E82</f>
        <v>1.807403687442142</v>
      </c>
      <c r="F88" s="52"/>
    </row>
    <row r="89" spans="3:6" x14ac:dyDescent="0.3">
      <c r="D89" s="52" t="str">
        <f>D83</f>
        <v>Vd = 1.5V; Vds = 25V, t_eq= 5ms</v>
      </c>
      <c r="E89" s="46">
        <f>E76/E83</f>
        <v>1.6418297859581519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2"/>
  <sheetViews>
    <sheetView workbookViewId="0">
      <selection activeCell="N25" sqref="N25"/>
    </sheetView>
  </sheetViews>
  <sheetFormatPr defaultRowHeight="14.4" x14ac:dyDescent="0.3"/>
  <cols>
    <col min="3" max="3" width="27.21875" customWidth="1"/>
  </cols>
  <sheetData>
    <row r="2" spans="3:17" x14ac:dyDescent="0.3">
      <c r="D2" t="s">
        <v>119</v>
      </c>
      <c r="G2" t="s">
        <v>15</v>
      </c>
      <c r="H2">
        <f>Component_Selection!E19</f>
        <v>40</v>
      </c>
    </row>
    <row r="3" spans="3:17" x14ac:dyDescent="0.3">
      <c r="D3" t="s">
        <v>120</v>
      </c>
    </row>
    <row r="5" spans="3:17" x14ac:dyDescent="0.3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3">
      <c r="C6" s="29" t="s">
        <v>76</v>
      </c>
      <c r="D6" s="28">
        <f>E6*(1-H6)</f>
        <v>7.6</v>
      </c>
      <c r="E6" s="28">
        <f>H2/Component_Selection!E83</f>
        <v>8</v>
      </c>
      <c r="F6" s="28">
        <f>E6*(1+H6)</f>
        <v>8.4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3">
      <c r="C7" s="29" t="s">
        <v>77</v>
      </c>
      <c r="D7" s="28">
        <f>E7*(1-H7)</f>
        <v>0.39400000000000002</v>
      </c>
      <c r="E7" s="28">
        <f>Error_Calculation!N19/Component_Selection!E83</f>
        <v>0.6</v>
      </c>
      <c r="F7" s="28">
        <f>E7*(1+H7)</f>
        <v>0.80599999999999994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3">
      <c r="C8" s="29" t="s">
        <v>40</v>
      </c>
      <c r="D8" s="28">
        <f>E8*(1-H8)</f>
        <v>37.390407407407409</v>
      </c>
      <c r="E8" s="28">
        <f>(Component_Selection!E84+Component_Selection!E85)/Component_Selection!E85*Error_Calculation!$N$7</f>
        <v>38.037037037037038</v>
      </c>
      <c r="F8" s="28">
        <f>E8*(1+H8)</f>
        <v>38.683666666666667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3">
      <c r="C9" s="29" t="s">
        <v>71</v>
      </c>
      <c r="D9" s="28">
        <f>E9*(1-H9)</f>
        <v>0.87900000000000011</v>
      </c>
      <c r="E9" s="28">
        <f>Error_Calculation!$N$9*Component_Selection!E84*0.001</f>
        <v>1</v>
      </c>
      <c r="F9" s="28">
        <f>E9*(1+H9)</f>
        <v>1.121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3">
      <c r="C10" s="29" t="s">
        <v>59</v>
      </c>
      <c r="D10" s="28">
        <f>D8-F9</f>
        <v>36.269407407407407</v>
      </c>
      <c r="E10" s="28">
        <f>E8-E9</f>
        <v>37.037037037037038</v>
      </c>
      <c r="F10" s="28">
        <f>F8-D9</f>
        <v>37.80466666666667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3">
      <c r="C11" s="29" t="s">
        <v>42</v>
      </c>
      <c r="D11" s="28">
        <f>E11*(1-H11)</f>
        <v>55.31133333333333</v>
      </c>
      <c r="E11" s="28">
        <f>(Component_Selection!E86+Component_Selection!E87)/Component_Selection!E87*Error_Calculation!$N$7</f>
        <v>56.55555555555555</v>
      </c>
      <c r="F11" s="28">
        <f>E11*(1+H11)</f>
        <v>57.79977777777777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3">
      <c r="C12" s="29" t="s">
        <v>72</v>
      </c>
      <c r="D12" s="28">
        <f>E12*(1-H12)</f>
        <v>0.87900000000000011</v>
      </c>
      <c r="E12" s="28">
        <f>Error_Calculation!$N$9*Component_Selection!E86*0.001</f>
        <v>1</v>
      </c>
      <c r="F12" s="28">
        <f>E12*(1+H12)</f>
        <v>1.121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3">
      <c r="C13" s="29" t="s">
        <v>41</v>
      </c>
      <c r="D13" s="28">
        <f>D11-F12</f>
        <v>54.190333333333328</v>
      </c>
      <c r="E13" s="28">
        <f>E11-E12</f>
        <v>55.55555555555555</v>
      </c>
      <c r="F13" s="28">
        <f>F11-D12</f>
        <v>56.920777777777772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3">
      <c r="C14" s="29" t="s">
        <v>60</v>
      </c>
      <c r="D14" s="28">
        <f>E14*(1-H14)</f>
        <v>23.25</v>
      </c>
      <c r="E14" s="28">
        <f>(Component_Selection!E88+Error_Calculation!N17)/Error_Calculation!N17*Error_Calculation!N16</f>
        <v>25</v>
      </c>
      <c r="F14" s="28">
        <f>E14*(1+H14)</f>
        <v>26.75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3">
      <c r="C15" s="29" t="s">
        <v>67</v>
      </c>
      <c r="D15" s="28">
        <f>E15*(1-H15)</f>
        <v>8.9660377358490556E-2</v>
      </c>
      <c r="E15" s="28">
        <f>Component_Selection!F16*Error_Calculation!N22/Component_Selection!E89*0.001</f>
        <v>0.19924528301886793</v>
      </c>
      <c r="F15" s="28">
        <f>E15*(1+H15)</f>
        <v>0.30883018867924528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3">
      <c r="C16" s="29" t="s">
        <v>63</v>
      </c>
      <c r="D16" s="28">
        <f>E16*(1-H16)</f>
        <v>7.7220000000000004</v>
      </c>
      <c r="E16" s="19">
        <f>Component_Selection!E91*Error_Calculation!N11/Error_Calculation!N14</f>
        <v>9.9</v>
      </c>
      <c r="F16" s="28">
        <f>E16*(1+H16)</f>
        <v>12.077999999999999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3">
      <c r="C17" s="29" t="s">
        <v>62</v>
      </c>
      <c r="D17" s="28">
        <f>E17*(1-H17)</f>
        <v>3.8610000000000002</v>
      </c>
      <c r="E17" s="19">
        <f>Error_Calculation!N12*Component_Selection!E91/Error_Calculation!N14</f>
        <v>4.95</v>
      </c>
      <c r="F17" s="28">
        <f>E17*(1+H17)</f>
        <v>6.0389999999999997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3">
      <c r="C18" s="34" t="s">
        <v>61</v>
      </c>
      <c r="D18" s="28">
        <f>E18*(1-H18)</f>
        <v>0.7722</v>
      </c>
      <c r="E18" s="19">
        <f>Component_Selection!E91*Error_Calculation!N12/Error_Calculation!N15</f>
        <v>0.99</v>
      </c>
      <c r="F18" s="28">
        <f>E18*(1+H18)</f>
        <v>1.2078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3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3">
      <c r="C20" s="29" t="s">
        <v>76</v>
      </c>
      <c r="D20" s="28">
        <f>E20*(1-H20)</f>
        <v>7.670151549950587</v>
      </c>
      <c r="E20" s="28">
        <f>H2/Component_Selection!E83</f>
        <v>8</v>
      </c>
      <c r="F20" s="28">
        <f>E20*(1+H20)</f>
        <v>8.329848450049413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3">
      <c r="C21" s="29" t="s">
        <v>77</v>
      </c>
      <c r="D21" s="28">
        <f>E21*(1-H21)</f>
        <v>0.39991002024089262</v>
      </c>
      <c r="E21" s="28">
        <f>Error_Calculation!N19/Component_Selection!E83</f>
        <v>0.6</v>
      </c>
      <c r="F21" s="28">
        <f>E21*(1+H21)</f>
        <v>0.80008997975910745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3">
      <c r="C22" s="29" t="s">
        <v>40</v>
      </c>
      <c r="D22" s="28">
        <f>E22*(1-H22)</f>
        <v>37.463951289222265</v>
      </c>
      <c r="E22" s="28">
        <f>(Component_Selection!E84+Component_Selection!E85)/Component_Selection!E85*Error_Calculation!$N$7</f>
        <v>38.037037037037038</v>
      </c>
      <c r="F22" s="28">
        <f>E22*(1+H22)</f>
        <v>38.610122784851811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3">
      <c r="C23" s="29" t="s">
        <v>71</v>
      </c>
      <c r="D23" s="28">
        <f>E23*(1-H23)</f>
        <v>0.87999583340566889</v>
      </c>
      <c r="E23" s="28">
        <f>Error_Calculation!$N$9*Component_Selection!E84*0.001</f>
        <v>1</v>
      </c>
      <c r="F23" s="28">
        <f>E23*(1+H23)</f>
        <v>1.1200041665943312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3">
      <c r="C24" s="29" t="s">
        <v>59</v>
      </c>
      <c r="D24" s="28">
        <f>D22-F23</f>
        <v>36.343947122627931</v>
      </c>
      <c r="E24" s="28">
        <f>E22-E23</f>
        <v>37.037037037037038</v>
      </c>
      <c r="F24" s="28">
        <f>F22-D23</f>
        <v>37.730126951446145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3">
      <c r="C25" s="29" t="s">
        <v>42</v>
      </c>
      <c r="D25" s="28">
        <f>E25*(1-H25)</f>
        <v>55.421620192579596</v>
      </c>
      <c r="E25" s="28">
        <f>(Component_Selection!E86+Component_Selection!E87)/Component_Selection!E87*Error_Calculation!$N$7</f>
        <v>56.55555555555555</v>
      </c>
      <c r="F25" s="28">
        <f>E25*(1+H25)</f>
        <v>57.689490918531504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3">
      <c r="C26" s="29" t="s">
        <v>72</v>
      </c>
      <c r="D26" s="28">
        <f>E26*(1-H26)</f>
        <v>0.87999583340566889</v>
      </c>
      <c r="E26" s="28">
        <f>Error_Calculation!$N$9*Component_Selection!E86*0.001</f>
        <v>1</v>
      </c>
      <c r="F26" s="28">
        <f>E26*(1+H26)</f>
        <v>1.1200041665943312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3">
      <c r="C27" s="29" t="s">
        <v>41</v>
      </c>
      <c r="D27" s="28">
        <f>D25-F26</f>
        <v>54.301616025985261</v>
      </c>
      <c r="E27" s="28">
        <f>E25-E26</f>
        <v>55.55555555555555</v>
      </c>
      <c r="F27" s="28">
        <f>F25-D26</f>
        <v>56.809495085125839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3">
      <c r="C28" s="29" t="s">
        <v>60</v>
      </c>
      <c r="D28" s="28">
        <f>E28*(1-H28)</f>
        <v>23.653708798216375</v>
      </c>
      <c r="E28" s="28">
        <f>(Component_Selection!E88+Error_Calculation!N17)/Error_Calculation!N17*Error_Calculation!N16</f>
        <v>25</v>
      </c>
      <c r="F28" s="28">
        <f>E28*(1+H28)</f>
        <v>26.346291201783629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3">
      <c r="C29" s="29" t="s">
        <v>67</v>
      </c>
      <c r="D29" s="28">
        <f>E29*(1-H29)</f>
        <v>0.12143751266266579</v>
      </c>
      <c r="E29" s="28">
        <f>Component_Selection!F16*Error_Calculation!N22/Component_Selection!E89*0.001</f>
        <v>0.19924528301886793</v>
      </c>
      <c r="F29" s="28">
        <f>E29*(1+H29)</f>
        <v>0.27705305337507008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3">
      <c r="C30" s="29" t="s">
        <v>63</v>
      </c>
      <c r="D30" s="28">
        <f>E30*(1-H30)</f>
        <v>8.4859971711485152</v>
      </c>
      <c r="E30" s="19">
        <f>Component_Selection!E91*Error_Calculation!N11/Error_Calculation!N14</f>
        <v>9.9</v>
      </c>
      <c r="F30" s="28">
        <f>E30*(1+H30)</f>
        <v>11.314002828851486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3">
      <c r="C31" s="29" t="s">
        <v>62</v>
      </c>
      <c r="D31" s="28">
        <f>E31*(1-H31)</f>
        <v>4.2429985855742576</v>
      </c>
      <c r="E31" s="19">
        <f>Error_Calculation!N12*Component_Selection!E91/Error_Calculation!N14</f>
        <v>4.95</v>
      </c>
      <c r="F31" s="28">
        <f>E31*(1+H31)</f>
        <v>5.6570014144257428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3">
      <c r="C32" s="42" t="s">
        <v>61</v>
      </c>
      <c r="D32" s="43">
        <f>E32*(1-H32)</f>
        <v>0.84859971711485149</v>
      </c>
      <c r="E32" s="44">
        <f>Component_Selection!E91*Error_Calculation!N12/Error_Calculation!N15</f>
        <v>0.99</v>
      </c>
      <c r="F32" s="43">
        <f>E32*(1+H32)</f>
        <v>1.1314002828851484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8"/>
  <sheetViews>
    <sheetView zoomScale="70" zoomScaleNormal="70" workbookViewId="0">
      <selection activeCell="D12" sqref="D12"/>
    </sheetView>
  </sheetViews>
  <sheetFormatPr defaultRowHeight="14.4" x14ac:dyDescent="0.3"/>
  <cols>
    <col min="3" max="3" width="11.77734375" customWidth="1"/>
    <col min="5" max="5" width="12.21875" customWidth="1"/>
  </cols>
  <sheetData>
    <row r="3" spans="2:22" x14ac:dyDescent="0.3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3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3">
      <c r="C6" t="s">
        <v>26</v>
      </c>
      <c r="D6">
        <v>20</v>
      </c>
      <c r="E6" t="s">
        <v>162</v>
      </c>
    </row>
    <row r="7" spans="2:22" x14ac:dyDescent="0.3">
      <c r="C7" t="s">
        <v>158</v>
      </c>
      <c r="D7">
        <v>30</v>
      </c>
      <c r="E7" t="s">
        <v>50</v>
      </c>
    </row>
    <row r="8" spans="2:22" x14ac:dyDescent="0.3">
      <c r="C8" t="s">
        <v>159</v>
      </c>
      <c r="D8">
        <v>130</v>
      </c>
      <c r="E8" t="s">
        <v>50</v>
      </c>
    </row>
    <row r="9" spans="2:22" x14ac:dyDescent="0.3">
      <c r="C9" t="s">
        <v>160</v>
      </c>
      <c r="D9">
        <v>20</v>
      </c>
      <c r="E9" t="s">
        <v>7</v>
      </c>
    </row>
    <row r="10" spans="2:22" x14ac:dyDescent="0.3">
      <c r="C10" t="s">
        <v>161</v>
      </c>
      <c r="D10">
        <v>1.5</v>
      </c>
      <c r="E10" t="s">
        <v>26</v>
      </c>
    </row>
    <row r="11" spans="2:22" x14ac:dyDescent="0.3">
      <c r="C11" t="s">
        <v>166</v>
      </c>
      <c r="D11">
        <v>1</v>
      </c>
      <c r="E11" t="s">
        <v>167</v>
      </c>
    </row>
    <row r="12" spans="2:22" x14ac:dyDescent="0.3">
      <c r="C12" t="s">
        <v>80</v>
      </c>
      <c r="D12">
        <v>60</v>
      </c>
      <c r="E12" t="s">
        <v>4</v>
      </c>
    </row>
    <row r="14" spans="2:22" x14ac:dyDescent="0.3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3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3">
      <c r="B16">
        <f>(D16-D15)/(C16-C15)</f>
        <v>0.12450241601868393</v>
      </c>
      <c r="C16">
        <f>I16/$D$9</f>
        <v>0.60239794855663564</v>
      </c>
      <c r="D16">
        <f>D15+$D$10*0.05</f>
        <v>7.5000000000000011E-2</v>
      </c>
      <c r="E16">
        <f t="shared" ref="E16:E35" si="0">$D$11*D16</f>
        <v>7.5000000000000011E-2</v>
      </c>
      <c r="F16">
        <f>SQRT(D16/$D$6)</f>
        <v>6.1237243569579457E-2</v>
      </c>
      <c r="G16">
        <f>E16*$D$7</f>
        <v>2.2500000000000004</v>
      </c>
      <c r="H16">
        <f t="shared" ref="H16:H35" si="1">F16*($D$8+$D$7)</f>
        <v>9.7979589711327133</v>
      </c>
      <c r="I16">
        <f>G16+H16</f>
        <v>12.047958971132713</v>
      </c>
      <c r="J16">
        <f>$D$12-E16</f>
        <v>59.924999999999997</v>
      </c>
      <c r="K16">
        <f>J16*D16</f>
        <v>4.4943750000000007</v>
      </c>
      <c r="L16">
        <f>AVERAGE(K16,K15)*(C16-C15)</f>
        <v>1.3537011400221148</v>
      </c>
    </row>
    <row r="17" spans="2:12" x14ac:dyDescent="0.3">
      <c r="B17">
        <f t="shared" ref="B17:B30" si="2">(D17-D16)/(C17-C16)</f>
        <v>0.23777641052193541</v>
      </c>
      <c r="C17">
        <f t="shared" ref="C17:C31" si="3">I17/$D$9</f>
        <v>0.91782032302755101</v>
      </c>
      <c r="D17">
        <f t="shared" ref="D17:D30" si="4">D16+$D$10*0.05</f>
        <v>0.15000000000000002</v>
      </c>
      <c r="E17">
        <f t="shared" si="0"/>
        <v>0.15000000000000002</v>
      </c>
      <c r="F17">
        <f t="shared" ref="F17:F31" si="5">SQRT(D17/$D$6)</f>
        <v>8.6602540378443879E-2</v>
      </c>
      <c r="G17">
        <f t="shared" ref="G17:G31" si="6">E17*$D$7</f>
        <v>4.5000000000000009</v>
      </c>
      <c r="H17">
        <f t="shared" si="1"/>
        <v>13.856406460551021</v>
      </c>
      <c r="I17">
        <f>G17+H17</f>
        <v>18.356406460551021</v>
      </c>
      <c r="J17">
        <f t="shared" ref="J17:J31" si="7">$D$12-E17</f>
        <v>59.85</v>
      </c>
      <c r="K17">
        <f t="shared" ref="K17:K31" si="8">J17*D17</f>
        <v>8.9775000000000009</v>
      </c>
      <c r="L17">
        <f t="shared" ref="L17:L35" si="9">AVERAGE(K17,K16)*(C17-C16)</f>
        <v>2.1246654005376815</v>
      </c>
    </row>
    <row r="18" spans="2:12" x14ac:dyDescent="0.3">
      <c r="B18">
        <f t="shared" si="2"/>
        <v>0.27963391062565912</v>
      </c>
      <c r="C18">
        <f t="shared" si="3"/>
        <v>1.186028137423857</v>
      </c>
      <c r="D18">
        <f t="shared" si="4"/>
        <v>0.22500000000000003</v>
      </c>
      <c r="E18">
        <f t="shared" si="0"/>
        <v>0.22500000000000003</v>
      </c>
      <c r="F18">
        <f t="shared" si="5"/>
        <v>0.10606601717798214</v>
      </c>
      <c r="G18">
        <f t="shared" si="6"/>
        <v>6.7500000000000009</v>
      </c>
      <c r="H18">
        <f t="shared" si="1"/>
        <v>16.970562748477143</v>
      </c>
      <c r="I18">
        <f>G18+H18</f>
        <v>23.720562748477143</v>
      </c>
      <c r="J18">
        <f t="shared" si="7"/>
        <v>59.774999999999999</v>
      </c>
      <c r="K18">
        <f t="shared" si="8"/>
        <v>13.449375000000002</v>
      </c>
      <c r="L18">
        <f t="shared" si="9"/>
        <v>3.0075315637445783</v>
      </c>
    </row>
    <row r="19" spans="2:12" x14ac:dyDescent="0.3">
      <c r="B19">
        <f t="shared" si="2"/>
        <v>0.30766989078275897</v>
      </c>
      <c r="C19">
        <f t="shared" si="3"/>
        <v>1.4297958971132716</v>
      </c>
      <c r="D19">
        <f t="shared" si="4"/>
        <v>0.30000000000000004</v>
      </c>
      <c r="E19">
        <f t="shared" si="0"/>
        <v>0.30000000000000004</v>
      </c>
      <c r="F19">
        <f t="shared" si="5"/>
        <v>0.12247448713915891</v>
      </c>
      <c r="G19">
        <f t="shared" si="6"/>
        <v>9.0000000000000018</v>
      </c>
      <c r="H19">
        <f t="shared" si="1"/>
        <v>19.595917942265427</v>
      </c>
      <c r="I19">
        <f t="shared" ref="I19:I31" si="10">G19+H19</f>
        <v>28.59591794226543</v>
      </c>
      <c r="J19">
        <f t="shared" si="7"/>
        <v>59.7</v>
      </c>
      <c r="K19">
        <f t="shared" si="8"/>
        <v>17.910000000000004</v>
      </c>
      <c r="L19">
        <f t="shared" si="9"/>
        <v>3.8222022945051179</v>
      </c>
    </row>
    <row r="20" spans="2:12" x14ac:dyDescent="0.3">
      <c r="B20">
        <f t="shared" si="2"/>
        <v>0.32873222486276266</v>
      </c>
      <c r="C20">
        <f t="shared" si="3"/>
        <v>1.6579451150103324</v>
      </c>
      <c r="D20">
        <f t="shared" si="4"/>
        <v>0.37500000000000006</v>
      </c>
      <c r="E20">
        <f t="shared" si="0"/>
        <v>0.37500000000000006</v>
      </c>
      <c r="F20">
        <f t="shared" si="5"/>
        <v>0.13693063937629155</v>
      </c>
      <c r="G20">
        <f t="shared" si="6"/>
        <v>11.250000000000002</v>
      </c>
      <c r="H20">
        <f t="shared" si="1"/>
        <v>21.908902300206648</v>
      </c>
      <c r="I20">
        <f t="shared" si="10"/>
        <v>33.158902300206648</v>
      </c>
      <c r="J20">
        <f t="shared" si="7"/>
        <v>59.625</v>
      </c>
      <c r="K20">
        <f t="shared" si="8"/>
        <v>22.359375000000004</v>
      </c>
      <c r="L20">
        <f t="shared" si="9"/>
        <v>4.5937132057267274</v>
      </c>
    </row>
    <row r="21" spans="2:12" x14ac:dyDescent="0.3">
      <c r="B21">
        <f t="shared" si="2"/>
        <v>0.34553472502390375</v>
      </c>
      <c r="C21">
        <f t="shared" si="3"/>
        <v>1.8750000000000004</v>
      </c>
      <c r="D21">
        <f t="shared" si="4"/>
        <v>0.45000000000000007</v>
      </c>
      <c r="E21">
        <f t="shared" si="0"/>
        <v>0.45000000000000007</v>
      </c>
      <c r="F21">
        <f t="shared" si="5"/>
        <v>0.15000000000000002</v>
      </c>
      <c r="G21">
        <f t="shared" si="6"/>
        <v>13.500000000000002</v>
      </c>
      <c r="H21">
        <f t="shared" si="1"/>
        <v>24.000000000000004</v>
      </c>
      <c r="I21">
        <f t="shared" si="10"/>
        <v>37.500000000000007</v>
      </c>
      <c r="J21">
        <f t="shared" si="7"/>
        <v>59.55</v>
      </c>
      <c r="K21">
        <f t="shared" si="8"/>
        <v>26.797500000000003</v>
      </c>
      <c r="L21">
        <f t="shared" si="9"/>
        <v>5.3348699247882454</v>
      </c>
    </row>
    <row r="22" spans="2:12" x14ac:dyDescent="0.3">
      <c r="B22">
        <f t="shared" si="2"/>
        <v>0.3594568353902472</v>
      </c>
      <c r="C22">
        <f t="shared" si="3"/>
        <v>2.0836481396815723</v>
      </c>
      <c r="D22">
        <f t="shared" si="4"/>
        <v>0.52500000000000013</v>
      </c>
      <c r="E22">
        <f t="shared" si="0"/>
        <v>0.52500000000000013</v>
      </c>
      <c r="F22">
        <f t="shared" si="5"/>
        <v>0.16201851746019652</v>
      </c>
      <c r="G22">
        <f t="shared" si="6"/>
        <v>15.750000000000004</v>
      </c>
      <c r="H22">
        <f t="shared" si="1"/>
        <v>25.922962793631442</v>
      </c>
      <c r="I22">
        <f t="shared" si="10"/>
        <v>41.672962793631442</v>
      </c>
      <c r="J22">
        <f t="shared" si="7"/>
        <v>59.475000000000001</v>
      </c>
      <c r="K22">
        <f t="shared" si="8"/>
        <v>31.224375000000009</v>
      </c>
      <c r="L22">
        <f t="shared" si="9"/>
        <v>6.0530781397933504</v>
      </c>
    </row>
    <row r="23" spans="2:12" x14ac:dyDescent="0.3">
      <c r="B23">
        <f t="shared" si="2"/>
        <v>0.37130090292215073</v>
      </c>
      <c r="C23">
        <f t="shared" si="3"/>
        <v>2.2856406460551022</v>
      </c>
      <c r="D23">
        <f t="shared" si="4"/>
        <v>0.60000000000000009</v>
      </c>
      <c r="E23">
        <f t="shared" si="0"/>
        <v>0.60000000000000009</v>
      </c>
      <c r="F23">
        <f t="shared" si="5"/>
        <v>0.17320508075688776</v>
      </c>
      <c r="G23">
        <f t="shared" si="6"/>
        <v>18.000000000000004</v>
      </c>
      <c r="H23">
        <f t="shared" si="1"/>
        <v>27.712812921102042</v>
      </c>
      <c r="I23">
        <f t="shared" si="10"/>
        <v>45.712812921102042</v>
      </c>
      <c r="J23">
        <f t="shared" si="7"/>
        <v>59.4</v>
      </c>
      <c r="K23">
        <f t="shared" si="8"/>
        <v>35.640000000000008</v>
      </c>
      <c r="L23">
        <f t="shared" si="9"/>
        <v>6.753051346674801</v>
      </c>
    </row>
    <row r="24" spans="2:12" x14ac:dyDescent="0.3">
      <c r="B24">
        <f t="shared" si="2"/>
        <v>0.38157608294843942</v>
      </c>
      <c r="C24">
        <f t="shared" si="3"/>
        <v>2.4821938456699071</v>
      </c>
      <c r="D24">
        <f t="shared" si="4"/>
        <v>0.67500000000000004</v>
      </c>
      <c r="E24">
        <f t="shared" si="0"/>
        <v>0.67500000000000004</v>
      </c>
      <c r="F24">
        <f t="shared" si="5"/>
        <v>0.18371173070873836</v>
      </c>
      <c r="G24">
        <f t="shared" si="6"/>
        <v>20.25</v>
      </c>
      <c r="H24">
        <f t="shared" si="1"/>
        <v>29.393876913398138</v>
      </c>
      <c r="I24">
        <f t="shared" si="10"/>
        <v>49.643876913398138</v>
      </c>
      <c r="J24">
        <f t="shared" si="7"/>
        <v>59.325000000000003</v>
      </c>
      <c r="K24">
        <f t="shared" si="8"/>
        <v>40.044375000000002</v>
      </c>
      <c r="L24">
        <f t="shared" si="9"/>
        <v>7.4380030335483758</v>
      </c>
    </row>
    <row r="25" spans="2:12" x14ac:dyDescent="0.3">
      <c r="B25">
        <f t="shared" si="2"/>
        <v>0.39062603187719719</v>
      </c>
      <c r="C25">
        <f t="shared" si="3"/>
        <v>2.6741933384829668</v>
      </c>
      <c r="D25">
        <f t="shared" si="4"/>
        <v>0.75</v>
      </c>
      <c r="E25">
        <f t="shared" si="0"/>
        <v>0.75</v>
      </c>
      <c r="F25">
        <f t="shared" si="5"/>
        <v>0.19364916731037085</v>
      </c>
      <c r="G25">
        <f t="shared" si="6"/>
        <v>22.5</v>
      </c>
      <c r="H25">
        <f t="shared" si="1"/>
        <v>30.983866769659336</v>
      </c>
      <c r="I25">
        <f t="shared" si="10"/>
        <v>53.483866769659336</v>
      </c>
      <c r="J25">
        <f t="shared" si="7"/>
        <v>59.25</v>
      </c>
      <c r="K25">
        <f t="shared" si="8"/>
        <v>44.4375</v>
      </c>
      <c r="L25">
        <f t="shared" si="9"/>
        <v>8.1102385759481557</v>
      </c>
    </row>
    <row r="26" spans="2:12" x14ac:dyDescent="0.3">
      <c r="B26">
        <f t="shared" si="2"/>
        <v>0.39869368292445262</v>
      </c>
      <c r="C26">
        <f t="shared" si="3"/>
        <v>2.8623076809271923</v>
      </c>
      <c r="D26">
        <f t="shared" si="4"/>
        <v>0.82499999999999996</v>
      </c>
      <c r="E26">
        <f t="shared" si="0"/>
        <v>0.82499999999999996</v>
      </c>
      <c r="F26">
        <f t="shared" si="5"/>
        <v>0.20310096011589901</v>
      </c>
      <c r="G26">
        <f t="shared" si="6"/>
        <v>24.75</v>
      </c>
      <c r="H26">
        <f t="shared" si="1"/>
        <v>32.496153618543843</v>
      </c>
      <c r="I26">
        <f t="shared" si="10"/>
        <v>57.246153618543843</v>
      </c>
      <c r="J26">
        <f t="shared" si="7"/>
        <v>59.174999999999997</v>
      </c>
      <c r="K26">
        <f t="shared" si="8"/>
        <v>48.819374999999994</v>
      </c>
      <c r="L26">
        <f t="shared" si="9"/>
        <v>8.7714778595141674</v>
      </c>
    </row>
    <row r="27" spans="2:12" x14ac:dyDescent="0.3">
      <c r="B27">
        <f t="shared" si="2"/>
        <v>0.40595708150431159</v>
      </c>
      <c r="C27">
        <f t="shared" si="3"/>
        <v>3.0470562748477135</v>
      </c>
      <c r="D27">
        <f t="shared" si="4"/>
        <v>0.89999999999999991</v>
      </c>
      <c r="E27">
        <f t="shared" si="0"/>
        <v>0.89999999999999991</v>
      </c>
      <c r="F27">
        <f t="shared" si="5"/>
        <v>0.21213203435596426</v>
      </c>
      <c r="G27">
        <f t="shared" si="6"/>
        <v>26.999999999999996</v>
      </c>
      <c r="H27">
        <f t="shared" si="1"/>
        <v>33.941125496954278</v>
      </c>
      <c r="I27">
        <f t="shared" si="10"/>
        <v>60.941125496954271</v>
      </c>
      <c r="J27">
        <f t="shared" si="7"/>
        <v>59.1</v>
      </c>
      <c r="K27">
        <f t="shared" si="8"/>
        <v>53.19</v>
      </c>
      <c r="L27">
        <f t="shared" si="9"/>
        <v>9.423044298980578</v>
      </c>
    </row>
    <row r="28" spans="2:12" x14ac:dyDescent="0.3">
      <c r="B28">
        <f t="shared" si="2"/>
        <v>0.41255056166125992</v>
      </c>
      <c r="C28">
        <f t="shared" si="3"/>
        <v>3.2288521732655697</v>
      </c>
      <c r="D28">
        <f t="shared" si="4"/>
        <v>0.97499999999999987</v>
      </c>
      <c r="E28">
        <f t="shared" si="0"/>
        <v>0.97499999999999987</v>
      </c>
      <c r="F28">
        <f t="shared" si="5"/>
        <v>0.22079402165819617</v>
      </c>
      <c r="G28">
        <f t="shared" si="6"/>
        <v>29.249999999999996</v>
      </c>
      <c r="H28">
        <f t="shared" si="1"/>
        <v>35.327043465311391</v>
      </c>
      <c r="I28">
        <f t="shared" si="10"/>
        <v>64.577043465311391</v>
      </c>
      <c r="J28">
        <f t="shared" si="7"/>
        <v>59.024999999999999</v>
      </c>
      <c r="K28">
        <f t="shared" si="8"/>
        <v>57.549374999999991</v>
      </c>
      <c r="L28">
        <f t="shared" si="9"/>
        <v>10.065982084178446</v>
      </c>
    </row>
    <row r="29" spans="2:12" x14ac:dyDescent="0.3">
      <c r="B29">
        <f t="shared" si="2"/>
        <v>0.41857792903075719</v>
      </c>
      <c r="C29">
        <f t="shared" si="3"/>
        <v>3.4080302779823355</v>
      </c>
      <c r="D29">
        <f t="shared" si="4"/>
        <v>1.0499999999999998</v>
      </c>
      <c r="E29">
        <f t="shared" si="0"/>
        <v>1.0499999999999998</v>
      </c>
      <c r="F29">
        <f t="shared" si="5"/>
        <v>0.22912878474779197</v>
      </c>
      <c r="G29">
        <f t="shared" si="6"/>
        <v>31.499999999999993</v>
      </c>
      <c r="H29">
        <f t="shared" si="1"/>
        <v>36.660605559646712</v>
      </c>
      <c r="I29">
        <f t="shared" si="10"/>
        <v>68.160605559646712</v>
      </c>
      <c r="J29">
        <f t="shared" si="7"/>
        <v>58.95</v>
      </c>
      <c r="K29">
        <f t="shared" si="8"/>
        <v>61.897499999999994</v>
      </c>
      <c r="L29">
        <f t="shared" si="9"/>
        <v>10.701132338420214</v>
      </c>
    </row>
    <row r="30" spans="2:12" x14ac:dyDescent="0.3">
      <c r="B30">
        <f t="shared" si="2"/>
        <v>0.42412102218538811</v>
      </c>
      <c r="C30">
        <f t="shared" si="3"/>
        <v>3.5848665961010271</v>
      </c>
      <c r="D30">
        <f t="shared" si="4"/>
        <v>1.1249999999999998</v>
      </c>
      <c r="E30">
        <f t="shared" si="0"/>
        <v>1.1249999999999998</v>
      </c>
      <c r="F30">
        <f t="shared" si="5"/>
        <v>0.23717082451262841</v>
      </c>
      <c r="G30">
        <f t="shared" si="6"/>
        <v>33.749999999999993</v>
      </c>
      <c r="H30">
        <f t="shared" si="1"/>
        <v>37.947331922020545</v>
      </c>
      <c r="I30">
        <f t="shared" si="10"/>
        <v>71.697331922020538</v>
      </c>
      <c r="J30">
        <f t="shared" si="7"/>
        <v>58.875</v>
      </c>
      <c r="K30">
        <f t="shared" si="8"/>
        <v>66.234374999999986</v>
      </c>
      <c r="L30">
        <f t="shared" si="9"/>
        <v>11.329184504322212</v>
      </c>
    </row>
    <row r="31" spans="2:12" x14ac:dyDescent="0.3">
      <c r="B31">
        <f>(D31-D30)/(C31-C30)</f>
        <v>0.4292454712005726</v>
      </c>
      <c r="C31">
        <f t="shared" si="3"/>
        <v>3.7595917942265418</v>
      </c>
      <c r="D31">
        <f>D30+$D$10*0.05</f>
        <v>1.1999999999999997</v>
      </c>
      <c r="E31">
        <f t="shared" si="0"/>
        <v>1.1999999999999997</v>
      </c>
      <c r="F31">
        <f t="shared" si="5"/>
        <v>0.24494897427831777</v>
      </c>
      <c r="G31">
        <f t="shared" si="6"/>
        <v>35.999999999999993</v>
      </c>
      <c r="H31">
        <f t="shared" si="1"/>
        <v>39.191835884530846</v>
      </c>
      <c r="I31">
        <f t="shared" si="10"/>
        <v>75.191835884530832</v>
      </c>
      <c r="J31">
        <f t="shared" si="7"/>
        <v>58.8</v>
      </c>
      <c r="K31">
        <f t="shared" si="8"/>
        <v>70.559999999999974</v>
      </c>
      <c r="L31">
        <f t="shared" si="9"/>
        <v>11.950712137165471</v>
      </c>
    </row>
    <row r="32" spans="2:12" x14ac:dyDescent="0.3">
      <c r="B32">
        <f>(D32-D31)/(C32-C31)</f>
        <v>0.43400468750808263</v>
      </c>
      <c r="C32">
        <f>I32/$D$9</f>
        <v>3.9324009876724149</v>
      </c>
      <c r="D32">
        <f>D31+$D$10*0.05</f>
        <v>1.2749999999999997</v>
      </c>
      <c r="E32">
        <f t="shared" si="0"/>
        <v>1.2749999999999997</v>
      </c>
      <c r="F32">
        <f>SQRT(D32/$D$6)</f>
        <v>0.2524876234590519</v>
      </c>
      <c r="G32">
        <f>E32*$D$7</f>
        <v>38.249999999999993</v>
      </c>
      <c r="H32">
        <f t="shared" si="1"/>
        <v>40.398019753448303</v>
      </c>
      <c r="I32">
        <f>G32+H32</f>
        <v>78.648019753448295</v>
      </c>
      <c r="J32">
        <f>$D$12-E32</f>
        <v>58.725000000000001</v>
      </c>
      <c r="K32">
        <f>J32*D32</f>
        <v>74.874374999999986</v>
      </c>
      <c r="L32">
        <f t="shared" si="9"/>
        <v>12.566198521527321</v>
      </c>
    </row>
    <row r="33" spans="2:13" x14ac:dyDescent="0.3">
      <c r="B33">
        <f>(D33-D32)/(C33-C32)</f>
        <v>0.43844269934845059</v>
      </c>
      <c r="C33">
        <f>I33/$D$9</f>
        <v>4.1034609690826516</v>
      </c>
      <c r="D33">
        <f>D32+$D$10*0.05</f>
        <v>1.3499999999999996</v>
      </c>
      <c r="E33">
        <f t="shared" si="0"/>
        <v>1.3499999999999996</v>
      </c>
      <c r="F33">
        <f>SQRT(D33/$D$6)</f>
        <v>0.25980762113533157</v>
      </c>
      <c r="G33">
        <f>E33*$D$7</f>
        <v>40.499999999999986</v>
      </c>
      <c r="H33">
        <f t="shared" si="1"/>
        <v>41.569219381653049</v>
      </c>
      <c r="I33">
        <f>G33+H33</f>
        <v>82.069219381653028</v>
      </c>
      <c r="J33">
        <f>$D$12-E33</f>
        <v>58.65</v>
      </c>
      <c r="K33">
        <f>J33*D33</f>
        <v>79.177499999999981</v>
      </c>
      <c r="L33">
        <f t="shared" si="9"/>
        <v>13.176055436856052</v>
      </c>
    </row>
    <row r="34" spans="2:13" x14ac:dyDescent="0.3">
      <c r="B34">
        <f>(D34-D33)/(C34-C33)</f>
        <v>0.44259621164889162</v>
      </c>
      <c r="C34">
        <f>I34/$D$9</f>
        <v>4.2729156504062615</v>
      </c>
      <c r="D34">
        <f>D33+$D$10*0.05</f>
        <v>1.4249999999999996</v>
      </c>
      <c r="E34">
        <f t="shared" si="0"/>
        <v>1.4249999999999996</v>
      </c>
      <c r="F34">
        <f>SQRT(D34/$D$6)</f>
        <v>0.26692695630078273</v>
      </c>
      <c r="G34">
        <f>E34*$D$7</f>
        <v>42.749999999999986</v>
      </c>
      <c r="H34">
        <f t="shared" si="1"/>
        <v>42.708313008125238</v>
      </c>
      <c r="I34">
        <f>G34+H34</f>
        <v>85.458313008125231</v>
      </c>
      <c r="J34">
        <f>$D$12-E34</f>
        <v>58.575000000000003</v>
      </c>
      <c r="K34">
        <f>J34*D34</f>
        <v>83.469374999999985</v>
      </c>
      <c r="L34">
        <f t="shared" si="9"/>
        <v>13.780637185703009</v>
      </c>
    </row>
    <row r="35" spans="2:13" x14ac:dyDescent="0.3">
      <c r="B35">
        <f>(D35-D34)/(C35-C34)</f>
        <v>0.44649613157043183</v>
      </c>
      <c r="C35">
        <f>I35/$D$9</f>
        <v>4.4408902300206634</v>
      </c>
      <c r="D35">
        <f>D34+$D$10*0.05</f>
        <v>1.4999999999999996</v>
      </c>
      <c r="E35">
        <f t="shared" si="0"/>
        <v>1.4999999999999996</v>
      </c>
      <c r="F35">
        <f>SQRT(D35/$D$6)</f>
        <v>0.27386127875258304</v>
      </c>
      <c r="G35">
        <f>E35*$D$7</f>
        <v>44.999999999999986</v>
      </c>
      <c r="H35">
        <f t="shared" si="1"/>
        <v>43.817804600413282</v>
      </c>
      <c r="I35">
        <f>G35+H35</f>
        <v>88.817804600413268</v>
      </c>
      <c r="J35">
        <f>$D$12-E35</f>
        <v>58.5</v>
      </c>
      <c r="K35">
        <f>J35*D35</f>
        <v>87.749999999999972</v>
      </c>
      <c r="L35">
        <f t="shared" si="9"/>
        <v>14.380251268732811</v>
      </c>
    </row>
    <row r="37" spans="2:13" x14ac:dyDescent="0.3">
      <c r="K37" t="s">
        <v>173</v>
      </c>
      <c r="L37">
        <f>SUM(L16:L35)</f>
        <v>164.73573026068942</v>
      </c>
      <c r="M37" t="s">
        <v>176</v>
      </c>
    </row>
    <row r="38" spans="2:13" x14ac:dyDescent="0.3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2"/>
  <sheetViews>
    <sheetView topLeftCell="B25" zoomScale="145" zoomScaleNormal="145" workbookViewId="0">
      <selection activeCell="H32" sqref="H32"/>
    </sheetView>
  </sheetViews>
  <sheetFormatPr defaultRowHeight="14.4" x14ac:dyDescent="0.3"/>
  <cols>
    <col min="5" max="5" width="10.21875" customWidth="1"/>
  </cols>
  <sheetData>
    <row r="2" spans="5:9" x14ac:dyDescent="0.3">
      <c r="E2" t="s">
        <v>235</v>
      </c>
      <c r="F2">
        <f>Component_Selection!F15</f>
        <v>72</v>
      </c>
      <c r="G2" t="s">
        <v>4</v>
      </c>
    </row>
    <row r="3" spans="5:9" x14ac:dyDescent="0.3">
      <c r="E3" t="s">
        <v>236</v>
      </c>
      <c r="F3">
        <f>Component_Selection!F16</f>
        <v>528</v>
      </c>
      <c r="G3" t="s">
        <v>23</v>
      </c>
    </row>
    <row r="4" spans="5:9" x14ac:dyDescent="0.3">
      <c r="E4" t="s">
        <v>237</v>
      </c>
      <c r="F4">
        <f>SOA_Checks!D27</f>
        <v>0.2</v>
      </c>
      <c r="G4" t="s">
        <v>26</v>
      </c>
      <c r="H4" t="s">
        <v>238</v>
      </c>
    </row>
    <row r="6" spans="5:9" x14ac:dyDescent="0.3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3">
      <c r="E7">
        <v>0</v>
      </c>
      <c r="F7">
        <v>0</v>
      </c>
      <c r="G7">
        <f>F2</f>
        <v>72</v>
      </c>
      <c r="H7">
        <f t="shared" ref="H7:H14" si="0">G7*F7</f>
        <v>0</v>
      </c>
      <c r="I7">
        <v>0</v>
      </c>
    </row>
    <row r="8" spans="5:9" x14ac:dyDescent="0.3">
      <c r="E8">
        <v>10</v>
      </c>
      <c r="F8">
        <v>0</v>
      </c>
      <c r="G8">
        <f>G7</f>
        <v>72</v>
      </c>
      <c r="H8">
        <f t="shared" si="0"/>
        <v>0</v>
      </c>
      <c r="I8">
        <v>0</v>
      </c>
    </row>
    <row r="9" spans="5:9" x14ac:dyDescent="0.3">
      <c r="E9">
        <f>E8+0.01</f>
        <v>10.01</v>
      </c>
      <c r="F9">
        <f>$F$4</f>
        <v>0.2</v>
      </c>
      <c r="G9">
        <f>G8</f>
        <v>72</v>
      </c>
      <c r="H9">
        <f t="shared" si="0"/>
        <v>14.4</v>
      </c>
      <c r="I9">
        <f>H9</f>
        <v>14.4</v>
      </c>
    </row>
    <row r="10" spans="5:9" x14ac:dyDescent="0.3">
      <c r="E10">
        <f>AVERAGE(E9,E12)</f>
        <v>105.05</v>
      </c>
      <c r="F10">
        <f>F9</f>
        <v>0.2</v>
      </c>
      <c r="G10">
        <v>30</v>
      </c>
      <c r="H10">
        <f t="shared" si="0"/>
        <v>6</v>
      </c>
      <c r="I10">
        <f>I9</f>
        <v>14.4</v>
      </c>
    </row>
    <row r="11" spans="5:9" x14ac:dyDescent="0.3">
      <c r="E11">
        <f>E10+0.01</f>
        <v>105.06</v>
      </c>
      <c r="F11">
        <f>F10</f>
        <v>0.2</v>
      </c>
      <c r="G11">
        <f>G10</f>
        <v>30</v>
      </c>
      <c r="H11">
        <f t="shared" si="0"/>
        <v>6</v>
      </c>
      <c r="I11">
        <v>0</v>
      </c>
    </row>
    <row r="12" spans="5:9" x14ac:dyDescent="0.3">
      <c r="E12">
        <f>E9+F3*F2/F12/1000</f>
        <v>200.09</v>
      </c>
      <c r="F12">
        <f>F10</f>
        <v>0.2</v>
      </c>
      <c r="G12">
        <v>0</v>
      </c>
      <c r="H12">
        <f t="shared" si="0"/>
        <v>0</v>
      </c>
      <c r="I12">
        <v>0</v>
      </c>
    </row>
    <row r="13" spans="5:9" x14ac:dyDescent="0.3">
      <c r="E13">
        <f>E12+0.01</f>
        <v>200.1</v>
      </c>
      <c r="F13">
        <v>0</v>
      </c>
      <c r="G13">
        <v>0</v>
      </c>
      <c r="H13">
        <f t="shared" si="0"/>
        <v>0</v>
      </c>
      <c r="I13">
        <v>0</v>
      </c>
    </row>
    <row r="14" spans="5:9" x14ac:dyDescent="0.3">
      <c r="E14">
        <f>E13+10</f>
        <v>210.1</v>
      </c>
      <c r="F14">
        <f>F13</f>
        <v>0</v>
      </c>
      <c r="G14">
        <f>G13</f>
        <v>0</v>
      </c>
      <c r="H14">
        <f t="shared" si="0"/>
        <v>0</v>
      </c>
      <c r="I14">
        <v>0</v>
      </c>
    </row>
    <row r="18" spans="7:8" x14ac:dyDescent="0.3">
      <c r="G18" t="s">
        <v>170</v>
      </c>
      <c r="H18" t="s">
        <v>161</v>
      </c>
    </row>
    <row r="19" spans="7:8" x14ac:dyDescent="0.3">
      <c r="G19">
        <v>1</v>
      </c>
      <c r="H19" s="28">
        <f>SOA_Checks!E10</f>
        <v>8</v>
      </c>
    </row>
    <row r="20" spans="7:8" x14ac:dyDescent="0.3">
      <c r="G20" s="28">
        <f>SOA_Checks!E5</f>
        <v>25</v>
      </c>
      <c r="H20" s="28">
        <f>H19</f>
        <v>8</v>
      </c>
    </row>
    <row r="21" spans="7:8" x14ac:dyDescent="0.3">
      <c r="G21" s="28">
        <f>G20+0.01</f>
        <v>25.01</v>
      </c>
      <c r="H21" s="28">
        <f>SOA_Checks!E11</f>
        <v>0.6</v>
      </c>
    </row>
    <row r="22" spans="7:8" x14ac:dyDescent="0.3">
      <c r="G22">
        <v>100</v>
      </c>
      <c r="H22" s="28">
        <f>H21</f>
        <v>0.6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zoomScale="115" zoomScaleNormal="115" workbookViewId="0">
      <selection activeCell="A22" sqref="A22"/>
    </sheetView>
  </sheetViews>
  <sheetFormatPr defaultRowHeight="14.4" x14ac:dyDescent="0.3"/>
  <sheetData>
    <row r="3" spans="2:9" x14ac:dyDescent="0.3">
      <c r="C3" t="s">
        <v>26</v>
      </c>
      <c r="D3" s="28">
        <f>BrownOut!C10/BrownOut!C15</f>
        <v>5.5E-2</v>
      </c>
      <c r="E3" s="24" t="s">
        <v>89</v>
      </c>
      <c r="F3" t="s">
        <v>85</v>
      </c>
    </row>
    <row r="4" spans="2:9" x14ac:dyDescent="0.3">
      <c r="C4" t="s">
        <v>84</v>
      </c>
      <c r="D4" s="28">
        <f>BrownOut!C11/BrownOut!C15</f>
        <v>37.5</v>
      </c>
      <c r="E4" s="24" t="s">
        <v>4</v>
      </c>
      <c r="F4" t="s">
        <v>86</v>
      </c>
    </row>
    <row r="5" spans="2:9" x14ac:dyDescent="0.3">
      <c r="C5" t="s">
        <v>87</v>
      </c>
      <c r="D5" s="28">
        <f>D3*(BrownOut!C6-BrownOut!C17)+D3*D4*LN((BrownOut!C6-D4)/(BrownOut!C17-D4))</f>
        <v>5.4680069164273339</v>
      </c>
      <c r="E5" s="24" t="s">
        <v>55</v>
      </c>
      <c r="F5" t="s">
        <v>88</v>
      </c>
    </row>
    <row r="6" spans="2:9" x14ac:dyDescent="0.3">
      <c r="C6" t="s">
        <v>97</v>
      </c>
      <c r="D6" s="28">
        <f>AVERAGE(BrownOut!C17,BrownOut!C6)</f>
        <v>46.613307170944374</v>
      </c>
      <c r="E6" s="24" t="s">
        <v>4</v>
      </c>
    </row>
    <row r="7" spans="2:9" x14ac:dyDescent="0.3">
      <c r="C7" t="s">
        <v>96</v>
      </c>
      <c r="D7" s="28">
        <f>D3*(D6-BrownOut!C17)+D3*D4*LN((D6-D4)/(BrownOut!C17-D4))</f>
        <v>3.8373878483837713</v>
      </c>
      <c r="E7" s="24" t="s">
        <v>55</v>
      </c>
    </row>
    <row r="8" spans="2:9" x14ac:dyDescent="0.3">
      <c r="E8" s="56"/>
    </row>
    <row r="9" spans="2:9" x14ac:dyDescent="0.3">
      <c r="E9" s="56"/>
    </row>
    <row r="10" spans="2:9" x14ac:dyDescent="0.3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3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5.5555555555555554</v>
      </c>
      <c r="G11" s="28">
        <f>BrownOut!$C$11/E11</f>
        <v>5.5555555555555554</v>
      </c>
    </row>
    <row r="12" spans="2:9" x14ac:dyDescent="0.3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5.5555555555555554</v>
      </c>
      <c r="G12" s="28">
        <f>BrownOut!$C$11/E12</f>
        <v>5.5555555555555554</v>
      </c>
    </row>
    <row r="13" spans="2:9" x14ac:dyDescent="0.3">
      <c r="B13" s="48" t="s">
        <v>90</v>
      </c>
      <c r="C13">
        <f>C12+0.01</f>
        <v>2.5099999999999998</v>
      </c>
      <c r="D13" s="50">
        <f>BrownOut!$C$4</f>
        <v>10</v>
      </c>
      <c r="E13" s="56">
        <f>BrownOut!$C$3</f>
        <v>54</v>
      </c>
      <c r="F13">
        <f>IF(D13=E13,G13,IF(E13&gt;D13,0,BrownOut!$C$15))</f>
        <v>0</v>
      </c>
      <c r="G13" s="28">
        <f>BrownOut!$C$11/E13</f>
        <v>5.5555555555555554</v>
      </c>
    </row>
    <row r="14" spans="2:9" x14ac:dyDescent="0.3">
      <c r="C14">
        <f>C13+BrownOut!$C$5/4</f>
        <v>2.76</v>
      </c>
      <c r="D14" s="50">
        <f>BrownOut!$C$4</f>
        <v>10</v>
      </c>
      <c r="E14" s="71">
        <f>SQRT(E13^2-2*(C14-C13)*BrownOut!$C$11*(1+BrownOut!$C$12)/BrownOut!$C$14)-BrownOut!$C$8*BrownOut!$C$9/BrownOut!$C$14</f>
        <v>50.711752268895403</v>
      </c>
      <c r="F14">
        <f>IF(D14=E14,G14,IF(E14&gt;D14,0,BrownOut!$C$15))</f>
        <v>0</v>
      </c>
      <c r="G14" s="28">
        <f>BrownOut!$C$11/E14</f>
        <v>5.9157884825054294</v>
      </c>
      <c r="I14" t="s">
        <v>213</v>
      </c>
    </row>
    <row r="15" spans="2:9" x14ac:dyDescent="0.3">
      <c r="C15">
        <f>C14+BrownOut!$C$5/4</f>
        <v>3.01</v>
      </c>
      <c r="D15" s="50">
        <f>BrownOut!$C$4</f>
        <v>10</v>
      </c>
      <c r="E15" s="71">
        <f>SQRT(E14^2-2*(C15-C14)*BrownOut!$C$11*(1+BrownOut!$C$12)/BrownOut!$C$14)</f>
        <v>47.194953505259818</v>
      </c>
      <c r="F15">
        <f>IF(D15=E15,G15,IF(E15&gt;D15,0,BrownOut!$C$15))</f>
        <v>0</v>
      </c>
      <c r="G15" s="28">
        <f>BrownOut!$C$11/E15</f>
        <v>6.3566118349192857</v>
      </c>
    </row>
    <row r="16" spans="2:9" x14ac:dyDescent="0.3">
      <c r="C16">
        <f>C15+BrownOut!$C$5/4</f>
        <v>3.26</v>
      </c>
      <c r="D16" s="50">
        <f>BrownOut!$C$4</f>
        <v>10</v>
      </c>
      <c r="E16" s="71">
        <f>SQRT(E15^2-2*(C16-C15)*BrownOut!$C$11*(1+BrownOut!$C$12)/BrownOut!$C$14)</f>
        <v>43.394071652075404</v>
      </c>
      <c r="F16">
        <f>IF(D16=E16,G16,IF(E16&gt;D16,0,BrownOut!$C$15))</f>
        <v>0</v>
      </c>
      <c r="G16" s="28">
        <f>BrownOut!$C$11/E16</f>
        <v>6.9133867502763344</v>
      </c>
    </row>
    <row r="17" spans="2:7" x14ac:dyDescent="0.3">
      <c r="B17" s="48" t="s">
        <v>91</v>
      </c>
      <c r="C17">
        <f>C13+BrownOut!C5</f>
        <v>3.51</v>
      </c>
      <c r="D17" s="50">
        <f>BrownOut!$C$4</f>
        <v>10</v>
      </c>
      <c r="E17" s="71">
        <f>SQRT(E16^2-2*(C17-C16)*BrownOut!$C$11*(1+BrownOut!$C$12)/BrownOut!$C$14)</f>
        <v>39.226614341888748</v>
      </c>
      <c r="F17">
        <f>IF(D17=E17,G17,IF(E17&gt;D17,0,BrownOut!$C$15))</f>
        <v>0</v>
      </c>
      <c r="G17" s="28">
        <f>BrownOut!$C$11/E17</f>
        <v>7.6478688011481113</v>
      </c>
    </row>
    <row r="18" spans="2:7" x14ac:dyDescent="0.3">
      <c r="B18" s="48" t="s">
        <v>92</v>
      </c>
      <c r="C18">
        <f>C17+0.001</f>
        <v>3.5109999999999997</v>
      </c>
      <c r="D18" s="50">
        <f>BrownOut!$C$6</f>
        <v>54</v>
      </c>
      <c r="E18" s="71">
        <f>SQRT(E17^2-2*(C18-C17)*BrownOut!$C$11*(1+BrownOut!$C$12)/BrownOut!$C$14)</f>
        <v>39.209055076601878</v>
      </c>
      <c r="F18">
        <v>0</v>
      </c>
      <c r="G18" s="28">
        <f>BrownOut!$C$11/E18</f>
        <v>7.6512937997076573</v>
      </c>
    </row>
    <row r="19" spans="2:7" x14ac:dyDescent="0.3">
      <c r="B19" t="s">
        <v>212</v>
      </c>
      <c r="C19">
        <f>C18+BrownOut!C13</f>
        <v>3.7109999999999999</v>
      </c>
      <c r="D19" s="50">
        <f>BrownOut!$C$6</f>
        <v>54</v>
      </c>
      <c r="E19" s="71">
        <f>SQRT(E18^2-2*(C19-C18)*BrownOut!$C$11*(1+BrownOut!$C$12)/BrownOut!$C$14)</f>
        <v>35.523167856280125</v>
      </c>
      <c r="F19">
        <f>IF(D19=E19,G19,IF(E19&gt;D19,0,BrownOut!$C$15))</f>
        <v>8</v>
      </c>
      <c r="G19" s="28">
        <f>BrownOut!$C$11/E19</f>
        <v>8.4451927602217811</v>
      </c>
    </row>
    <row r="20" spans="2:7" x14ac:dyDescent="0.3">
      <c r="C20" s="28" t="e">
        <f>C19+$D$3*(E20-E19)+$D$3*$D$4*LN((E20-$D$4)/(E19-$D$4))</f>
        <v>#NUM!</v>
      </c>
      <c r="D20" s="50">
        <f>BrownOut!$C$6</f>
        <v>54</v>
      </c>
      <c r="E20" s="71">
        <f>E19+($E$23-$E$19)*1/4</f>
        <v>40.142375892210097</v>
      </c>
      <c r="F20">
        <f>IF(D20=E20,G20,IF(E20&gt;D20,0,BrownOut!$C$15))</f>
        <v>8</v>
      </c>
      <c r="G20" s="28">
        <f>BrownOut!$C$11/E20</f>
        <v>7.4733992030157106</v>
      </c>
    </row>
    <row r="21" spans="2:7" x14ac:dyDescent="0.3">
      <c r="C21" s="28" t="e">
        <f>C20+$D$3*(E21-E20)+$D$3*$D$4*LN((E21-$D$4)/(E20-$D$4))</f>
        <v>#NUM!</v>
      </c>
      <c r="D21" s="50">
        <f>BrownOut!$C$6</f>
        <v>54</v>
      </c>
      <c r="E21" s="71">
        <f>E20+($E$23-$E$19)*1/4</f>
        <v>44.76158392814007</v>
      </c>
      <c r="F21">
        <f>IF(D21=E21,G21,IF(E21&gt;D21,0,BrownOut!$C$15))</f>
        <v>8</v>
      </c>
      <c r="G21" s="28">
        <f>BrownOut!$C$11/E21</f>
        <v>6.7021756978398681</v>
      </c>
    </row>
    <row r="22" spans="2:7" x14ac:dyDescent="0.3">
      <c r="B22" s="48" t="s">
        <v>95</v>
      </c>
      <c r="C22" s="28" t="e">
        <f>C21+$D$3*(E22-E21)+$D$3*$D$4*LN((E22-$D$4)/(E21-$D$4))</f>
        <v>#NUM!</v>
      </c>
      <c r="D22" s="50">
        <f>BrownOut!$C$6</f>
        <v>54</v>
      </c>
      <c r="E22" s="71">
        <f>E21+($E$23-$E$19)*1/4</f>
        <v>49.380791964070042</v>
      </c>
      <c r="F22">
        <f>IF(D22=E22,G22,IF(E22&gt;D22,0,BrownOut!$C$15))</f>
        <v>8</v>
      </c>
      <c r="G22" s="28">
        <f>BrownOut!$C$11/E22</f>
        <v>6.0752367077928398</v>
      </c>
    </row>
    <row r="23" spans="2:7" x14ac:dyDescent="0.3">
      <c r="C23" s="28" t="e">
        <f>C22+$D$3*(E23-E22)+$D$3*$D$4*LN((E23-$D$4)/(E22-$D$4))</f>
        <v>#NUM!</v>
      </c>
      <c r="D23" s="50">
        <f>BrownOut!$C$6</f>
        <v>54</v>
      </c>
      <c r="E23" s="107">
        <f>D23</f>
        <v>54</v>
      </c>
      <c r="F23">
        <f>IF(D23=E23,G23,IF(E23&gt;D23,0,BrownOut!$C$15))</f>
        <v>5.5555555555555554</v>
      </c>
      <c r="G23" s="28">
        <f>BrownOut!$C$11/E23</f>
        <v>5.5555555555555554</v>
      </c>
    </row>
    <row r="24" spans="2:7" x14ac:dyDescent="0.3">
      <c r="C24" s="28" t="e">
        <f>C23+2.5</f>
        <v>#NUM!</v>
      </c>
      <c r="D24" s="50">
        <f>BrownOut!$C$6</f>
        <v>54</v>
      </c>
      <c r="E24" s="107">
        <f>D24</f>
        <v>54</v>
      </c>
      <c r="F24">
        <f>IF(D24=E24,G24,IF(E24&gt;D24,0,BrownOut!$C$15))</f>
        <v>5.5555555555555554</v>
      </c>
      <c r="G24" s="28">
        <f>BrownOut!$C$11/E24</f>
        <v>5.5555555555555554</v>
      </c>
    </row>
    <row r="25" spans="2:7" x14ac:dyDescent="0.3">
      <c r="E25" s="56"/>
    </row>
    <row r="26" spans="2:7" x14ac:dyDescent="0.3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2021-08-10T11:31:26Z</dcterms:modified>
</cp:coreProperties>
</file>