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27" documentId="14_{3F967838-0B5B-406E-B6F1-06D0B5EB2137}" xr6:coauthVersionLast="46" xr6:coauthVersionMax="46" xr10:uidLastSave="{940334CA-A758-4AB1-8E3C-9852645D8A6A}"/>
  <workbookProtection workbookPassword="8433" lockStructure="1"/>
  <bookViews>
    <workbookView xWindow="-120" yWindow="-120" windowWidth="30960" windowHeight="15840" tabRatio="733" xr2:uid="{00000000-000D-0000-FFFF-FFFF00000000}"/>
  </bookViews>
  <sheets>
    <sheet name="Component_Selection" sheetId="1" r:id="rId1"/>
    <sheet name="BrownOut" sheetId="2" r:id="rId2"/>
    <sheet name="SOA_Checks" sheetId="4" state="hidden" r:id="rId3"/>
    <sheet name="Error_Calculation" sheetId="5" state="hidden" r:id="rId4"/>
    <sheet name="T_eq_work_Derivations" sheetId="6" state="hidden" r:id="rId5"/>
    <sheet name="Graphs" sheetId="7" state="hidden" r:id="rId6"/>
    <sheet name="ATIS_Calculations" sheetId="8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4" l="1"/>
  <c r="F16" i="1"/>
  <c r="E81" i="1"/>
  <c r="R28" i="5"/>
  <c r="H2" i="5" l="1"/>
  <c r="E24" i="1" s="1"/>
  <c r="Q21" i="5"/>
  <c r="E20" i="5" l="1"/>
  <c r="E6" i="5"/>
  <c r="E22" i="1"/>
  <c r="P7" i="4"/>
  <c r="H5" i="4" l="1"/>
  <c r="D26" i="1" l="1"/>
  <c r="C11" i="2"/>
  <c r="I22" i="4" l="1"/>
  <c r="C10" i="2" l="1"/>
  <c r="D24" i="8" l="1"/>
  <c r="E24" i="8" s="1"/>
  <c r="G24" i="8" s="1"/>
  <c r="D23" i="8"/>
  <c r="E23" i="8" s="1"/>
  <c r="D22" i="8"/>
  <c r="D21" i="8"/>
  <c r="D20" i="8"/>
  <c r="D19" i="8"/>
  <c r="D18" i="8"/>
  <c r="D17" i="8"/>
  <c r="D16" i="8"/>
  <c r="D15" i="8"/>
  <c r="D14" i="8"/>
  <c r="E13" i="8"/>
  <c r="G13" i="8" s="1"/>
  <c r="D13" i="8"/>
  <c r="C13" i="8"/>
  <c r="C14" i="8" s="1"/>
  <c r="C15" i="8" s="1"/>
  <c r="C16" i="8" s="1"/>
  <c r="E12" i="8"/>
  <c r="G12" i="8" s="1"/>
  <c r="D12" i="8"/>
  <c r="E11" i="8"/>
  <c r="G11" i="8" s="1"/>
  <c r="D11" i="8"/>
  <c r="F11" i="8" l="1"/>
  <c r="F13" i="8"/>
  <c r="F12" i="8"/>
  <c r="G23" i="8"/>
  <c r="F23" i="8" s="1"/>
  <c r="C17" i="8"/>
  <c r="C18" i="8" s="1"/>
  <c r="C19" i="8" s="1"/>
  <c r="F24" i="8"/>
  <c r="G11" i="7"/>
  <c r="H13" i="7"/>
  <c r="G14" i="7"/>
  <c r="F14" i="7"/>
  <c r="H14" i="7" s="1"/>
  <c r="E9" i="7"/>
  <c r="F2" i="7"/>
  <c r="G7" i="7" s="1"/>
  <c r="M67" i="1"/>
  <c r="G8" i="7" l="1"/>
  <c r="H7" i="7"/>
  <c r="I23" i="4"/>
  <c r="Q22" i="5"/>
  <c r="Q20" i="5"/>
  <c r="Q19" i="5"/>
  <c r="Q17" i="5"/>
  <c r="Q16" i="5"/>
  <c r="Q15" i="5"/>
  <c r="Q14" i="5"/>
  <c r="O12" i="5"/>
  <c r="Q12" i="5" s="1"/>
  <c r="M12" i="5"/>
  <c r="Q11" i="5"/>
  <c r="Q10" i="5"/>
  <c r="Q9" i="5"/>
  <c r="Q8" i="5"/>
  <c r="Q7" i="5"/>
  <c r="C42" i="1"/>
  <c r="P5" i="4"/>
  <c r="P9" i="4"/>
  <c r="P12" i="4"/>
  <c r="P15" i="4"/>
  <c r="P16" i="4"/>
  <c r="E17" i="4"/>
  <c r="H9" i="4"/>
  <c r="I8" i="4"/>
  <c r="I7" i="4"/>
  <c r="H6" i="4"/>
  <c r="E2" i="4"/>
  <c r="H8" i="7" l="1"/>
  <c r="G9" i="7"/>
  <c r="H29" i="5" l="1"/>
  <c r="E29" i="5" l="1"/>
  <c r="F29" i="5" s="1"/>
  <c r="F104" i="1" s="1"/>
  <c r="F3" i="7"/>
  <c r="E25" i="1"/>
  <c r="E10" i="4"/>
  <c r="F20" i="1"/>
  <c r="F36" i="1" s="1"/>
  <c r="F37" i="1" s="1"/>
  <c r="F39" i="1" s="1"/>
  <c r="E20" i="1"/>
  <c r="F38" i="1" l="1"/>
  <c r="E59" i="4"/>
  <c r="E60" i="4" s="1"/>
  <c r="D58" i="4"/>
  <c r="E83" i="4"/>
  <c r="H19" i="7"/>
  <c r="H20" i="7" s="1"/>
  <c r="P4" i="4"/>
  <c r="E11" i="4"/>
  <c r="H21" i="7" s="1"/>
  <c r="H22" i="7" s="1"/>
  <c r="E81" i="4" l="1"/>
  <c r="E80" i="4"/>
  <c r="E108" i="1"/>
  <c r="E48" i="4"/>
  <c r="E49" i="4"/>
  <c r="E50" i="4"/>
  <c r="E51" i="4"/>
  <c r="E52" i="4"/>
  <c r="E53" i="4"/>
  <c r="E54" i="4"/>
  <c r="E47" i="4"/>
  <c r="C58" i="1"/>
  <c r="C68" i="1"/>
  <c r="C56" i="1"/>
  <c r="D72" i="4" l="1"/>
  <c r="E66" i="4"/>
  <c r="E62" i="4"/>
  <c r="E61" i="4"/>
  <c r="E65" i="4"/>
  <c r="E68" i="4"/>
  <c r="E64" i="4"/>
  <c r="E67" i="4"/>
  <c r="E63" i="4"/>
  <c r="F15" i="6"/>
  <c r="H15" i="6" s="1"/>
  <c r="D16" i="6"/>
  <c r="F16" i="6" s="1"/>
  <c r="H16" i="6" s="1"/>
  <c r="E15" i="6"/>
  <c r="J15" i="6" s="1"/>
  <c r="K15" i="6" s="1"/>
  <c r="D17" i="6" l="1"/>
  <c r="F17" i="6" s="1"/>
  <c r="H17" i="6" s="1"/>
  <c r="E16" i="6"/>
  <c r="J16" i="6" s="1"/>
  <c r="K16" i="6" s="1"/>
  <c r="G15" i="6"/>
  <c r="C69" i="1"/>
  <c r="C67" i="1"/>
  <c r="C44" i="1"/>
  <c r="C43" i="1"/>
  <c r="C14" i="2"/>
  <c r="E14" i="8" s="1"/>
  <c r="G14" i="8" l="1"/>
  <c r="F14" i="8"/>
  <c r="E15" i="8"/>
  <c r="E17" i="6"/>
  <c r="G17" i="6" s="1"/>
  <c r="D18" i="6"/>
  <c r="D19" i="6" s="1"/>
  <c r="G16" i="6"/>
  <c r="I16" i="6" s="1"/>
  <c r="C16" i="6" s="1"/>
  <c r="I15" i="6"/>
  <c r="C15" i="6" s="1"/>
  <c r="F15" i="8" l="1"/>
  <c r="E16" i="8"/>
  <c r="G15" i="8"/>
  <c r="E18" i="6"/>
  <c r="J18" i="6" s="1"/>
  <c r="K18" i="6" s="1"/>
  <c r="J17" i="6"/>
  <c r="K17" i="6" s="1"/>
  <c r="F18" i="6"/>
  <c r="H18" i="6" s="1"/>
  <c r="L16" i="6"/>
  <c r="I17" i="6"/>
  <c r="C17" i="6" s="1"/>
  <c r="B17" i="6" s="1"/>
  <c r="B16" i="6"/>
  <c r="E19" i="6"/>
  <c r="F19" i="6"/>
  <c r="H19" i="6" s="1"/>
  <c r="D20" i="6"/>
  <c r="F108" i="1"/>
  <c r="G16" i="8" l="1"/>
  <c r="E17" i="8"/>
  <c r="F16" i="8"/>
  <c r="G18" i="6"/>
  <c r="I18" i="6" s="1"/>
  <c r="C18" i="6" s="1"/>
  <c r="L17" i="6"/>
  <c r="E20" i="6"/>
  <c r="F20" i="6"/>
  <c r="H20" i="6" s="1"/>
  <c r="D21" i="6"/>
  <c r="J19" i="6"/>
  <c r="K19" i="6" s="1"/>
  <c r="G19" i="6"/>
  <c r="I19" i="6" s="1"/>
  <c r="C19" i="6" s="1"/>
  <c r="E32" i="5"/>
  <c r="E107" i="1" s="1"/>
  <c r="E31" i="5"/>
  <c r="E30" i="5"/>
  <c r="E105" i="1" s="1"/>
  <c r="E104" i="1"/>
  <c r="I6" i="4" s="1"/>
  <c r="E6" i="4" s="1"/>
  <c r="E82" i="4" s="1"/>
  <c r="E28" i="5"/>
  <c r="E103" i="1" s="1"/>
  <c r="I5" i="4" s="1"/>
  <c r="E5" i="4" s="1"/>
  <c r="E26" i="5"/>
  <c r="E25" i="5"/>
  <c r="E100" i="1" s="1"/>
  <c r="E23" i="5"/>
  <c r="E22" i="5"/>
  <c r="E97" i="1" s="1"/>
  <c r="E18" i="5"/>
  <c r="E17" i="5"/>
  <c r="E16" i="5"/>
  <c r="E15" i="5"/>
  <c r="E14" i="5"/>
  <c r="E12" i="5"/>
  <c r="E11" i="5"/>
  <c r="E9" i="5"/>
  <c r="E8" i="5"/>
  <c r="G17" i="8" l="1"/>
  <c r="E18" i="8"/>
  <c r="F17" i="8"/>
  <c r="D27" i="4"/>
  <c r="E21" i="4"/>
  <c r="E19" i="4" s="1"/>
  <c r="I9" i="4"/>
  <c r="E9" i="4" s="1"/>
  <c r="E12" i="4" s="1"/>
  <c r="E13" i="4" s="1"/>
  <c r="C30" i="4" s="1"/>
  <c r="B18" i="6"/>
  <c r="L18" i="6"/>
  <c r="L19" i="6"/>
  <c r="B19" i="6"/>
  <c r="G20" i="6"/>
  <c r="I20" i="6" s="1"/>
  <c r="C20" i="6" s="1"/>
  <c r="B20" i="6" s="1"/>
  <c r="J20" i="6"/>
  <c r="K20" i="6" s="1"/>
  <c r="E21" i="6"/>
  <c r="F21" i="6"/>
  <c r="H21" i="6" s="1"/>
  <c r="D22" i="6"/>
  <c r="E106" i="1"/>
  <c r="E101" i="1"/>
  <c r="E98" i="1"/>
  <c r="E13" i="5"/>
  <c r="E10" i="5"/>
  <c r="E27" i="5"/>
  <c r="E102" i="1" s="1"/>
  <c r="E24" i="5"/>
  <c r="E99" i="1" s="1"/>
  <c r="C70" i="1" l="1"/>
  <c r="P88" i="1"/>
  <c r="G20" i="7"/>
  <c r="G21" i="7" s="1"/>
  <c r="E19" i="8"/>
  <c r="G18" i="8"/>
  <c r="C34" i="4"/>
  <c r="E71" i="1" s="1"/>
  <c r="F4" i="7"/>
  <c r="F9" i="7" s="1"/>
  <c r="E20" i="4"/>
  <c r="C33" i="4" s="1"/>
  <c r="C76" i="4" s="1"/>
  <c r="C83" i="4" s="1"/>
  <c r="L20" i="6"/>
  <c r="J21" i="6"/>
  <c r="K21" i="6" s="1"/>
  <c r="G21" i="6"/>
  <c r="I21" i="6" s="1"/>
  <c r="C21" i="6" s="1"/>
  <c r="B21" i="6" s="1"/>
  <c r="E22" i="6"/>
  <c r="F22" i="6"/>
  <c r="H22" i="6" s="1"/>
  <c r="D23" i="6"/>
  <c r="E78" i="1"/>
  <c r="E79" i="1" s="1"/>
  <c r="E77" i="1"/>
  <c r="E80" i="1"/>
  <c r="E75" i="1"/>
  <c r="E76" i="1" s="1"/>
  <c r="E73" i="1"/>
  <c r="E74" i="1" s="1"/>
  <c r="C15" i="2"/>
  <c r="G19" i="8" l="1"/>
  <c r="E20" i="8"/>
  <c r="F20" i="8" s="1"/>
  <c r="D4" i="8"/>
  <c r="D3" i="8"/>
  <c r="F19" i="8"/>
  <c r="F10" i="7"/>
  <c r="H9" i="7"/>
  <c r="I9" i="7" s="1"/>
  <c r="I10" i="7" s="1"/>
  <c r="P8" i="4"/>
  <c r="H7" i="4"/>
  <c r="E7" i="4" s="1"/>
  <c r="P13" i="4" s="1"/>
  <c r="P25" i="4" s="1"/>
  <c r="P6" i="4"/>
  <c r="L21" i="6"/>
  <c r="G22" i="6"/>
  <c r="I22" i="6" s="1"/>
  <c r="C22" i="6" s="1"/>
  <c r="B22" i="6" s="1"/>
  <c r="J22" i="6"/>
  <c r="K22" i="6" s="1"/>
  <c r="D24" i="6"/>
  <c r="E23" i="6"/>
  <c r="F23" i="6"/>
  <c r="H23" i="6" s="1"/>
  <c r="H8" i="5"/>
  <c r="H22" i="5"/>
  <c r="E21" i="5"/>
  <c r="E7" i="5"/>
  <c r="H20" i="5"/>
  <c r="H6" i="5"/>
  <c r="H26" i="5"/>
  <c r="H12" i="5"/>
  <c r="H15" i="5"/>
  <c r="H21" i="5"/>
  <c r="H7" i="5"/>
  <c r="H23" i="5"/>
  <c r="H9" i="5"/>
  <c r="H25" i="5"/>
  <c r="H11" i="5"/>
  <c r="F6" i="5" l="1"/>
  <c r="D6" i="5"/>
  <c r="E21" i="8"/>
  <c r="G20" i="8"/>
  <c r="C20" i="8"/>
  <c r="F11" i="7"/>
  <c r="H11" i="7" s="1"/>
  <c r="H10" i="7"/>
  <c r="F12" i="7"/>
  <c r="H8" i="4"/>
  <c r="E8" i="4" s="1"/>
  <c r="P14" i="4" s="1"/>
  <c r="P19" i="4" s="1"/>
  <c r="P20" i="4" s="1"/>
  <c r="H22" i="4" s="1"/>
  <c r="E22" i="4" s="1"/>
  <c r="C31" i="4" s="1"/>
  <c r="L22" i="6"/>
  <c r="J23" i="6"/>
  <c r="K23" i="6" s="1"/>
  <c r="G23" i="6"/>
  <c r="I23" i="6" s="1"/>
  <c r="C23" i="6" s="1"/>
  <c r="B23" i="6" s="1"/>
  <c r="E24" i="6"/>
  <c r="D25" i="6"/>
  <c r="F24" i="6"/>
  <c r="H24" i="6" s="1"/>
  <c r="D29" i="5"/>
  <c r="D104" i="1" s="1"/>
  <c r="F11" i="5"/>
  <c r="D11" i="5"/>
  <c r="D12" i="5"/>
  <c r="F12" i="5"/>
  <c r="E96" i="1"/>
  <c r="D21" i="5"/>
  <c r="D96" i="1" s="1"/>
  <c r="F21" i="5"/>
  <c r="F96" i="1" s="1"/>
  <c r="F25" i="5"/>
  <c r="D25" i="5"/>
  <c r="D26" i="5"/>
  <c r="D101" i="1" s="1"/>
  <c r="F26" i="5"/>
  <c r="F101" i="1" s="1"/>
  <c r="F9" i="5"/>
  <c r="D9" i="5"/>
  <c r="D15" i="5"/>
  <c r="F15" i="5"/>
  <c r="D20" i="5"/>
  <c r="D95" i="1" s="1"/>
  <c r="E95" i="1"/>
  <c r="F20" i="5"/>
  <c r="F95" i="1" s="1"/>
  <c r="F22" i="5"/>
  <c r="D22" i="5"/>
  <c r="F23" i="5"/>
  <c r="F98" i="1" s="1"/>
  <c r="D23" i="5"/>
  <c r="D98" i="1" s="1"/>
  <c r="D7" i="5"/>
  <c r="F7" i="5"/>
  <c r="F8" i="5"/>
  <c r="D8" i="5"/>
  <c r="E55" i="1" l="1"/>
  <c r="C21" i="8"/>
  <c r="G21" i="8"/>
  <c r="E22" i="8"/>
  <c r="F21" i="8"/>
  <c r="H12" i="7"/>
  <c r="E12" i="7"/>
  <c r="P26" i="4"/>
  <c r="F10" i="5"/>
  <c r="L23" i="6"/>
  <c r="G24" i="6"/>
  <c r="I24" i="6" s="1"/>
  <c r="C24" i="6" s="1"/>
  <c r="B24" i="6" s="1"/>
  <c r="J24" i="6"/>
  <c r="K24" i="6" s="1"/>
  <c r="E25" i="6"/>
  <c r="F25" i="6"/>
  <c r="H25" i="6" s="1"/>
  <c r="D26" i="6"/>
  <c r="F13" i="5"/>
  <c r="D10" i="5"/>
  <c r="H95" i="1"/>
  <c r="H101" i="1"/>
  <c r="F97" i="1"/>
  <c r="F24" i="5"/>
  <c r="F99" i="1" s="1"/>
  <c r="D100" i="1"/>
  <c r="D27" i="5"/>
  <c r="D102" i="1" s="1"/>
  <c r="F100" i="1"/>
  <c r="F27" i="5"/>
  <c r="F102" i="1" s="1"/>
  <c r="H30" i="5"/>
  <c r="H16" i="5"/>
  <c r="H14" i="5"/>
  <c r="H28" i="5"/>
  <c r="H98" i="1"/>
  <c r="H96" i="1"/>
  <c r="C35" i="4"/>
  <c r="H104" i="1"/>
  <c r="H32" i="5"/>
  <c r="H18" i="5"/>
  <c r="H31" i="5"/>
  <c r="H17" i="5"/>
  <c r="D24" i="5"/>
  <c r="D99" i="1" s="1"/>
  <c r="D97" i="1"/>
  <c r="D13" i="5"/>
  <c r="H23" i="4" l="1"/>
  <c r="E23" i="4" s="1"/>
  <c r="C22" i="8"/>
  <c r="C23" i="8" s="1"/>
  <c r="C24" i="8" s="1"/>
  <c r="G22" i="8"/>
  <c r="F22" i="8"/>
  <c r="E13" i="7"/>
  <c r="E14" i="7" s="1"/>
  <c r="E10" i="7"/>
  <c r="E11" i="7" s="1"/>
  <c r="D75" i="4"/>
  <c r="D82" i="4" s="1"/>
  <c r="C75" i="4"/>
  <c r="C82" i="4" s="1"/>
  <c r="L24" i="6"/>
  <c r="J25" i="6"/>
  <c r="K25" i="6" s="1"/>
  <c r="G25" i="6"/>
  <c r="I25" i="6" s="1"/>
  <c r="C25" i="6" s="1"/>
  <c r="B25" i="6" s="1"/>
  <c r="E26" i="6"/>
  <c r="D27" i="6"/>
  <c r="F26" i="6"/>
  <c r="H26" i="6" s="1"/>
  <c r="H102" i="1"/>
  <c r="D17" i="5"/>
  <c r="F17" i="5"/>
  <c r="D76" i="4" s="1"/>
  <c r="D83" i="4" s="1"/>
  <c r="H99" i="1"/>
  <c r="D31" i="5"/>
  <c r="D106" i="1" s="1"/>
  <c r="F31" i="5"/>
  <c r="F106" i="1" s="1"/>
  <c r="C43" i="4"/>
  <c r="D51" i="4" s="1"/>
  <c r="D14" i="5"/>
  <c r="F14" i="5"/>
  <c r="H100" i="1"/>
  <c r="H97" i="1"/>
  <c r="D18" i="5"/>
  <c r="F18" i="5"/>
  <c r="D16" i="5"/>
  <c r="F16" i="5"/>
  <c r="F32" i="5"/>
  <c r="F107" i="1" s="1"/>
  <c r="D32" i="5"/>
  <c r="D107" i="1" s="1"/>
  <c r="F30" i="5"/>
  <c r="F105" i="1" s="1"/>
  <c r="D30" i="5"/>
  <c r="D105" i="1" s="1"/>
  <c r="F28" i="5"/>
  <c r="F103" i="1" s="1"/>
  <c r="D28" i="5"/>
  <c r="D103" i="1" s="1"/>
  <c r="C32" i="4" l="1"/>
  <c r="E56" i="1" s="1"/>
  <c r="C51" i="4"/>
  <c r="D88" i="4"/>
  <c r="L25" i="6"/>
  <c r="G26" i="6"/>
  <c r="I26" i="6" s="1"/>
  <c r="C26" i="6" s="1"/>
  <c r="B26" i="6" s="1"/>
  <c r="J26" i="6"/>
  <c r="K26" i="6" s="1"/>
  <c r="E27" i="6"/>
  <c r="F27" i="6"/>
  <c r="H27" i="6" s="1"/>
  <c r="D28" i="6"/>
  <c r="H103" i="1"/>
  <c r="C44" i="4"/>
  <c r="H106" i="1"/>
  <c r="H107" i="1"/>
  <c r="H105" i="1"/>
  <c r="C52" i="4" l="1"/>
  <c r="D52" i="4"/>
  <c r="D66" i="4" s="1"/>
  <c r="C74" i="4"/>
  <c r="C81" i="4" s="1"/>
  <c r="D73" i="4"/>
  <c r="D80" i="4" s="1"/>
  <c r="D86" i="4" s="1"/>
  <c r="C73" i="4"/>
  <c r="C80" i="4" s="1"/>
  <c r="D74" i="4"/>
  <c r="D81" i="4" s="1"/>
  <c r="D87" i="4" s="1"/>
  <c r="C63" i="1"/>
  <c r="D65" i="4"/>
  <c r="G75" i="4"/>
  <c r="H75" i="4" s="1"/>
  <c r="E75" i="4" s="1"/>
  <c r="C39" i="4"/>
  <c r="C41" i="4"/>
  <c r="D53" i="4" s="1"/>
  <c r="D89" i="4"/>
  <c r="C37" i="4"/>
  <c r="L26" i="6"/>
  <c r="J27" i="6"/>
  <c r="K27" i="6" s="1"/>
  <c r="G27" i="6"/>
  <c r="I27" i="6" s="1"/>
  <c r="C27" i="6" s="1"/>
  <c r="B27" i="6" s="1"/>
  <c r="E28" i="6"/>
  <c r="F28" i="6"/>
  <c r="H28" i="6" s="1"/>
  <c r="D29" i="6"/>
  <c r="C49" i="4" l="1"/>
  <c r="C63" i="4" s="1"/>
  <c r="D49" i="4"/>
  <c r="C47" i="4"/>
  <c r="C61" i="4" s="1"/>
  <c r="D47" i="4"/>
  <c r="C59" i="1" s="1"/>
  <c r="C65" i="4"/>
  <c r="C53" i="4"/>
  <c r="C67" i="4" s="1"/>
  <c r="E88" i="4"/>
  <c r="E69" i="1" s="1"/>
  <c r="C64" i="1"/>
  <c r="C38" i="4"/>
  <c r="D48" i="4" s="1"/>
  <c r="C42" i="4"/>
  <c r="C40" i="4"/>
  <c r="D50" i="4" s="1"/>
  <c r="L27" i="6"/>
  <c r="G28" i="6"/>
  <c r="I28" i="6" s="1"/>
  <c r="C28" i="6" s="1"/>
  <c r="B28" i="6" s="1"/>
  <c r="J28" i="6"/>
  <c r="K28" i="6" s="1"/>
  <c r="F29" i="6"/>
  <c r="H29" i="6" s="1"/>
  <c r="D30" i="6"/>
  <c r="D31" i="6" s="1"/>
  <c r="E29" i="6"/>
  <c r="C54" i="4" l="1"/>
  <c r="C68" i="4" s="1"/>
  <c r="D54" i="4"/>
  <c r="C66" i="1" s="1"/>
  <c r="C66" i="4"/>
  <c r="C60" i="1"/>
  <c r="C48" i="4"/>
  <c r="C62" i="4" s="1"/>
  <c r="C62" i="1"/>
  <c r="C50" i="4"/>
  <c r="C64" i="4" s="1"/>
  <c r="G74" i="4"/>
  <c r="H74" i="4" s="1"/>
  <c r="C65" i="1"/>
  <c r="D67" i="4"/>
  <c r="D61" i="4"/>
  <c r="C61" i="1"/>
  <c r="D63" i="4"/>
  <c r="G73" i="4"/>
  <c r="H73" i="4" s="1"/>
  <c r="E73" i="4" s="1"/>
  <c r="G76" i="4"/>
  <c r="H76" i="4" s="1"/>
  <c r="E76" i="4" s="1"/>
  <c r="E31" i="6"/>
  <c r="D32" i="6"/>
  <c r="F31" i="6"/>
  <c r="H31" i="6" s="1"/>
  <c r="L28" i="6"/>
  <c r="G29" i="6"/>
  <c r="I29" i="6" s="1"/>
  <c r="C29" i="6" s="1"/>
  <c r="B29" i="6" s="1"/>
  <c r="J29" i="6"/>
  <c r="K29" i="6" s="1"/>
  <c r="E30" i="6"/>
  <c r="F30" i="6"/>
  <c r="H30" i="6" s="1"/>
  <c r="D68" i="4" l="1"/>
  <c r="E89" i="4"/>
  <c r="E70" i="1" s="1"/>
  <c r="E86" i="4"/>
  <c r="E67" i="1" s="1"/>
  <c r="D64" i="4"/>
  <c r="D62" i="4"/>
  <c r="E74" i="4"/>
  <c r="J31" i="6"/>
  <c r="K31" i="6" s="1"/>
  <c r="G31" i="6"/>
  <c r="I31" i="6" s="1"/>
  <c r="C31" i="6" s="1"/>
  <c r="E32" i="6"/>
  <c r="D33" i="6"/>
  <c r="F32" i="6"/>
  <c r="H32" i="6" s="1"/>
  <c r="L29" i="6"/>
  <c r="G30" i="6"/>
  <c r="I30" i="6" s="1"/>
  <c r="C30" i="6" s="1"/>
  <c r="J30" i="6"/>
  <c r="K30" i="6" s="1"/>
  <c r="E87" i="4" l="1"/>
  <c r="E68" i="1" s="1"/>
  <c r="E33" i="6"/>
  <c r="F33" i="6"/>
  <c r="H33" i="6" s="1"/>
  <c r="D34" i="6"/>
  <c r="J32" i="6"/>
  <c r="K32" i="6" s="1"/>
  <c r="G32" i="6"/>
  <c r="I32" i="6" s="1"/>
  <c r="C32" i="6" s="1"/>
  <c r="B32" i="6" s="1"/>
  <c r="L30" i="6"/>
  <c r="L31" i="6"/>
  <c r="B30" i="6"/>
  <c r="B31" i="6"/>
  <c r="L32" i="6" l="1"/>
  <c r="E34" i="6"/>
  <c r="F34" i="6"/>
  <c r="H34" i="6" s="1"/>
  <c r="D35" i="6"/>
  <c r="G33" i="6"/>
  <c r="I33" i="6" s="1"/>
  <c r="C33" i="6" s="1"/>
  <c r="B33" i="6" s="1"/>
  <c r="J33" i="6"/>
  <c r="K33" i="6" s="1"/>
  <c r="F35" i="6" l="1"/>
  <c r="H35" i="6" s="1"/>
  <c r="E35" i="6"/>
  <c r="L33" i="6"/>
  <c r="G34" i="6"/>
  <c r="I34" i="6" s="1"/>
  <c r="C34" i="6" s="1"/>
  <c r="B34" i="6" s="1"/>
  <c r="J34" i="6"/>
  <c r="K34" i="6" s="1"/>
  <c r="J35" i="6" l="1"/>
  <c r="K35" i="6" s="1"/>
  <c r="G35" i="6"/>
  <c r="I35" i="6" s="1"/>
  <c r="C35" i="6" s="1"/>
  <c r="B35" i="6" s="1"/>
  <c r="L34" i="6"/>
  <c r="L35" i="6" l="1"/>
  <c r="L37" i="6" s="1"/>
  <c r="L38" i="6" s="1"/>
  <c r="C17" i="2" l="1"/>
  <c r="D6" i="8" l="1"/>
  <c r="D7" i="8" s="1"/>
  <c r="C20" i="2" s="1"/>
  <c r="C22" i="2" s="1"/>
  <c r="F43" i="1" s="1"/>
  <c r="D5" i="8"/>
  <c r="C19" i="2" s="1"/>
  <c r="C18" i="2"/>
  <c r="C23" i="2" s="1"/>
  <c r="F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Make sure that this value is higher than Min Recommended Ilim switch. </t>
        </r>
      </text>
    </comment>
    <comment ref="E5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Inrush Current must be sufficiently below Iin,tmr,min to ensure that timer doesn't run at start-up. 
</t>
        </r>
      </text>
    </comment>
    <comment ref="E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</text>
    </comment>
    <comment ref="E5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<sst xmlns="http://schemas.openxmlformats.org/spreadsheetml/2006/main" count="540" uniqueCount="266">
  <si>
    <t>Min</t>
  </si>
  <si>
    <t>Typ</t>
  </si>
  <si>
    <t>Max</t>
  </si>
  <si>
    <t>Units</t>
  </si>
  <si>
    <t>V</t>
  </si>
  <si>
    <t>Iuv</t>
  </si>
  <si>
    <t>Iov</t>
  </si>
  <si>
    <t>uA</t>
  </si>
  <si>
    <t>Vtmr1</t>
  </si>
  <si>
    <t>Vtmr2</t>
  </si>
  <si>
    <t>Itmr1</t>
  </si>
  <si>
    <t>Itmr2</t>
  </si>
  <si>
    <t>Vd</t>
  </si>
  <si>
    <t>Rd</t>
  </si>
  <si>
    <r>
      <t>k</t>
    </r>
    <r>
      <rPr>
        <sz val="11"/>
        <color theme="1"/>
        <rFont val="Calibri"/>
        <family val="2"/>
      </rPr>
      <t>Ω</t>
    </r>
  </si>
  <si>
    <t>Vsns,cl1</t>
  </si>
  <si>
    <t>Vsns,cl2</t>
  </si>
  <si>
    <t>mV</t>
  </si>
  <si>
    <t>Load Power</t>
  </si>
  <si>
    <t>Bus Voltage</t>
  </si>
  <si>
    <t>W</t>
  </si>
  <si>
    <t>System Inputs:</t>
  </si>
  <si>
    <t>Output Capacitance</t>
  </si>
  <si>
    <t>uF</t>
  </si>
  <si>
    <t>C</t>
  </si>
  <si>
    <t>Calculated Load Current</t>
  </si>
  <si>
    <t>A</t>
  </si>
  <si>
    <t>Vsns, tmr1</t>
  </si>
  <si>
    <t>Target Current Limit</t>
  </si>
  <si>
    <t>Calculated Rsns</t>
  </si>
  <si>
    <r>
      <t>m</t>
    </r>
    <r>
      <rPr>
        <sz val="11"/>
        <color theme="1"/>
        <rFont val="Calibri"/>
        <family val="2"/>
      </rPr>
      <t>Ω</t>
    </r>
  </si>
  <si>
    <t>Selected Rsns</t>
  </si>
  <si>
    <t>Ilim (high Vds)</t>
  </si>
  <si>
    <t>Ilim (low Vds)</t>
  </si>
  <si>
    <t>Iin,tmr (where timer trips)</t>
  </si>
  <si>
    <t xml:space="preserve">Target Settings: </t>
  </si>
  <si>
    <t>Target UV, rising</t>
  </si>
  <si>
    <t>Target OV, rising</t>
  </si>
  <si>
    <t>Target UV, falling</t>
  </si>
  <si>
    <t>Target OV, falling</t>
  </si>
  <si>
    <t>UV, rising</t>
  </si>
  <si>
    <t>OV, falling</t>
  </si>
  <si>
    <t>OV, rising</t>
  </si>
  <si>
    <t>Target Ilim, switch</t>
  </si>
  <si>
    <t xml:space="preserve">Computed Components: </t>
  </si>
  <si>
    <t>Ruv1</t>
  </si>
  <si>
    <t>Ruv2</t>
  </si>
  <si>
    <t>Rov1</t>
  </si>
  <si>
    <t>Rov2</t>
  </si>
  <si>
    <t>Css</t>
  </si>
  <si>
    <t>nF</t>
  </si>
  <si>
    <t>Igate,src,low</t>
  </si>
  <si>
    <t>Igate,src,high</t>
  </si>
  <si>
    <t>Errror %</t>
  </si>
  <si>
    <t>Target Time out (low Vds)</t>
  </si>
  <si>
    <t>ms</t>
  </si>
  <si>
    <t>Ctmr</t>
  </si>
  <si>
    <t xml:space="preserve">Selected Components: </t>
  </si>
  <si>
    <t>Value</t>
  </si>
  <si>
    <t>UV, falling</t>
  </si>
  <si>
    <t>Ilim, switch</t>
  </si>
  <si>
    <t>Time out (Vd &gt; 1.5V)</t>
  </si>
  <si>
    <t>Time out (0.75V&lt;Vd &lt; 1.5V)</t>
  </si>
  <si>
    <t>Time out (Vd =0V)</t>
  </si>
  <si>
    <t>Target</t>
  </si>
  <si>
    <t>Tol(%)</t>
  </si>
  <si>
    <t>Programmed Settings (Worst Case)</t>
  </si>
  <si>
    <t>Inrush Current (with max Cout)</t>
  </si>
  <si>
    <t>Target Inrush Current (at max Cout)</t>
  </si>
  <si>
    <t>Error</t>
  </si>
  <si>
    <t>NA</t>
  </si>
  <si>
    <t>UV, hyst</t>
  </si>
  <si>
    <t>OV, hyst</t>
  </si>
  <si>
    <t>Programmed Settings (RMS, error)</t>
  </si>
  <si>
    <t>Vin,start</t>
  </si>
  <si>
    <t>Vhigh</t>
  </si>
  <si>
    <t>Ilim1</t>
  </si>
  <si>
    <t>Ilim2</t>
  </si>
  <si>
    <t>Rsns</t>
  </si>
  <si>
    <t>Cbulk</t>
  </si>
  <si>
    <t>Vin</t>
  </si>
  <si>
    <t>Ifet</t>
  </si>
  <si>
    <t>Time (ms)</t>
  </si>
  <si>
    <t>Ctotal</t>
  </si>
  <si>
    <t>B</t>
  </si>
  <si>
    <t>&lt;=C/Ilim</t>
  </si>
  <si>
    <t>&lt;= Pload / Ilim</t>
  </si>
  <si>
    <t>Trecharge</t>
  </si>
  <si>
    <t>&lt;= A* (Vhigh - Vend)+A*B*ln[(Vhigh-B)/(Vend-B)]</t>
  </si>
  <si>
    <t>mF/A = ms/V</t>
  </si>
  <si>
    <t xml:space="preserve">Start Drop Out =&gt; </t>
  </si>
  <si>
    <t xml:space="preserve">Finish Drop Out =&gt; </t>
  </si>
  <si>
    <t>Spike =&gt;</t>
  </si>
  <si>
    <t>Vin(V)</t>
  </si>
  <si>
    <t>Vout (V)</t>
  </si>
  <si>
    <t xml:space="preserve">Finish Recovery =&gt; </t>
  </si>
  <si>
    <t>Trecharge (1/2)</t>
  </si>
  <si>
    <t>Vhalf</t>
  </si>
  <si>
    <t xml:space="preserve">Current Limit &amp; FET: </t>
  </si>
  <si>
    <t>Tamb (Or Tpcb)</t>
  </si>
  <si>
    <t>Rtheta,ja (OR Psi,j,pcb)</t>
  </si>
  <si>
    <t>C/W</t>
  </si>
  <si>
    <t>Vd2 = Max Vin</t>
  </si>
  <si>
    <t>t2-</t>
  </si>
  <si>
    <t>t2+</t>
  </si>
  <si>
    <t>t1'-</t>
  </si>
  <si>
    <t>t1'+</t>
  </si>
  <si>
    <t>t3 = Vin,max. Time to start with max Iinr</t>
  </si>
  <si>
    <t>t3-</t>
  </si>
  <si>
    <t>t3+</t>
  </si>
  <si>
    <t>t3' = t3 / 2 (triangular power pulse)</t>
  </si>
  <si>
    <t>SOA look up (25C)</t>
  </si>
  <si>
    <t>m</t>
  </si>
  <si>
    <t>a</t>
  </si>
  <si>
    <t>t2 = Max timer at 0.75 &lt;Vd&lt;1.5V</t>
  </si>
  <si>
    <t>Temp Derating</t>
  </si>
  <si>
    <t>SOA Margin (Temp Derated SOA / Req'd SOA)</t>
  </si>
  <si>
    <t xml:space="preserve">Programmed Settings </t>
  </si>
  <si>
    <t>Error calculation</t>
  </si>
  <si>
    <t>RMS</t>
  </si>
  <si>
    <t>Worst Case</t>
  </si>
  <si>
    <t>IC parameters</t>
  </si>
  <si>
    <t>Iq</t>
  </si>
  <si>
    <t>mA</t>
  </si>
  <si>
    <t>VCC operating</t>
  </si>
  <si>
    <t>Rcc</t>
  </si>
  <si>
    <t>mW</t>
  </si>
  <si>
    <t>Recommended Timer and Ilim switch</t>
  </si>
  <si>
    <t>Enter Values in Green Shaded Cells</t>
  </si>
  <si>
    <t>Calculated Values are shown in White Cells</t>
  </si>
  <si>
    <t xml:space="preserve">Yellow and Red cells highlight potential issues with the design. Red highlights items that are higher risk. </t>
  </si>
  <si>
    <t>www.ti.com/hotswap</t>
  </si>
  <si>
    <t>Yes</t>
  </si>
  <si>
    <t>Load During Transient</t>
  </si>
  <si>
    <t>System Inputs</t>
  </si>
  <si>
    <t>Typical Ilim</t>
  </si>
  <si>
    <t xml:space="preserve"> </t>
  </si>
  <si>
    <t>I_FET (A)</t>
  </si>
  <si>
    <t>I_load (A)</t>
  </si>
  <si>
    <t>Calculated Values</t>
  </si>
  <si>
    <t>Vout, min</t>
  </si>
  <si>
    <t>Vds,max</t>
  </si>
  <si>
    <t>Total Recovery Time</t>
  </si>
  <si>
    <t>Time to D (pin) &lt; 0.75V</t>
  </si>
  <si>
    <t>Recommended Sesttings</t>
  </si>
  <si>
    <t>Timer (20% margin)</t>
  </si>
  <si>
    <t>Ilim,sw (5% margin over Vds,max)</t>
  </si>
  <si>
    <t>Programmed</t>
  </si>
  <si>
    <t>SOA Margin Check (Refer to SOA margin TAB for full details)</t>
  </si>
  <si>
    <t>short time-out</t>
  </si>
  <si>
    <t>mid time-out</t>
  </si>
  <si>
    <t>long time - out</t>
  </si>
  <si>
    <t xml:space="preserve">Assumptions: </t>
  </si>
  <si>
    <t>Ifet = A*Vgst^2</t>
  </si>
  <si>
    <t>Ifet = Vout  / Rshort</t>
  </si>
  <si>
    <t>Css,tot = Cgd,fet + Css_ext</t>
  </si>
  <si>
    <t>Cgs,tot = Cgs,fet + Css,vee</t>
  </si>
  <si>
    <t>time</t>
  </si>
  <si>
    <t>Css,tot</t>
  </si>
  <si>
    <t>Cgs,tot</t>
  </si>
  <si>
    <t>Igate</t>
  </si>
  <si>
    <t>Ilim</t>
  </si>
  <si>
    <t>A/V^2</t>
  </si>
  <si>
    <t>V/ms</t>
  </si>
  <si>
    <t>Vgst</t>
  </si>
  <si>
    <t>Qtot</t>
  </si>
  <si>
    <t>Rshort</t>
  </si>
  <si>
    <t>ohm</t>
  </si>
  <si>
    <t>RTN-VOUTM</t>
  </si>
  <si>
    <t>Qss</t>
  </si>
  <si>
    <t>Vds</t>
  </si>
  <si>
    <t>PFET</t>
  </si>
  <si>
    <t>Qenh</t>
  </si>
  <si>
    <t>Energy</t>
  </si>
  <si>
    <t>deltaE (mJ)</t>
  </si>
  <si>
    <t>teq</t>
  </si>
  <si>
    <t>mJ</t>
  </si>
  <si>
    <t>Estimated Teq for Start-into Short</t>
  </si>
  <si>
    <t>Measured Teq for Start-into Short (Enter TBD if not known)</t>
  </si>
  <si>
    <t>Css,vee</t>
  </si>
  <si>
    <t>Cgs,FET</t>
  </si>
  <si>
    <t>Css,tgt</t>
  </si>
  <si>
    <t>Css,act</t>
  </si>
  <si>
    <t>use:</t>
  </si>
  <si>
    <t>Css,vee,tgt</t>
  </si>
  <si>
    <t>Css,vee,act</t>
  </si>
  <si>
    <t>Start-into Short</t>
  </si>
  <si>
    <t>teq1</t>
  </si>
  <si>
    <t>Discretizing Solution for Sanity Checks</t>
  </si>
  <si>
    <t>Start-into Resistive Short</t>
  </si>
  <si>
    <t>teq, no, cgs</t>
  </si>
  <si>
    <t xml:space="preserve">&lt;= if FET was ideal and there was no Cgs. Basically just wait until Vout comes up. </t>
  </si>
  <si>
    <t>Equation: teq,no,cgs = Ilim * Rshort * Css,tot / Igate/2</t>
  </si>
  <si>
    <t>teq,total</t>
  </si>
  <si>
    <t>&lt;= As an approximation adding the two computed values seperately</t>
  </si>
  <si>
    <t>Key Inputs</t>
  </si>
  <si>
    <t>teq - hot short</t>
  </si>
  <si>
    <t>teq - resistive short</t>
  </si>
  <si>
    <t xml:space="preserve">t1 = Timer </t>
  </si>
  <si>
    <t>t1' = t1 + Teq hot short</t>
  </si>
  <si>
    <t>t1'' = t1 + Teq Resistive Short</t>
  </si>
  <si>
    <t>t1''-</t>
  </si>
  <si>
    <t>t1''+</t>
  </si>
  <si>
    <t>Inrush Current</t>
  </si>
  <si>
    <t>Power Consumption Rcc</t>
  </si>
  <si>
    <t>Recommended Rcc (with 20% margin)</t>
  </si>
  <si>
    <t>Simplified Diagram</t>
  </si>
  <si>
    <t>ATIS / Brown Out Transient Inputs</t>
  </si>
  <si>
    <t>D1 (Forward Drop)</t>
  </si>
  <si>
    <t>Cout</t>
  </si>
  <si>
    <t>Other Losses (Cap ESR, etc)</t>
  </si>
  <si>
    <t>HS Gate Recovery time</t>
  </si>
  <si>
    <t>HS =&gt; Recovered</t>
  </si>
  <si>
    <t xml:space="preserve">Note: Adjusting for diode just once. </t>
  </si>
  <si>
    <t xml:space="preserve">Tdrop </t>
  </si>
  <si>
    <t>Using Programmed or target</t>
  </si>
  <si>
    <t>Used for calculations</t>
  </si>
  <si>
    <t>Vds,switch:</t>
  </si>
  <si>
    <t>Iinr</t>
  </si>
  <si>
    <t>Ilim, high</t>
  </si>
  <si>
    <t>Ilim, low</t>
  </si>
  <si>
    <t>Time, out (Full)</t>
  </si>
  <si>
    <t>time, out, (high Vds)</t>
  </si>
  <si>
    <t>time, out (medium Vds)</t>
  </si>
  <si>
    <t>Teq Calculations</t>
  </si>
  <si>
    <t>Start-up Time</t>
  </si>
  <si>
    <t>Required to pass ATIS 06003.2013 "Fig 1" or other brown out test?</t>
  </si>
  <si>
    <t>TBD</t>
  </si>
  <si>
    <t>Computed</t>
  </si>
  <si>
    <t>Entered</t>
  </si>
  <si>
    <t>W/o Temp derating</t>
  </si>
  <si>
    <t>Operating Point</t>
  </si>
  <si>
    <t>Start - Up</t>
  </si>
  <si>
    <t>Start-Time at Max Vin</t>
  </si>
  <si>
    <t>Iin</t>
  </si>
  <si>
    <t>Vin,max</t>
  </si>
  <si>
    <t>Cout,max</t>
  </si>
  <si>
    <t>I,inr</t>
  </si>
  <si>
    <t>&lt;= At max Cout</t>
  </si>
  <si>
    <t>Pfet,eq</t>
  </si>
  <si>
    <t>Pfet (W)</t>
  </si>
  <si>
    <t>Inrush Current During Start -up (@ max Vin and Cout)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</si>
  <si>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Power Dissipation During Start-up</t>
    </r>
  </si>
  <si>
    <t>Start - Up Using Equivalent Power Pulse (@ Vin,max &amp; Cout,max)</t>
  </si>
  <si>
    <r>
      <t xml:space="preserve">                                                          </t>
    </r>
    <r>
      <rPr>
        <sz val="22"/>
        <color theme="0"/>
        <rFont val="Arial"/>
        <family val="2"/>
      </rPr>
      <t>TPS2352x Hot Swap Design Tool</t>
    </r>
  </si>
  <si>
    <t>FET (Q1)</t>
  </si>
  <si>
    <t>Q1 Ron @ Tj,op,max</t>
  </si>
  <si>
    <t>Q1 Tj,absmax</t>
  </si>
  <si>
    <t>Q1 Cgs (Gate to source capacitance)</t>
  </si>
  <si>
    <t>Q2 (only TPS23521/23)</t>
  </si>
  <si>
    <t># FETs Q1 (driven by GATE)</t>
  </si>
  <si>
    <t># FETs Q2 (driven by GATE2, only TPS23521/23)</t>
  </si>
  <si>
    <t>Q2 Ron @ Tj,op,max (only TPS23521/23)</t>
  </si>
  <si>
    <t>Temp used for derating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</si>
  <si>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F</t>
    </r>
  </si>
  <si>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F</t>
    </r>
  </si>
  <si>
    <t>Not Used</t>
  </si>
  <si>
    <t>Vin,low</t>
  </si>
  <si>
    <r>
      <t>V</t>
    </r>
    <r>
      <rPr>
        <vertAlign val="subscript"/>
        <sz val="11"/>
        <color theme="1"/>
        <rFont val="Calibri"/>
        <family val="2"/>
        <scheme val="minor"/>
      </rPr>
      <t>SNS,CL1</t>
    </r>
    <r>
      <rPr>
        <sz val="11"/>
        <color theme="1"/>
        <rFont val="Calibri"/>
        <family val="2"/>
        <scheme val="minor"/>
      </rPr>
      <t xml:space="preserve"> setting (40mV, only availlabe for TPS23523/21)</t>
    </r>
  </si>
  <si>
    <t xml:space="preserve">Select, which numbers to use For SOA Margin check &amp; Graphs;  "Programmed" = Will use selected Components in Cell E84 to E93. "Target" = Will use target settings from cells E46 to E52.  It's recommended to first iterate using target settings. </t>
  </si>
  <si>
    <t>No</t>
  </si>
  <si>
    <t>IQ1,max (max current through Q1 "FETs")</t>
  </si>
  <si>
    <t>Power Dissipation / FET (Q1)</t>
  </si>
  <si>
    <t>Tj,op,max (Q1)</t>
  </si>
  <si>
    <t xml:space="preserve">Total FET Power Dissipation </t>
  </si>
  <si>
    <t>IPB027N10N3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</si>
</sst>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24"/>
      <color theme="0"/>
      <name val="Arial"/>
      <family val="2"/>
    </font>
    <font>
      <sz val="22"/>
      <color theme="0"/>
      <name val="Arial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0" fillId="0" borderId="0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2" borderId="5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164" fontId="0" fillId="0" borderId="0" xfId="0" applyNumberFormat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0" fillId="5" borderId="9" xfId="0" applyFill="1" applyBorder="1"/>
    <xf numFmtId="0" fontId="0" fillId="5" borderId="10" xfId="0" applyFill="1" applyBorder="1"/>
    <xf numFmtId="2" fontId="0" fillId="0" borderId="0" xfId="0" applyNumberFormat="1"/>
    <xf numFmtId="0" fontId="0" fillId="0" borderId="1" xfId="0" applyBorder="1"/>
    <xf numFmtId="0" fontId="0" fillId="3" borderId="0" xfId="0" applyFill="1" applyBorder="1" applyAlignment="1">
      <alignment horizontal="center"/>
    </xf>
    <xf numFmtId="0" fontId="0" fillId="5" borderId="1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Fill="1" applyBorder="1"/>
    <xf numFmtId="0" fontId="0" fillId="2" borderId="0" xfId="0" applyFill="1" applyBorder="1"/>
    <xf numFmtId="166" fontId="0" fillId="0" borderId="0" xfId="0" applyNumberFormat="1"/>
    <xf numFmtId="0" fontId="0" fillId="5" borderId="12" xfId="0" applyFill="1" applyBorder="1"/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0" fontId="0" fillId="0" borderId="0" xfId="0" applyNumberFormat="1"/>
    <xf numFmtId="0" fontId="0" fillId="0" borderId="3" xfId="0" applyFill="1" applyBorder="1"/>
    <xf numFmtId="2" fontId="0" fillId="0" borderId="2" xfId="0" applyNumberFormat="1" applyBorder="1"/>
    <xf numFmtId="164" fontId="0" fillId="0" borderId="2" xfId="0" applyNumberFormat="1" applyBorder="1"/>
    <xf numFmtId="166" fontId="0" fillId="0" borderId="2" xfId="0" applyNumberFormat="1" applyBorder="1"/>
    <xf numFmtId="2" fontId="0" fillId="0" borderId="12" xfId="0" applyNumberForma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14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166" fontId="0" fillId="0" borderId="0" xfId="1" applyNumberFormat="1" applyFont="1"/>
    <xf numFmtId="0" fontId="0" fillId="5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2" xfId="0" applyFill="1" applyBorder="1" applyAlignment="1" applyProtection="1">
      <alignment horizontal="center"/>
    </xf>
    <xf numFmtId="0" fontId="3" fillId="8" borderId="0" xfId="0" applyFont="1" applyFill="1"/>
    <xf numFmtId="0" fontId="0" fillId="0" borderId="0" xfId="0" applyFill="1" applyBorder="1" applyAlignment="1" applyProtection="1">
      <alignment horizontal="center"/>
    </xf>
    <xf numFmtId="0" fontId="0" fillId="8" borderId="12" xfId="0" applyFill="1" applyBorder="1" applyAlignment="1">
      <alignment horizontal="center"/>
    </xf>
    <xf numFmtId="0" fontId="0" fillId="8" borderId="0" xfId="0" applyFill="1"/>
    <xf numFmtId="0" fontId="0" fillId="4" borderId="0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7" fillId="4" borderId="0" xfId="0" applyFont="1" applyFill="1" applyProtection="1"/>
    <xf numFmtId="0" fontId="9" fillId="8" borderId="0" xfId="2" applyFont="1" applyFill="1" applyAlignment="1" applyProtection="1"/>
    <xf numFmtId="0" fontId="0" fillId="8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ont="1" applyFill="1" applyBorder="1"/>
    <xf numFmtId="0" fontId="0" fillId="0" borderId="11" xfId="0" applyBorder="1" applyAlignment="1">
      <alignment horizontal="center" vertical="center"/>
    </xf>
    <xf numFmtId="165" fontId="0" fillId="0" borderId="12" xfId="0" applyNumberFormat="1" applyBorder="1"/>
    <xf numFmtId="164" fontId="0" fillId="0" borderId="12" xfId="0" applyNumberFormat="1" applyBorder="1"/>
    <xf numFmtId="9" fontId="0" fillId="0" borderId="12" xfId="0" applyNumberFormat="1" applyBorder="1"/>
    <xf numFmtId="166" fontId="0" fillId="0" borderId="12" xfId="0" applyNumberFormat="1" applyBorder="1"/>
    <xf numFmtId="0" fontId="0" fillId="5" borderId="12" xfId="0" applyFill="1" applyBorder="1" applyAlignment="1">
      <alignment horizontal="center" vertical="center"/>
    </xf>
    <xf numFmtId="0" fontId="0" fillId="0" borderId="10" xfId="0" applyFill="1" applyBorder="1" applyAlignment="1"/>
    <xf numFmtId="0" fontId="0" fillId="0" borderId="10" xfId="0" applyFill="1" applyBorder="1"/>
    <xf numFmtId="2" fontId="0" fillId="4" borderId="11" xfId="0" applyNumberFormat="1" applyFill="1" applyBorder="1"/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3" fillId="0" borderId="0" xfId="0" applyFont="1"/>
    <xf numFmtId="0" fontId="13" fillId="7" borderId="0" xfId="0" applyFont="1" applyFill="1"/>
    <xf numFmtId="0" fontId="0" fillId="0" borderId="13" xfId="0" applyFill="1" applyBorder="1"/>
    <xf numFmtId="0" fontId="0" fillId="11" borderId="12" xfId="0" applyFill="1" applyBorder="1"/>
    <xf numFmtId="2" fontId="0" fillId="11" borderId="12" xfId="0" applyNumberFormat="1" applyFill="1" applyBorder="1"/>
    <xf numFmtId="0" fontId="0" fillId="0" borderId="14" xfId="0" applyBorder="1" applyAlignment="1">
      <alignment wrapText="1"/>
    </xf>
    <xf numFmtId="0" fontId="0" fillId="5" borderId="19" xfId="0" applyFill="1" applyBorder="1"/>
    <xf numFmtId="0" fontId="0" fillId="5" borderId="18" xfId="0" applyFill="1" applyBorder="1"/>
    <xf numFmtId="0" fontId="0" fillId="5" borderId="20" xfId="0" applyFill="1" applyBorder="1" applyAlignment="1">
      <alignment horizontal="center"/>
    </xf>
    <xf numFmtId="0" fontId="0" fillId="5" borderId="21" xfId="0" applyFill="1" applyBorder="1"/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7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26" xfId="0" applyBorder="1"/>
    <xf numFmtId="0" fontId="0" fillId="4" borderId="0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18" xfId="0" applyFill="1" applyBorder="1"/>
    <xf numFmtId="0" fontId="0" fillId="4" borderId="29" xfId="0" applyFill="1" applyBorder="1"/>
    <xf numFmtId="0" fontId="0" fillId="3" borderId="2" xfId="0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0" xfId="0" applyNumberFormat="1" applyBorder="1"/>
    <xf numFmtId="0" fontId="0" fillId="0" borderId="27" xfId="0" applyBorder="1"/>
    <xf numFmtId="0" fontId="0" fillId="0" borderId="28" xfId="0" applyBorder="1"/>
    <xf numFmtId="0" fontId="0" fillId="0" borderId="18" xfId="0" applyBorder="1"/>
    <xf numFmtId="0" fontId="0" fillId="0" borderId="29" xfId="0" applyBorder="1"/>
    <xf numFmtId="0" fontId="0" fillId="4" borderId="15" xfId="0" applyFill="1" applyBorder="1"/>
    <xf numFmtId="0" fontId="0" fillId="4" borderId="16" xfId="0" applyFill="1" applyBorder="1"/>
    <xf numFmtId="0" fontId="0" fillId="4" borderId="25" xfId="0" applyFill="1" applyBorder="1"/>
    <xf numFmtId="0" fontId="0" fillId="7" borderId="11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2" xfId="0" applyFill="1" applyBorder="1" applyProtection="1">
      <protection locked="0"/>
    </xf>
    <xf numFmtId="2" fontId="0" fillId="7" borderId="12" xfId="0" applyNumberFormat="1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horizontal="center"/>
      <protection locked="0"/>
    </xf>
    <xf numFmtId="9" fontId="0" fillId="7" borderId="12" xfId="0" applyNumberFormat="1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8" fillId="4" borderId="0" xfId="0" applyFont="1" applyFill="1" applyBorder="1" applyAlignment="1"/>
    <xf numFmtId="0" fontId="18" fillId="4" borderId="27" xfId="0" applyFont="1" applyFill="1" applyBorder="1" applyAlignment="1"/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18" fillId="4" borderId="26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0" fontId="5" fillId="10" borderId="26" xfId="0" applyFont="1" applyFill="1" applyBorder="1" applyAlignment="1" applyProtection="1">
      <alignment horizontal="left" vertical="center"/>
    </xf>
    <xf numFmtId="0" fontId="5" fillId="10" borderId="0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8" fillId="4" borderId="26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SOA_Checks!$C$47:$C$48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SOA_Checks!$E$47:$E$48</c:f>
              <c:numCache>
                <c:formatCode>General</c:formatCode>
                <c:ptCount val="2"/>
                <c:pt idx="0">
                  <c:v>10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E0-480A-A42D-FEFDFEE189C6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SOA_Checks!$C$61:$C$62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SOA_Checks!$E$61:$E$62</c:f>
              <c:numCache>
                <c:formatCode>0.00</c:formatCode>
                <c:ptCount val="2"/>
                <c:pt idx="0">
                  <c:v>5.7159970781592406</c:v>
                </c:pt>
                <c:pt idx="1">
                  <c:v>11.431994156318481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E0-480A-A42D-FEFDFEE189C6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SOA_Checks!$C$73</c:f>
              <c:numCache>
                <c:formatCode>0.00</c:formatCode>
                <c:ptCount val="1"/>
                <c:pt idx="0">
                  <c:v>1.1059204466541421</c:v>
                </c:pt>
              </c:numCache>
            </c:numRef>
          </c:xVal>
          <c:yVal>
            <c:numRef>
              <c:f>SOA_Checks!$E$73</c:f>
              <c:numCache>
                <c:formatCode>0.00</c:formatCode>
                <c:ptCount val="1"/>
                <c:pt idx="0">
                  <c:v>5.8918841624228495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E0-480A-A42D-FEFDFEE189C6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SOA_Checks!$C$80</c:f>
              <c:numCache>
                <c:formatCode>0.00</c:formatCode>
                <c:ptCount val="1"/>
                <c:pt idx="0">
                  <c:v>1.1059204466541421</c:v>
                </c:pt>
              </c:numCache>
            </c:numRef>
          </c:xVal>
          <c:yVal>
            <c:numRef>
              <c:f>SOA_Checks!$E$80</c:f>
              <c:numCache>
                <c:formatCode>0.00</c:formatCode>
                <c:ptCount val="1"/>
                <c:pt idx="0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E0-480A-A42D-FEFDFEE1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7200"/>
        <c:axId val="145589376"/>
      </c:scatterChart>
      <c:valAx>
        <c:axId val="14558720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45589376"/>
        <c:crossesAt val="0.1"/>
        <c:crossBetween val="midCat"/>
      </c:valAx>
      <c:valAx>
        <c:axId val="145589376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5587200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T_eq_work_Derivations!$K$14</c:f>
              <c:strCache>
                <c:ptCount val="1"/>
                <c:pt idx="0">
                  <c:v>PFET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T_eq_work_Derivations!$K$15:$K$35</c:f>
              <c:numCache>
                <c:formatCode>General</c:formatCode>
                <c:ptCount val="21"/>
                <c:pt idx="0">
                  <c:v>0</c:v>
                </c:pt>
                <c:pt idx="1">
                  <c:v>4.4943750000000007</c:v>
                </c:pt>
                <c:pt idx="2">
                  <c:v>8.9775000000000009</c:v>
                </c:pt>
                <c:pt idx="3">
                  <c:v>13.449375000000002</c:v>
                </c:pt>
                <c:pt idx="4">
                  <c:v>17.910000000000004</c:v>
                </c:pt>
                <c:pt idx="5">
                  <c:v>22.359375000000004</c:v>
                </c:pt>
                <c:pt idx="6">
                  <c:v>26.797500000000003</c:v>
                </c:pt>
                <c:pt idx="7">
                  <c:v>31.224375000000009</c:v>
                </c:pt>
                <c:pt idx="8">
                  <c:v>35.640000000000008</c:v>
                </c:pt>
                <c:pt idx="9">
                  <c:v>40.044375000000002</c:v>
                </c:pt>
                <c:pt idx="10">
                  <c:v>44.4375</c:v>
                </c:pt>
                <c:pt idx="11">
                  <c:v>48.819374999999994</c:v>
                </c:pt>
                <c:pt idx="12">
                  <c:v>53.19</c:v>
                </c:pt>
                <c:pt idx="13">
                  <c:v>57.549374999999991</c:v>
                </c:pt>
                <c:pt idx="14">
                  <c:v>61.897499999999994</c:v>
                </c:pt>
                <c:pt idx="15">
                  <c:v>66.234374999999986</c:v>
                </c:pt>
                <c:pt idx="16">
                  <c:v>70.559999999999974</c:v>
                </c:pt>
                <c:pt idx="17">
                  <c:v>74.874374999999986</c:v>
                </c:pt>
                <c:pt idx="18">
                  <c:v>79.177499999999981</c:v>
                </c:pt>
                <c:pt idx="19">
                  <c:v>83.469374999999985</c:v>
                </c:pt>
                <c:pt idx="20">
                  <c:v>87.749999999999972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90-4729-B5CF-FC658C45D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19168"/>
        <c:axId val="164920704"/>
      </c:scatterChart>
      <c:valAx>
        <c:axId val="1649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920704"/>
        <c:crosses val="autoZero"/>
        <c:crossBetween val="midCat"/>
      </c:valAx>
      <c:valAx>
        <c:axId val="16492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919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20.2</c:v>
                </c:pt>
                <c:pt idx="2">
                  <c:v>20.21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12.5</c:v>
                </c:pt>
                <c:pt idx="1">
                  <c:v>12.5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29-424C-A029-686B3FC86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25824"/>
        <c:axId val="165328000"/>
      </c:scatterChart>
      <c:valAx>
        <c:axId val="1653258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5328000"/>
        <c:crosses val="autoZero"/>
        <c:crossBetween val="midCat"/>
      </c:valAx>
      <c:valAx>
        <c:axId val="165328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53258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09166559104661E-2"/>
          <c:y val="2.7484608689453998E-2"/>
          <c:w val="0.84698117133667461"/>
          <c:h val="0.8405605673737529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SOA_Checks!$C$53:$C$54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SOA_Checks!$E$53:$E$54</c:f>
              <c:numCache>
                <c:formatCode>General</c:formatCode>
                <c:ptCount val="2"/>
                <c:pt idx="0">
                  <c:v>30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62-4264-82A6-B92AB73CF307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SOA_Checks!$C$67:$C$68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SOA_Checks!$E$67:$E$68</c:f>
              <c:numCache>
                <c:formatCode>0.00</c:formatCode>
                <c:ptCount val="2"/>
                <c:pt idx="0">
                  <c:v>17.147991234477722</c:v>
                </c:pt>
                <c:pt idx="1">
                  <c:v>5.7159970781592406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62-4264-82A6-B92AB73CF307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SOA_Checks!$C$76</c:f>
              <c:numCache>
                <c:formatCode>0.00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SOA_Checks!$E$76</c:f>
              <c:numCache>
                <c:formatCode>0.00</c:formatCode>
                <c:ptCount val="1"/>
                <c:pt idx="0">
                  <c:v>16.210906359865742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62-4264-82A6-B92AB73CF307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SOA_Checks!$C$83</c:f>
              <c:numCache>
                <c:formatCode>0.00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SOA_Checks!$E$83</c:f>
              <c:numCache>
                <c:formatCode>0.00</c:formatCode>
                <c:ptCount val="1"/>
                <c:pt idx="0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62-4264-82A6-B92AB73CF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07008"/>
        <c:axId val="164521472"/>
      </c:scatterChart>
      <c:valAx>
        <c:axId val="164507008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4521472"/>
        <c:crossesAt val="0.1"/>
        <c:crossBetween val="midCat"/>
      </c:valAx>
      <c:valAx>
        <c:axId val="164521472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507008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851588107369221"/>
          <c:y val="3.3676567740624037E-3"/>
          <c:w val="0.4317447323540739"/>
          <c:h val="0.2961817915357183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314697961433"/>
          <c:y val="3.433021533115372E-2"/>
          <c:w val="0.80810907483133798"/>
          <c:h val="0.80215907037815515"/>
        </c:manualLayout>
      </c:layout>
      <c:scatterChart>
        <c:scatterStyle val="lineMarker"/>
        <c:varyColors val="0"/>
        <c:ser>
          <c:idx val="0"/>
          <c:order val="0"/>
          <c:tx>
            <c:v>Inrush Current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87.41</c:v>
                </c:pt>
                <c:pt idx="4">
                  <c:v>87.42</c:v>
                </c:pt>
                <c:pt idx="5">
                  <c:v>164.81</c:v>
                </c:pt>
                <c:pt idx="6">
                  <c:v>164.82</c:v>
                </c:pt>
                <c:pt idx="7">
                  <c:v>174.82</c:v>
                </c:pt>
              </c:numCache>
            </c:numRef>
          </c:xVal>
          <c:yVal>
            <c:numRef>
              <c:f>Graphs!$F$7:$F$14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0.3683720930232558</c:v>
                </c:pt>
                <c:pt idx="3">
                  <c:v>0.3683720930232558</c:v>
                </c:pt>
                <c:pt idx="4">
                  <c:v>0.3683720930232558</c:v>
                </c:pt>
                <c:pt idx="5">
                  <c:v>0.3683720930232558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F4-489B-8A01-5354F371F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47584"/>
        <c:axId val="164549760"/>
      </c:scatterChart>
      <c:valAx>
        <c:axId val="1645475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705853990468"/>
              <c:y val="0.929213038314344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4549760"/>
        <c:crosses val="autoZero"/>
        <c:crossBetween val="midCat"/>
      </c:valAx>
      <c:valAx>
        <c:axId val="164549760"/>
        <c:scaling>
          <c:orientation val="minMax"/>
          <c:max val="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5475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7924123597773"/>
          <c:y val="0.11692189824103009"/>
          <c:w val="0.80810907483133798"/>
          <c:h val="0.69525088658465084"/>
        </c:manualLayout>
      </c:layout>
      <c:scatterChart>
        <c:scatterStyle val="lineMarker"/>
        <c:varyColors val="0"/>
        <c:ser>
          <c:idx val="0"/>
          <c:order val="0"/>
          <c:tx>
            <c:v>FET_Power_Dissipation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87.41</c:v>
                </c:pt>
                <c:pt idx="4">
                  <c:v>87.42</c:v>
                </c:pt>
                <c:pt idx="5">
                  <c:v>164.81</c:v>
                </c:pt>
                <c:pt idx="6">
                  <c:v>164.82</c:v>
                </c:pt>
                <c:pt idx="7">
                  <c:v>174.82</c:v>
                </c:pt>
              </c:numCache>
            </c:numRef>
          </c:xVal>
          <c:yVal>
            <c:numRef>
              <c:f>Graphs!$H$7:$H$14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26.522790697674417</c:v>
                </c:pt>
                <c:pt idx="3">
                  <c:v>11.051162790697674</c:v>
                </c:pt>
                <c:pt idx="4">
                  <c:v>11.051162790697674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7E-4A92-83EC-610EBFF2B8B9}"/>
            </c:ext>
          </c:extLst>
        </c:ser>
        <c:ser>
          <c:idx val="1"/>
          <c:order val="1"/>
          <c:tx>
            <c:v>Equivalent Power Pulse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87.41</c:v>
                </c:pt>
                <c:pt idx="4">
                  <c:v>87.42</c:v>
                </c:pt>
                <c:pt idx="5">
                  <c:v>164.81</c:v>
                </c:pt>
                <c:pt idx="6">
                  <c:v>164.82</c:v>
                </c:pt>
                <c:pt idx="7">
                  <c:v>174.82</c:v>
                </c:pt>
              </c:numCache>
            </c:numRef>
          </c:xVal>
          <c:yVal>
            <c:numRef>
              <c:f>Graphs!$I$7:$I$14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26.522790697674417</c:v>
                </c:pt>
                <c:pt idx="3">
                  <c:v>26.522790697674417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7E-4A92-83EC-610EBFF2B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82912"/>
        <c:axId val="164584832"/>
      </c:scatterChart>
      <c:valAx>
        <c:axId val="1645829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112621255143942"/>
              <c:y val="0.89395507450977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4584832"/>
        <c:crosses val="autoZero"/>
        <c:crossBetween val="midCat"/>
      </c:valAx>
      <c:valAx>
        <c:axId val="164584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(W)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5829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749257777204074"/>
          <c:y val="0.28918861304211763"/>
          <c:w val="0.41762682328643341"/>
          <c:h val="0.133222728074358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20.2</c:v>
                </c:pt>
                <c:pt idx="2">
                  <c:v>20.21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12.5</c:v>
                </c:pt>
                <c:pt idx="1">
                  <c:v>12.5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EE-4E69-8EFA-72EEB9DBE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13504"/>
        <c:axId val="164619776"/>
      </c:scatterChart>
      <c:valAx>
        <c:axId val="1646135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4619776"/>
        <c:crosses val="autoZero"/>
        <c:crossBetween val="midCat"/>
      </c:valAx>
      <c:valAx>
        <c:axId val="164619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46135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SOA_Checks!$C$51:$C$52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SOA_Checks!$E$51:$E$52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E8-420D-9460-240ECB65BA76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SOA_Checks!$C$65:$C$66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SOA_Checks!$E$65:$E$66</c:f>
              <c:numCache>
                <c:formatCode>0.00</c:formatCode>
                <c:ptCount val="2"/>
                <c:pt idx="0">
                  <c:v>11.431994156318481</c:v>
                </c:pt>
                <c:pt idx="1">
                  <c:v>11.431994156318481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E8-420D-9460-240ECB65BA76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SOA_Checks!$C$75</c:f>
              <c:numCache>
                <c:formatCode>General</c:formatCode>
                <c:ptCount val="1"/>
                <c:pt idx="0">
                  <c:v>77.400000000000006</c:v>
                </c:pt>
              </c:numCache>
            </c:numRef>
          </c:xVal>
          <c:yVal>
            <c:numRef>
              <c:f>SOA_Checks!$E$75</c:f>
              <c:numCache>
                <c:formatCode>0.00</c:formatCode>
                <c:ptCount val="1"/>
                <c:pt idx="0">
                  <c:v>11.431994156318481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E8-420D-9460-240ECB65BA76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SOA_Checks!$C$82</c:f>
              <c:numCache>
                <c:formatCode>0.00</c:formatCode>
                <c:ptCount val="1"/>
                <c:pt idx="0">
                  <c:v>77.400000000000006</c:v>
                </c:pt>
              </c:numCache>
            </c:numRef>
          </c:xVal>
          <c:yVal>
            <c:numRef>
              <c:f>SOA_Checks!$E$82</c:f>
              <c:numCache>
                <c:formatCode>0.00</c:formatCode>
                <c:ptCount val="1"/>
                <c:pt idx="0">
                  <c:v>0.3683720930232558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E8-420D-9460-240ECB65B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732928"/>
        <c:axId val="164734848"/>
      </c:scatterChart>
      <c:valAx>
        <c:axId val="164732928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4734848"/>
        <c:crossesAt val="0.1"/>
        <c:crossBetween val="midCat"/>
      </c:valAx>
      <c:valAx>
        <c:axId val="164734848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732928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Vin &amp; Vout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ATIS_Calculations!$D$10</c:f>
              <c:strCache>
                <c:ptCount val="1"/>
                <c:pt idx="0">
                  <c:v>Vin(V)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4.3877052185257854</c:v>
                </c:pt>
                <c:pt idx="10" formatCode="0.00">
                  <c:v>5.0074251769076508</c:v>
                </c:pt>
                <c:pt idx="11" formatCode="0.00">
                  <c:v>5.5914360169143418</c:v>
                </c:pt>
                <c:pt idx="12" formatCode="0.00">
                  <c:v>6.1509526354928248</c:v>
                </c:pt>
              </c:numCache>
            </c:numRef>
          </c:xVal>
          <c:yVal>
            <c:numRef>
              <c:f>ATIS_Calculations!$D$11:$D$23</c:f>
              <c:numCache>
                <c:formatCode>General</c:formatCode>
                <c:ptCount val="13"/>
                <c:pt idx="0">
                  <c:v>48</c:v>
                </c:pt>
                <c:pt idx="1">
                  <c:v>48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E7-4500-A31C-A674DCFAFC6F}"/>
            </c:ext>
          </c:extLst>
        </c:ser>
        <c:ser>
          <c:idx val="1"/>
          <c:order val="1"/>
          <c:tx>
            <c:strRef>
              <c:f>ATIS_Calculations!$E$10</c:f>
              <c:strCache>
                <c:ptCount val="1"/>
                <c:pt idx="0">
                  <c:v>Vout 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4.3877052185257854</c:v>
                </c:pt>
                <c:pt idx="10" formatCode="0.00">
                  <c:v>5.0074251769076508</c:v>
                </c:pt>
                <c:pt idx="11" formatCode="0.00">
                  <c:v>5.5914360169143418</c:v>
                </c:pt>
                <c:pt idx="12" formatCode="0.00">
                  <c:v>6.1509526354928248</c:v>
                </c:pt>
              </c:numCache>
            </c:numRef>
          </c:xVal>
          <c:yVal>
            <c:numRef>
              <c:f>ATIS_Calculations!$E$11:$E$23</c:f>
              <c:numCache>
                <c:formatCode>General</c:formatCode>
                <c:ptCount val="13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 formatCode="0.00">
                  <c:v>46.378547810056503</c:v>
                </c:pt>
                <c:pt idx="4" formatCode="0.00">
                  <c:v>44.698315336703622</c:v>
                </c:pt>
                <c:pt idx="5" formatCode="0.00">
                  <c:v>42.95240494907231</c:v>
                </c:pt>
                <c:pt idx="6" formatCode="0.00">
                  <c:v>41.132454192265122</c:v>
                </c:pt>
                <c:pt idx="7" formatCode="0.00">
                  <c:v>41.125012664638383</c:v>
                </c:pt>
                <c:pt idx="8" formatCode="0.00">
                  <c:v>39.608615530493168</c:v>
                </c:pt>
                <c:pt idx="9" formatCode="0.00">
                  <c:v>47.706461647869872</c:v>
                </c:pt>
                <c:pt idx="10" formatCode="0.00">
                  <c:v>55.804307765246577</c:v>
                </c:pt>
                <c:pt idx="11" formatCode="0.00">
                  <c:v>63.902153882623281</c:v>
                </c:pt>
                <c:pt idx="12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E7-4500-A31C-A674DCFAF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796288"/>
        <c:axId val="164818944"/>
      </c:scatterChart>
      <c:valAx>
        <c:axId val="164796288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4818944"/>
        <c:crosses val="autoZero"/>
        <c:crossBetween val="midCat"/>
      </c:valAx>
      <c:valAx>
        <c:axId val="164818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</a:t>
                </a:r>
                <a:r>
                  <a:rPr lang="en-US" baseline="0"/>
                  <a:t>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7602919763621E-2"/>
              <c:y val="0.379273003067381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4796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en-US" baseline="-25000"/>
              <a:t>L</a:t>
            </a:r>
            <a:r>
              <a:rPr lang="en-US" baseline="0"/>
              <a:t> and I</a:t>
            </a:r>
            <a:r>
              <a:rPr lang="en-US" baseline="-25000"/>
              <a:t>FET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ATIS_Calculations!$F$10</c:f>
              <c:strCache>
                <c:ptCount val="1"/>
                <c:pt idx="0">
                  <c:v>I_FET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4.3877052185257854</c:v>
                </c:pt>
                <c:pt idx="10" formatCode="0.00">
                  <c:v>5.0074251769076508</c:v>
                </c:pt>
                <c:pt idx="11" formatCode="0.00">
                  <c:v>5.5914360169143418</c:v>
                </c:pt>
                <c:pt idx="12" formatCode="0.00">
                  <c:v>6.1509526354928248</c:v>
                </c:pt>
              </c:numCache>
            </c:numRef>
          </c:xVal>
          <c:yVal>
            <c:numRef>
              <c:f>ATIS_Calculations!$F$11:$F$23</c:f>
              <c:numCache>
                <c:formatCode>General</c:formatCode>
                <c:ptCount val="13"/>
                <c:pt idx="0">
                  <c:v>4.166666666666667</c:v>
                </c:pt>
                <c:pt idx="1">
                  <c:v>4.166666666666667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12.5</c:v>
                </c:pt>
                <c:pt idx="9">
                  <c:v>12.5</c:v>
                </c:pt>
                <c:pt idx="10">
                  <c:v>12.5</c:v>
                </c:pt>
                <c:pt idx="11">
                  <c:v>12.5</c:v>
                </c:pt>
                <c:pt idx="12">
                  <c:v>2.7777777777777777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09-46E9-8664-F66A09BE3EFC}"/>
            </c:ext>
          </c:extLst>
        </c:ser>
        <c:ser>
          <c:idx val="1"/>
          <c:order val="1"/>
          <c:tx>
            <c:strRef>
              <c:f>ATIS_Calculations!$G$10</c:f>
              <c:strCache>
                <c:ptCount val="1"/>
                <c:pt idx="0">
                  <c:v>I_load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4.3877052185257854</c:v>
                </c:pt>
                <c:pt idx="10" formatCode="0.00">
                  <c:v>5.0074251769076508</c:v>
                </c:pt>
                <c:pt idx="11" formatCode="0.00">
                  <c:v>5.5914360169143418</c:v>
                </c:pt>
                <c:pt idx="12" formatCode="0.00">
                  <c:v>6.1509526354928248</c:v>
                </c:pt>
              </c:numCache>
            </c:numRef>
          </c:xVal>
          <c:yVal>
            <c:numRef>
              <c:f>ATIS_Calculations!$G$11:$G$23</c:f>
              <c:numCache>
                <c:formatCode>0.00</c:formatCode>
                <c:ptCount val="13"/>
                <c:pt idx="0">
                  <c:v>4.166666666666667</c:v>
                </c:pt>
                <c:pt idx="1">
                  <c:v>4.166666666666667</c:v>
                </c:pt>
                <c:pt idx="2">
                  <c:v>4.166666666666667</c:v>
                </c:pt>
                <c:pt idx="3">
                  <c:v>4.3123385583158118</c:v>
                </c:pt>
                <c:pt idx="4">
                  <c:v>4.4744415643730493</c:v>
                </c:pt>
                <c:pt idx="5">
                  <c:v>4.6563166890686434</c:v>
                </c:pt>
                <c:pt idx="6">
                  <c:v>4.8623405514570441</c:v>
                </c:pt>
                <c:pt idx="7">
                  <c:v>4.8632203868467458</c:v>
                </c:pt>
                <c:pt idx="8">
                  <c:v>5.0494064819313769</c:v>
                </c:pt>
                <c:pt idx="9">
                  <c:v>4.1923042097784702</c:v>
                </c:pt>
                <c:pt idx="10">
                  <c:v>3.583952709194874</c:v>
                </c:pt>
                <c:pt idx="11">
                  <c:v>3.1297849579118084</c:v>
                </c:pt>
                <c:pt idx="12">
                  <c:v>2.7777777777777777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09-46E9-8664-F66A09BE3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56576"/>
        <c:axId val="164858496"/>
      </c:scatterChart>
      <c:valAx>
        <c:axId val="164856576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4858496"/>
        <c:crosses val="autoZero"/>
        <c:crossBetween val="midCat"/>
      </c:valAx>
      <c:valAx>
        <c:axId val="164858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1.77602919763621E-2"/>
              <c:y val="0.416528683151910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4856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T_eq_work_Derivations!$D$14</c:f>
              <c:strCache>
                <c:ptCount val="1"/>
                <c:pt idx="0">
                  <c:v>Ifet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T_eq_work_Derivations!$D$15:$D$35</c:f>
              <c:numCache>
                <c:formatCode>General</c:formatCode>
                <c:ptCount val="21"/>
                <c:pt idx="0">
                  <c:v>0</c:v>
                </c:pt>
                <c:pt idx="1">
                  <c:v>7.5000000000000011E-2</c:v>
                </c:pt>
                <c:pt idx="2">
                  <c:v>0.15000000000000002</c:v>
                </c:pt>
                <c:pt idx="3">
                  <c:v>0.22500000000000003</c:v>
                </c:pt>
                <c:pt idx="4">
                  <c:v>0.30000000000000004</c:v>
                </c:pt>
                <c:pt idx="5">
                  <c:v>0.37500000000000006</c:v>
                </c:pt>
                <c:pt idx="6">
                  <c:v>0.45000000000000007</c:v>
                </c:pt>
                <c:pt idx="7">
                  <c:v>0.52500000000000013</c:v>
                </c:pt>
                <c:pt idx="8">
                  <c:v>0.60000000000000009</c:v>
                </c:pt>
                <c:pt idx="9">
                  <c:v>0.67500000000000004</c:v>
                </c:pt>
                <c:pt idx="10">
                  <c:v>0.75</c:v>
                </c:pt>
                <c:pt idx="11">
                  <c:v>0.82499999999999996</c:v>
                </c:pt>
                <c:pt idx="12">
                  <c:v>0.89999999999999991</c:v>
                </c:pt>
                <c:pt idx="13">
                  <c:v>0.97499999999999987</c:v>
                </c:pt>
                <c:pt idx="14">
                  <c:v>1.0499999999999998</c:v>
                </c:pt>
                <c:pt idx="15">
                  <c:v>1.1249999999999998</c:v>
                </c:pt>
                <c:pt idx="16">
                  <c:v>1.1999999999999997</c:v>
                </c:pt>
                <c:pt idx="17">
                  <c:v>1.2749999999999997</c:v>
                </c:pt>
                <c:pt idx="18">
                  <c:v>1.3499999999999996</c:v>
                </c:pt>
                <c:pt idx="19">
                  <c:v>1.4249999999999996</c:v>
                </c:pt>
                <c:pt idx="20">
                  <c:v>1.4999999999999996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7C-4F4F-B200-529C84563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97152"/>
        <c:axId val="164898688"/>
      </c:scatterChart>
      <c:valAx>
        <c:axId val="1648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898688"/>
        <c:crosses val="autoZero"/>
        <c:crossBetween val="midCat"/>
      </c:valAx>
      <c:valAx>
        <c:axId val="164898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8971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12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ti.com/" TargetMode="External"/><Relationship Id="rId6" Type="http://schemas.openxmlformats.org/officeDocument/2006/relationships/chart" Target="../charts/chart2.xml"/><Relationship Id="rId11" Type="http://schemas.openxmlformats.org/officeDocument/2006/relationships/image" Target="../media/image3.png"/><Relationship Id="rId5" Type="http://schemas.openxmlformats.org/officeDocument/2006/relationships/chart" Target="../charts/chart1.xml"/><Relationship Id="rId10" Type="http://schemas.openxmlformats.org/officeDocument/2006/relationships/chart" Target="../charts/chart6.xml"/><Relationship Id="rId4" Type="http://schemas.openxmlformats.org/officeDocument/2006/relationships/hyperlink" Target="http://www.ti.com/lit/gpn/lm5069" TargetMode="External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152400</xdr:rowOff>
    </xdr:from>
    <xdr:to>
      <xdr:col>2</xdr:col>
      <xdr:colOff>1200487</xdr:colOff>
      <xdr:row>0</xdr:row>
      <xdr:rowOff>655320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26499"/>
        <a:stretch>
          <a:fillRect/>
        </a:stretch>
      </xdr:blipFill>
      <xdr:spPr bwMode="auto">
        <a:xfrm>
          <a:off x="83820" y="152400"/>
          <a:ext cx="2191087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714375</xdr:colOff>
      <xdr:row>0</xdr:row>
      <xdr:rowOff>114871</xdr:rowOff>
    </xdr:from>
    <xdr:to>
      <xdr:col>17</xdr:col>
      <xdr:colOff>2247900</xdr:colOff>
      <xdr:row>0</xdr:row>
      <xdr:rowOff>516906</xdr:rowOff>
    </xdr:to>
    <xdr:pic>
      <xdr:nvPicPr>
        <xdr:cNvPr id="7" name="Picture 8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76660" y="114871"/>
          <a:ext cx="0" cy="402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64769</xdr:colOff>
      <xdr:row>1</xdr:row>
      <xdr:rowOff>104775</xdr:rowOff>
    </xdr:from>
    <xdr:to>
      <xdr:col>8</xdr:col>
      <xdr:colOff>19050</xdr:colOff>
      <xdr:row>5</xdr:row>
      <xdr:rowOff>243840</xdr:rowOff>
    </xdr:to>
    <xdr:sp macro="" textlink="">
      <xdr:nvSpPr>
        <xdr:cNvPr id="9" name="Text Box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69" y="1080135"/>
          <a:ext cx="5897881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0" u="sng" strike="noStrike" baseline="0">
              <a:solidFill>
                <a:srgbClr val="FF0000"/>
              </a:solidFill>
              <a:latin typeface="Arial"/>
              <a:cs typeface="Arial"/>
            </a:rPr>
            <a:t>Note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 The components calculated in this worksheet are reasonable starting values for a design using the TPS2352x Hot-swap Controller. As such, they are not optimized for any particular performance attribute. See the Instructions tab for additional information.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Consult the TPS2352x datasheet for more detail.</a:t>
          </a:r>
        </a:p>
      </xdr:txBody>
    </xdr:sp>
    <xdr:clientData/>
  </xdr:twoCellAnchor>
  <xdr:twoCellAnchor>
    <xdr:from>
      <xdr:col>11</xdr:col>
      <xdr:colOff>501658</xdr:colOff>
      <xdr:row>68</xdr:row>
      <xdr:rowOff>66675</xdr:rowOff>
    </xdr:from>
    <xdr:to>
      <xdr:col>18</xdr:col>
      <xdr:colOff>98490</xdr:colOff>
      <xdr:row>86</xdr:row>
      <xdr:rowOff>93842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424862</xdr:colOff>
      <xdr:row>88</xdr:row>
      <xdr:rowOff>120898</xdr:rowOff>
    </xdr:from>
    <xdr:to>
      <xdr:col>20</xdr:col>
      <xdr:colOff>925285</xdr:colOff>
      <xdr:row>105</xdr:row>
      <xdr:rowOff>97973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167465</xdr:colOff>
      <xdr:row>34</xdr:row>
      <xdr:rowOff>111883</xdr:rowOff>
    </xdr:from>
    <xdr:to>
      <xdr:col>14</xdr:col>
      <xdr:colOff>469147</xdr:colOff>
      <xdr:row>47</xdr:row>
      <xdr:rowOff>106017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547487</xdr:colOff>
      <xdr:row>35</xdr:row>
      <xdr:rowOff>33937</xdr:rowOff>
    </xdr:from>
    <xdr:to>
      <xdr:col>20</xdr:col>
      <xdr:colOff>884944</xdr:colOff>
      <xdr:row>47</xdr:row>
      <xdr:rowOff>178905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641</xdr:colOff>
      <xdr:row>49</xdr:row>
      <xdr:rowOff>119103</xdr:rowOff>
    </xdr:from>
    <xdr:to>
      <xdr:col>14</xdr:col>
      <xdr:colOff>481227</xdr:colOff>
      <xdr:row>64</xdr:row>
      <xdr:rowOff>101096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97971</xdr:colOff>
      <xdr:row>89</xdr:row>
      <xdr:rowOff>-1</xdr:rowOff>
    </xdr:from>
    <xdr:to>
      <xdr:col>14</xdr:col>
      <xdr:colOff>399653</xdr:colOff>
      <xdr:row>107</xdr:row>
      <xdr:rowOff>36632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62752</xdr:colOff>
      <xdr:row>49</xdr:row>
      <xdr:rowOff>8899</xdr:rowOff>
    </xdr:from>
    <xdr:to>
      <xdr:col>20</xdr:col>
      <xdr:colOff>215153</xdr:colOff>
      <xdr:row>63</xdr:row>
      <xdr:rowOff>40611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9" y="9681817"/>
          <a:ext cx="3666566" cy="2748018"/>
        </a:xfrm>
        <a:prstGeom prst="rect">
          <a:avLst/>
        </a:prstGeom>
      </xdr:spPr>
    </xdr:pic>
    <xdr:clientData/>
  </xdr:twoCellAnchor>
  <xdr:twoCellAnchor editAs="oneCell">
    <xdr:from>
      <xdr:col>8</xdr:col>
      <xdr:colOff>349624</xdr:colOff>
      <xdr:row>7</xdr:row>
      <xdr:rowOff>188259</xdr:rowOff>
    </xdr:from>
    <xdr:to>
      <xdr:col>15</xdr:col>
      <xdr:colOff>482940</xdr:colOff>
      <xdr:row>26</xdr:row>
      <xdr:rowOff>19461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2169459"/>
          <a:ext cx="5350775" cy="3354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129250</xdr:colOff>
      <xdr:row>29</xdr:row>
      <xdr:rowOff>59546</xdr:rowOff>
    </xdr:from>
    <xdr:to>
      <xdr:col>14</xdr:col>
      <xdr:colOff>241895</xdr:colOff>
      <xdr:row>47</xdr:row>
      <xdr:rowOff>37597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424093</xdr:colOff>
      <xdr:row>29</xdr:row>
      <xdr:rowOff>56833</xdr:rowOff>
    </xdr:from>
    <xdr:to>
      <xdr:col>5</xdr:col>
      <xdr:colOff>355763</xdr:colOff>
      <xdr:row>47</xdr:row>
      <xdr:rowOff>25383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564776</xdr:colOff>
      <xdr:row>1</xdr:row>
      <xdr:rowOff>174612</xdr:rowOff>
    </xdr:from>
    <xdr:to>
      <xdr:col>14</xdr:col>
      <xdr:colOff>161364</xdr:colOff>
      <xdr:row>23</xdr:row>
      <xdr:rowOff>66978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9129" y="353906"/>
          <a:ext cx="5082988" cy="4025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223751</xdr:colOff>
      <xdr:row>8</xdr:row>
      <xdr:rowOff>6581</xdr:rowOff>
    </xdr:from>
    <xdr:to>
      <xdr:col>20</xdr:col>
      <xdr:colOff>528551</xdr:colOff>
      <xdr:row>23</xdr:row>
      <xdr:rowOff>6581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231371</xdr:colOff>
      <xdr:row>24</xdr:row>
      <xdr:rowOff>18357</xdr:rowOff>
    </xdr:from>
    <xdr:to>
      <xdr:col>20</xdr:col>
      <xdr:colOff>536171</xdr:colOff>
      <xdr:row>39</xdr:row>
      <xdr:rowOff>18357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567148</xdr:colOff>
      <xdr:row>2</xdr:row>
      <xdr:rowOff>136814</xdr:rowOff>
    </xdr:from>
    <xdr:to>
      <xdr:col>32</xdr:col>
      <xdr:colOff>499111</xdr:colOff>
      <xdr:row>45</xdr:row>
      <xdr:rowOff>176890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210782" y="1070634"/>
          <a:ext cx="7784767" cy="66375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355524</xdr:colOff>
      <xdr:row>24</xdr:row>
      <xdr:rowOff>164280</xdr:rowOff>
    </xdr:from>
    <xdr:to>
      <xdr:col>16</xdr:col>
      <xdr:colOff>357139</xdr:colOff>
      <xdr:row>40</xdr:row>
      <xdr:rowOff>180940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.com/hotswa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3"/>
  <sheetViews>
    <sheetView tabSelected="1" topLeftCell="B13" zoomScale="85" zoomScaleNormal="85" workbookViewId="0">
      <selection activeCell="E50" sqref="E50"/>
    </sheetView>
  </sheetViews>
  <sheetFormatPr defaultRowHeight="15" x14ac:dyDescent="0.25"/>
  <cols>
    <col min="1" max="1" width="8.85546875" hidden="1" customWidth="1"/>
    <col min="2" max="2" width="15.7109375" customWidth="1"/>
    <col min="3" max="3" width="58.140625" customWidth="1"/>
    <col min="4" max="4" width="8.7109375" customWidth="1"/>
    <col min="5" max="5" width="9.28515625" customWidth="1"/>
    <col min="6" max="6" width="10.42578125" customWidth="1"/>
    <col min="7" max="7" width="7" customWidth="1"/>
    <col min="8" max="8" width="13.5703125" customWidth="1"/>
    <col min="9" max="9" width="12" customWidth="1"/>
    <col min="10" max="10" width="16.42578125" customWidth="1"/>
    <col min="12" max="12" width="12" bestFit="1" customWidth="1"/>
    <col min="20" max="20" width="15.7109375" customWidth="1"/>
    <col min="21" max="21" width="15.42578125" customWidth="1"/>
    <col min="22" max="22" width="13.7109375" customWidth="1"/>
  </cols>
  <sheetData>
    <row r="1" spans="2:40" ht="62.45" customHeight="1" x14ac:dyDescent="0.25">
      <c r="B1" s="159" t="s">
        <v>244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</row>
    <row r="2" spans="2:40" ht="15.75" x14ac:dyDescent="0.25">
      <c r="B2" s="61"/>
      <c r="C2" s="66" t="s">
        <v>131</v>
      </c>
      <c r="D2" s="61"/>
      <c r="E2" s="61"/>
      <c r="F2" s="61"/>
      <c r="G2" s="67"/>
      <c r="H2" s="67"/>
      <c r="I2" s="61"/>
      <c r="J2" s="61"/>
      <c r="K2" s="61"/>
      <c r="L2" s="61"/>
      <c r="M2" s="165"/>
      <c r="N2" s="165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2:40" x14ac:dyDescent="0.25">
      <c r="B3" s="61"/>
      <c r="C3" s="61"/>
      <c r="D3" s="61"/>
      <c r="E3" s="61"/>
      <c r="F3" s="61"/>
      <c r="G3" s="61"/>
      <c r="H3" s="67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</row>
    <row r="4" spans="2:40" x14ac:dyDescent="0.25">
      <c r="B4" s="61"/>
      <c r="C4" s="61"/>
      <c r="D4" s="61"/>
      <c r="E4" s="61"/>
      <c r="F4" s="61"/>
      <c r="G4" s="61"/>
      <c r="H4" s="67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</row>
    <row r="5" spans="2:40" x14ac:dyDescent="0.25">
      <c r="B5" s="61"/>
      <c r="C5" s="61"/>
      <c r="D5" s="61"/>
      <c r="E5" s="61"/>
      <c r="F5" s="61"/>
      <c r="G5" s="61"/>
      <c r="H5" s="67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2:40" ht="24" customHeight="1" x14ac:dyDescent="0.25">
      <c r="B6" s="61"/>
      <c r="C6" s="61"/>
      <c r="D6" s="61"/>
      <c r="E6" s="61"/>
      <c r="F6" s="61"/>
      <c r="G6" s="61"/>
      <c r="H6" s="67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</row>
    <row r="7" spans="2:40" ht="12" customHeight="1" x14ac:dyDescent="0.25">
      <c r="B7" s="61"/>
      <c r="C7" s="61"/>
      <c r="D7" s="61"/>
      <c r="E7" s="61"/>
      <c r="F7" s="61"/>
      <c r="G7" s="61"/>
      <c r="H7" s="67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</row>
    <row r="8" spans="2:40" ht="21.6" customHeight="1" x14ac:dyDescent="0.25">
      <c r="C8" s="57"/>
      <c r="D8" s="58" t="s">
        <v>128</v>
      </c>
      <c r="E8" s="59"/>
    </row>
    <row r="9" spans="2:40" x14ac:dyDescent="0.25">
      <c r="C9" s="60"/>
      <c r="D9" s="61" t="s">
        <v>129</v>
      </c>
      <c r="E9" s="62"/>
    </row>
    <row r="10" spans="2:40" x14ac:dyDescent="0.25">
      <c r="C10" s="63"/>
      <c r="D10" s="163" t="s">
        <v>130</v>
      </c>
      <c r="E10" s="164"/>
      <c r="F10" s="164"/>
      <c r="G10" s="164"/>
      <c r="H10" s="164"/>
    </row>
    <row r="11" spans="2:40" x14ac:dyDescent="0.25">
      <c r="C11" s="64"/>
      <c r="D11" s="163"/>
      <c r="E11" s="164"/>
      <c r="F11" s="164"/>
      <c r="G11" s="164"/>
      <c r="H11" s="164"/>
    </row>
    <row r="12" spans="2:40" x14ac:dyDescent="0.25">
      <c r="C12" s="1"/>
    </row>
    <row r="13" spans="2:40" x14ac:dyDescent="0.25">
      <c r="C13" s="37" t="s">
        <v>21</v>
      </c>
      <c r="D13" s="26" t="s">
        <v>0</v>
      </c>
      <c r="E13" s="26" t="s">
        <v>1</v>
      </c>
      <c r="F13" s="31" t="s">
        <v>2</v>
      </c>
      <c r="G13" s="27" t="s">
        <v>3</v>
      </c>
    </row>
    <row r="14" spans="2:40" x14ac:dyDescent="0.25">
      <c r="C14" s="52" t="s">
        <v>18</v>
      </c>
      <c r="D14" s="30"/>
      <c r="E14" s="130">
        <v>200</v>
      </c>
      <c r="F14" s="131">
        <v>270</v>
      </c>
      <c r="G14" s="23" t="s">
        <v>20</v>
      </c>
    </row>
    <row r="15" spans="2:40" x14ac:dyDescent="0.25">
      <c r="C15" s="52" t="s">
        <v>19</v>
      </c>
      <c r="D15" s="129">
        <v>37</v>
      </c>
      <c r="E15" s="130">
        <v>48</v>
      </c>
      <c r="F15" s="131">
        <v>72</v>
      </c>
      <c r="G15" s="23" t="s">
        <v>4</v>
      </c>
    </row>
    <row r="16" spans="2:40" x14ac:dyDescent="0.25">
      <c r="C16" s="52" t="s">
        <v>22</v>
      </c>
      <c r="D16" s="30"/>
      <c r="E16" s="130">
        <v>660</v>
      </c>
      <c r="F16" s="131">
        <f>E16*1.2</f>
        <v>792</v>
      </c>
      <c r="G16" s="23" t="s">
        <v>23</v>
      </c>
    </row>
    <row r="17" spans="3:21" x14ac:dyDescent="0.25">
      <c r="C17" s="52" t="s">
        <v>99</v>
      </c>
      <c r="D17" s="30"/>
      <c r="E17" s="25"/>
      <c r="F17" s="131">
        <v>85</v>
      </c>
      <c r="G17" s="20" t="s">
        <v>24</v>
      </c>
    </row>
    <row r="18" spans="3:21" x14ac:dyDescent="0.25">
      <c r="C18" s="37" t="s">
        <v>98</v>
      </c>
      <c r="D18" s="26"/>
      <c r="E18" s="26"/>
      <c r="F18" s="31"/>
      <c r="G18" s="54"/>
    </row>
    <row r="19" spans="3:21" ht="18" x14ac:dyDescent="0.35">
      <c r="C19" s="52" t="s">
        <v>258</v>
      </c>
      <c r="D19" s="30"/>
      <c r="E19" s="146">
        <v>25</v>
      </c>
      <c r="F19" s="32"/>
      <c r="G19" s="148" t="s">
        <v>17</v>
      </c>
    </row>
    <row r="20" spans="3:21" x14ac:dyDescent="0.25">
      <c r="C20" s="52" t="s">
        <v>25</v>
      </c>
      <c r="D20" s="30"/>
      <c r="E20" s="138">
        <f>E14/E15</f>
        <v>4.166666666666667</v>
      </c>
      <c r="F20" s="139">
        <f>F14/D15</f>
        <v>7.2972972972972974</v>
      </c>
      <c r="G20" s="23" t="s">
        <v>26</v>
      </c>
    </row>
    <row r="21" spans="3:21" x14ac:dyDescent="0.25">
      <c r="C21" s="52" t="s">
        <v>28</v>
      </c>
      <c r="D21" s="30"/>
      <c r="E21" s="130">
        <v>10</v>
      </c>
      <c r="F21" s="32"/>
      <c r="G21" s="23" t="s">
        <v>26</v>
      </c>
    </row>
    <row r="22" spans="3:21" x14ac:dyDescent="0.25">
      <c r="C22" s="52" t="s">
        <v>29</v>
      </c>
      <c r="D22" s="30"/>
      <c r="E22" s="138">
        <f>Error_Calculation!H2/E21</f>
        <v>2.5</v>
      </c>
      <c r="F22" s="32"/>
      <c r="G22" s="22" t="s">
        <v>30</v>
      </c>
    </row>
    <row r="23" spans="3:21" x14ac:dyDescent="0.25">
      <c r="C23" s="52" t="s">
        <v>31</v>
      </c>
      <c r="D23" s="30"/>
      <c r="E23" s="130">
        <v>2</v>
      </c>
      <c r="F23" s="32"/>
      <c r="G23" s="22" t="s">
        <v>30</v>
      </c>
    </row>
    <row r="24" spans="3:21" x14ac:dyDescent="0.25">
      <c r="C24" s="52" t="s">
        <v>32</v>
      </c>
      <c r="D24" s="30"/>
      <c r="E24" s="138">
        <f>Error_Calculation!H2/E23</f>
        <v>12.5</v>
      </c>
      <c r="F24" s="32"/>
      <c r="G24" s="23" t="s">
        <v>26</v>
      </c>
    </row>
    <row r="25" spans="3:21" x14ac:dyDescent="0.25">
      <c r="C25" s="52" t="s">
        <v>33</v>
      </c>
      <c r="D25" s="30"/>
      <c r="E25" s="138">
        <f>Error_Calculation!N19/E23</f>
        <v>1.5</v>
      </c>
      <c r="F25" s="32"/>
      <c r="G25" s="23" t="s">
        <v>26</v>
      </c>
    </row>
    <row r="26" spans="3:21" x14ac:dyDescent="0.25">
      <c r="C26" s="52" t="s">
        <v>34</v>
      </c>
      <c r="D26" s="78">
        <f>Error_Calculation!M13/E23</f>
        <v>0.75</v>
      </c>
      <c r="E26" s="25"/>
      <c r="F26" s="33"/>
      <c r="G26" s="55" t="s">
        <v>26</v>
      </c>
    </row>
    <row r="27" spans="3:21" x14ac:dyDescent="0.25">
      <c r="C27" s="75" t="s">
        <v>245</v>
      </c>
      <c r="D27" s="155" t="s">
        <v>265</v>
      </c>
      <c r="E27" s="155"/>
      <c r="F27" s="156"/>
      <c r="G27" s="51"/>
    </row>
    <row r="28" spans="3:21" x14ac:dyDescent="0.25">
      <c r="C28" s="52" t="s">
        <v>246</v>
      </c>
      <c r="D28" s="30"/>
      <c r="E28" s="30"/>
      <c r="F28" s="132">
        <v>4</v>
      </c>
      <c r="G28" s="22" t="s">
        <v>30</v>
      </c>
    </row>
    <row r="29" spans="3:21" x14ac:dyDescent="0.25">
      <c r="C29" s="52" t="s">
        <v>247</v>
      </c>
      <c r="D29" s="30"/>
      <c r="E29" s="30"/>
      <c r="F29" s="132">
        <v>175</v>
      </c>
      <c r="G29" s="22" t="s">
        <v>24</v>
      </c>
    </row>
    <row r="30" spans="3:21" ht="15.75" thickBot="1" x14ac:dyDescent="0.3">
      <c r="C30" s="75" t="s">
        <v>248</v>
      </c>
      <c r="D30" s="30"/>
      <c r="E30" s="30"/>
      <c r="F30" s="132">
        <v>8</v>
      </c>
      <c r="G30" s="22" t="s">
        <v>50</v>
      </c>
    </row>
    <row r="31" spans="3:21" x14ac:dyDescent="0.25">
      <c r="C31" s="52" t="s">
        <v>250</v>
      </c>
      <c r="D31" s="30"/>
      <c r="E31" s="131">
        <v>1</v>
      </c>
      <c r="F31" s="32"/>
      <c r="G31" s="22"/>
      <c r="J31" s="126"/>
      <c r="K31" s="127"/>
      <c r="L31" s="127"/>
      <c r="M31" s="167" t="s">
        <v>232</v>
      </c>
      <c r="N31" s="168"/>
      <c r="O31" s="168"/>
      <c r="P31" s="168"/>
      <c r="Q31" s="168"/>
      <c r="R31" s="127"/>
      <c r="S31" s="127"/>
      <c r="T31" s="127"/>
      <c r="U31" s="128"/>
    </row>
    <row r="32" spans="3:21" x14ac:dyDescent="0.25">
      <c r="C32" s="52" t="s">
        <v>249</v>
      </c>
      <c r="D32" s="155" t="s">
        <v>256</v>
      </c>
      <c r="E32" s="155"/>
      <c r="F32" s="156"/>
      <c r="G32" s="51"/>
      <c r="J32" s="114"/>
      <c r="K32" s="113"/>
      <c r="L32" s="113"/>
      <c r="M32" s="169"/>
      <c r="N32" s="169"/>
      <c r="O32" s="169"/>
      <c r="P32" s="169"/>
      <c r="Q32" s="169"/>
      <c r="R32" s="113"/>
      <c r="S32" s="113"/>
      <c r="T32" s="113"/>
      <c r="U32" s="115"/>
    </row>
    <row r="33" spans="1:21" ht="18" x14ac:dyDescent="0.35">
      <c r="C33" s="52" t="s">
        <v>252</v>
      </c>
      <c r="D33" s="30"/>
      <c r="E33" s="30"/>
      <c r="F33" s="132">
        <v>7.8</v>
      </c>
      <c r="G33" s="22" t="s">
        <v>30</v>
      </c>
      <c r="J33" s="166" t="s">
        <v>241</v>
      </c>
      <c r="K33" s="161"/>
      <c r="L33" s="161"/>
      <c r="M33" s="161"/>
      <c r="N33" s="161"/>
      <c r="O33" s="113"/>
      <c r="P33" s="113"/>
      <c r="Q33" s="161" t="s">
        <v>242</v>
      </c>
      <c r="R33" s="161"/>
      <c r="S33" s="161"/>
      <c r="T33" s="161"/>
      <c r="U33" s="162"/>
    </row>
    <row r="34" spans="1:21" x14ac:dyDescent="0.25">
      <c r="C34" s="52" t="s">
        <v>251</v>
      </c>
      <c r="D34" s="30"/>
      <c r="E34" s="146">
        <v>0</v>
      </c>
      <c r="F34" s="32"/>
      <c r="J34" s="142"/>
      <c r="K34" s="140"/>
      <c r="L34" s="140"/>
      <c r="M34" s="140"/>
      <c r="N34" s="140"/>
      <c r="O34" s="113"/>
      <c r="P34" s="113"/>
      <c r="Q34" s="140"/>
      <c r="R34" s="140"/>
      <c r="S34" s="140"/>
      <c r="T34" s="140"/>
      <c r="U34" s="141"/>
    </row>
    <row r="35" spans="1:21" x14ac:dyDescent="0.25">
      <c r="C35" s="52" t="s">
        <v>100</v>
      </c>
      <c r="D35" s="30"/>
      <c r="E35" s="30"/>
      <c r="F35" s="146">
        <v>20</v>
      </c>
      <c r="G35" s="23" t="s">
        <v>101</v>
      </c>
      <c r="J35" s="142"/>
      <c r="K35" s="140"/>
      <c r="L35" s="140"/>
      <c r="M35" s="140"/>
      <c r="N35" s="140"/>
      <c r="O35" s="113"/>
      <c r="P35" s="113"/>
      <c r="Q35" s="140"/>
      <c r="R35" s="140"/>
      <c r="S35" s="140"/>
      <c r="T35" s="140"/>
      <c r="U35" s="141"/>
    </row>
    <row r="36" spans="1:21" x14ac:dyDescent="0.25">
      <c r="C36" s="52" t="s">
        <v>261</v>
      </c>
      <c r="D36" s="30"/>
      <c r="E36" s="30"/>
      <c r="F36" s="139">
        <f>IF(E34=0, F20, (F33/E34)/(F33/E34+F28/E31)*F20)</f>
        <v>7.2972972972972974</v>
      </c>
      <c r="G36" s="22" t="s">
        <v>26</v>
      </c>
      <c r="J36" s="114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5"/>
    </row>
    <row r="37" spans="1:21" x14ac:dyDescent="0.25">
      <c r="C37" s="52" t="s">
        <v>262</v>
      </c>
      <c r="D37" s="30"/>
      <c r="E37" s="30"/>
      <c r="F37" s="138">
        <f>F28*(F36/E31)^2/1000</f>
        <v>0.21300219138056978</v>
      </c>
      <c r="G37" s="147" t="s">
        <v>20</v>
      </c>
      <c r="J37" s="114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5"/>
    </row>
    <row r="38" spans="1:21" x14ac:dyDescent="0.25">
      <c r="A38" t="s">
        <v>132</v>
      </c>
      <c r="C38" s="52" t="s">
        <v>264</v>
      </c>
      <c r="D38" s="30"/>
      <c r="E38" s="30"/>
      <c r="F38" s="69">
        <f>F37*E31+IF(E34=0, 0, (F20-F36)^2*F33/E34)/1000</f>
        <v>0.21300219138056978</v>
      </c>
      <c r="G38" s="22" t="s">
        <v>20</v>
      </c>
      <c r="J38" s="114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5"/>
    </row>
    <row r="39" spans="1:21" x14ac:dyDescent="0.25">
      <c r="A39" t="s">
        <v>260</v>
      </c>
      <c r="C39" s="75" t="s">
        <v>263</v>
      </c>
      <c r="D39" s="30"/>
      <c r="E39" s="30"/>
      <c r="F39" s="69">
        <f>F17+F37*F35</f>
        <v>89.260043827611398</v>
      </c>
      <c r="G39" s="22" t="s">
        <v>24</v>
      </c>
      <c r="J39" s="114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5"/>
    </row>
    <row r="40" spans="1:21" x14ac:dyDescent="0.25">
      <c r="C40" s="31" t="s">
        <v>127</v>
      </c>
      <c r="D40" s="26"/>
      <c r="E40" s="26"/>
      <c r="F40" s="31"/>
      <c r="G40" s="54"/>
      <c r="J40" s="114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5"/>
    </row>
    <row r="41" spans="1:21" x14ac:dyDescent="0.25">
      <c r="C41" s="77" t="s">
        <v>226</v>
      </c>
      <c r="D41" s="52"/>
      <c r="E41" s="52"/>
      <c r="F41" s="133" t="s">
        <v>132</v>
      </c>
      <c r="G41" s="144"/>
      <c r="J41" s="114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5"/>
    </row>
    <row r="42" spans="1:21" x14ac:dyDescent="0.25">
      <c r="C42" s="144" t="str">
        <f>IF(F41="YES", "Go to 'ATIS_BrownOut' Tab and Update per your requirments!!", "Targets Below are suggestions only")</f>
        <v>Go to 'ATIS_BrownOut' Tab and Update per your requirments!!</v>
      </c>
      <c r="D42" s="145"/>
      <c r="E42" s="145"/>
      <c r="F42" s="144"/>
      <c r="G42" s="144"/>
      <c r="J42" s="114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5"/>
    </row>
    <row r="43" spans="1:21" x14ac:dyDescent="0.25">
      <c r="C43" s="84" t="str">
        <f>IF(F41="No","Suggested Time Out (low Vds)","Min Recomended Time Out ( @ low Vds)")</f>
        <v>Min Recomended Time Out ( @ low Vds)</v>
      </c>
      <c r="D43" s="87"/>
      <c r="E43" s="88"/>
      <c r="F43" s="86">
        <f>IF(F41="Yes", BrownOut!C22, 5)</f>
        <v>2.9264953520160906</v>
      </c>
      <c r="G43" s="144" t="s">
        <v>55</v>
      </c>
      <c r="J43" s="114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5"/>
    </row>
    <row r="44" spans="1:21" x14ac:dyDescent="0.25">
      <c r="C44" s="85" t="str">
        <f>IF(F41="No","Suggested Ilim switch","Min Recommended Ilim switch")</f>
        <v>Min Recommended Ilim switch</v>
      </c>
      <c r="D44" s="89"/>
      <c r="E44" s="33"/>
      <c r="F44" s="86">
        <f>IF(F41="Yes", BrownOut!C23, 15)</f>
        <v>32.410923098121621</v>
      </c>
      <c r="G44" s="144" t="s">
        <v>4</v>
      </c>
      <c r="J44" s="114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5"/>
    </row>
    <row r="45" spans="1:21" ht="15.75" thickBot="1" x14ac:dyDescent="0.3">
      <c r="C45" s="96" t="s">
        <v>35</v>
      </c>
      <c r="D45" s="99"/>
      <c r="E45" s="99" t="s">
        <v>64</v>
      </c>
      <c r="F45" s="96"/>
      <c r="G45" s="98"/>
      <c r="J45" s="114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5"/>
    </row>
    <row r="46" spans="1:21" x14ac:dyDescent="0.25">
      <c r="C46" s="49" t="s">
        <v>36</v>
      </c>
      <c r="D46" s="30"/>
      <c r="E46" s="134">
        <v>38</v>
      </c>
      <c r="F46" s="32"/>
      <c r="G46" s="23" t="s">
        <v>4</v>
      </c>
      <c r="J46" s="114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5"/>
    </row>
    <row r="47" spans="1:21" x14ac:dyDescent="0.25">
      <c r="C47" s="52" t="s">
        <v>38</v>
      </c>
      <c r="D47" s="30"/>
      <c r="E47" s="146">
        <v>37.5</v>
      </c>
      <c r="F47" s="32"/>
      <c r="G47" s="23" t="s">
        <v>4</v>
      </c>
      <c r="J47" s="114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5"/>
    </row>
    <row r="48" spans="1:21" ht="15.75" thickBot="1" x14ac:dyDescent="0.3">
      <c r="C48" s="52" t="s">
        <v>37</v>
      </c>
      <c r="D48" s="30"/>
      <c r="E48" s="146">
        <v>72</v>
      </c>
      <c r="F48" s="32"/>
      <c r="G48" s="23" t="s">
        <v>4</v>
      </c>
      <c r="J48" s="116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</row>
    <row r="49" spans="1:7" x14ac:dyDescent="0.25">
      <c r="A49" t="s">
        <v>64</v>
      </c>
      <c r="C49" s="52" t="s">
        <v>39</v>
      </c>
      <c r="D49" s="30"/>
      <c r="E49" s="146">
        <v>70</v>
      </c>
      <c r="F49" s="32"/>
      <c r="G49" s="23" t="s">
        <v>4</v>
      </c>
    </row>
    <row r="50" spans="1:7" x14ac:dyDescent="0.25">
      <c r="A50" t="s">
        <v>147</v>
      </c>
      <c r="C50" s="52" t="s">
        <v>43</v>
      </c>
      <c r="D50" s="30"/>
      <c r="E50" s="146">
        <v>20</v>
      </c>
      <c r="F50" s="32"/>
      <c r="G50" s="22" t="s">
        <v>4</v>
      </c>
    </row>
    <row r="51" spans="1:7" x14ac:dyDescent="0.25">
      <c r="C51" s="52" t="s">
        <v>68</v>
      </c>
      <c r="D51" s="30"/>
      <c r="E51" s="146">
        <v>0.4</v>
      </c>
      <c r="F51" s="32"/>
      <c r="G51" s="23" t="s">
        <v>26</v>
      </c>
    </row>
    <row r="52" spans="1:7" x14ac:dyDescent="0.25">
      <c r="C52" s="52" t="s">
        <v>54</v>
      </c>
      <c r="D52" s="30"/>
      <c r="E52" s="146">
        <v>2</v>
      </c>
      <c r="F52" s="32"/>
      <c r="G52" s="22" t="s">
        <v>55</v>
      </c>
    </row>
    <row r="53" spans="1:7" ht="15.75" thickBot="1" x14ac:dyDescent="0.3">
      <c r="C53" s="96" t="s">
        <v>148</v>
      </c>
      <c r="D53" s="97"/>
      <c r="E53" s="97"/>
      <c r="F53" s="96"/>
      <c r="G53" s="98"/>
    </row>
    <row r="54" spans="1:7" ht="60" x14ac:dyDescent="0.25">
      <c r="C54" s="95" t="s">
        <v>259</v>
      </c>
      <c r="D54" s="151" t="s">
        <v>147</v>
      </c>
      <c r="E54" s="152"/>
      <c r="F54" s="153"/>
      <c r="G54" s="22"/>
    </row>
    <row r="55" spans="1:7" x14ac:dyDescent="0.25">
      <c r="C55" s="52" t="s">
        <v>177</v>
      </c>
      <c r="D55" s="30"/>
      <c r="E55" s="69">
        <f>SOA_Checks!C31</f>
        <v>1.1059204466541421</v>
      </c>
      <c r="F55" s="30"/>
      <c r="G55" s="22" t="s">
        <v>55</v>
      </c>
    </row>
    <row r="56" spans="1:7" hidden="1" x14ac:dyDescent="0.25">
      <c r="C56" s="52" t="str">
        <f>"Estimated Teq for Start-into "&amp;Error_Calculation!O29&amp;" ohm short"</f>
        <v>Estimated Teq for Start-into 1 ohm short</v>
      </c>
      <c r="D56" s="30"/>
      <c r="E56" s="69">
        <f>SOA_Checks!C32</f>
        <v>2.7184204466541422</v>
      </c>
      <c r="F56" s="30"/>
      <c r="G56" s="22" t="s">
        <v>55</v>
      </c>
    </row>
    <row r="57" spans="1:7" x14ac:dyDescent="0.25">
      <c r="C57" s="52" t="s">
        <v>178</v>
      </c>
      <c r="D57" s="30"/>
      <c r="E57" s="146" t="s">
        <v>227</v>
      </c>
      <c r="F57" s="30"/>
      <c r="G57" s="22" t="s">
        <v>55</v>
      </c>
    </row>
    <row r="58" spans="1:7" ht="15.75" hidden="1" thickBot="1" x14ac:dyDescent="0.3">
      <c r="C58" s="105" t="str">
        <f>"Measured Teq for Start-into "&amp;Error_Calculation!O29&amp;" ohm short  (Enter TBD if not known)"</f>
        <v>Measured Teq for Start-into 1 ohm short  (Enter TBD if not known)</v>
      </c>
      <c r="D58" s="30"/>
      <c r="E58" s="135" t="s">
        <v>227</v>
      </c>
      <c r="F58" s="30"/>
      <c r="G58" s="100" t="s">
        <v>55</v>
      </c>
    </row>
    <row r="59" spans="1:7" x14ac:dyDescent="0.25">
      <c r="C59" s="52" t="str">
        <f>SOA_Checks!D47</f>
        <v>Q1 Current handling at 1ms and 72V</v>
      </c>
      <c r="D59" s="102"/>
      <c r="E59" s="146">
        <v>10</v>
      </c>
      <c r="F59" s="102"/>
      <c r="G59" s="101" t="s">
        <v>26</v>
      </c>
    </row>
    <row r="60" spans="1:7" x14ac:dyDescent="0.25">
      <c r="C60" s="52" t="str">
        <f>SOA_Checks!D48</f>
        <v>Q1 Current handling at 10ms and 72V</v>
      </c>
      <c r="D60" s="103"/>
      <c r="E60" s="146">
        <v>20</v>
      </c>
      <c r="F60" s="103"/>
      <c r="G60" s="101" t="s">
        <v>26</v>
      </c>
    </row>
    <row r="61" spans="1:7" x14ac:dyDescent="0.25">
      <c r="C61" s="52" t="str">
        <f>SOA_Checks!D49</f>
        <v>Q1 Current handling at 1ms and 72V</v>
      </c>
      <c r="D61" s="103"/>
      <c r="E61" s="146">
        <v>10</v>
      </c>
      <c r="F61" s="103"/>
      <c r="G61" s="101" t="s">
        <v>26</v>
      </c>
    </row>
    <row r="62" spans="1:7" x14ac:dyDescent="0.25">
      <c r="C62" s="52" t="str">
        <f>SOA_Checks!D50</f>
        <v>Q1 Current handling at 10ms and 72V</v>
      </c>
      <c r="D62" s="103"/>
      <c r="E62" s="146">
        <v>20</v>
      </c>
      <c r="F62" s="103"/>
      <c r="G62" s="101" t="s">
        <v>26</v>
      </c>
    </row>
    <row r="63" spans="1:7" x14ac:dyDescent="0.25">
      <c r="C63" s="52" t="str">
        <f>SOA_Checks!D51</f>
        <v>Q1 Current handling at 10ms and 72V</v>
      </c>
      <c r="D63" s="103"/>
      <c r="E63" s="146">
        <v>20</v>
      </c>
      <c r="F63" s="103"/>
      <c r="G63" s="101" t="s">
        <v>26</v>
      </c>
    </row>
    <row r="64" spans="1:7" x14ac:dyDescent="0.25">
      <c r="C64" s="52" t="str">
        <f>SOA_Checks!D52</f>
        <v>Q1 Current handling at 100ms and 72V</v>
      </c>
      <c r="D64" s="103"/>
      <c r="E64" s="146">
        <v>20</v>
      </c>
      <c r="F64" s="103"/>
      <c r="G64" s="101" t="s">
        <v>26</v>
      </c>
    </row>
    <row r="65" spans="3:21" x14ac:dyDescent="0.25">
      <c r="C65" s="52" t="str">
        <f>SOA_Checks!D53</f>
        <v>Q1 Current handling at 1ms and 20.2V</v>
      </c>
      <c r="D65" s="103"/>
      <c r="E65" s="146">
        <v>30</v>
      </c>
      <c r="F65" s="103"/>
      <c r="G65" s="101" t="s">
        <v>26</v>
      </c>
    </row>
    <row r="66" spans="3:21" x14ac:dyDescent="0.25">
      <c r="C66" s="50" t="str">
        <f>SOA_Checks!D54</f>
        <v>Q1 Current handling at 10ms and 20.2V</v>
      </c>
      <c r="D66" s="103"/>
      <c r="E66" s="146">
        <v>10</v>
      </c>
      <c r="F66" s="103"/>
      <c r="G66" s="101" t="s">
        <v>26</v>
      </c>
    </row>
    <row r="67" spans="3:21" x14ac:dyDescent="0.25">
      <c r="C67" s="52" t="str">
        <f>"SOA Margin: Hot Short / Start-into Short (@ Vin= "&amp;$F$15&amp;"V)"</f>
        <v>SOA Margin: Hot Short / Start-into Short (@ Vin= 72V)</v>
      </c>
      <c r="D67" s="103"/>
      <c r="E67" s="74">
        <f>SOA_Checks!E86</f>
        <v>3.9279227749485663</v>
      </c>
      <c r="F67" s="103"/>
      <c r="G67" s="101"/>
      <c r="K67" s="149"/>
      <c r="L67" s="149"/>
      <c r="M67" s="161" t="str">
        <f>"Start Into Short with Vin = " &amp;F15&amp;"V"</f>
        <v>Start Into Short with Vin = 72V</v>
      </c>
      <c r="N67" s="161"/>
      <c r="O67" s="161"/>
      <c r="P67" s="161"/>
      <c r="Q67" s="161"/>
      <c r="R67" s="161"/>
      <c r="S67" s="149"/>
      <c r="T67" s="149"/>
      <c r="U67" s="150"/>
    </row>
    <row r="68" spans="3:21" hidden="1" x14ac:dyDescent="0.25">
      <c r="C68" s="52" t="str">
        <f>"SOA Margin: Start-into "&amp;Error_Calculation!O29&amp;" ohm Short (@ Vin= "&amp;$F$15&amp;"V)"</f>
        <v>SOA Margin: Start-into 1 ohm Short (@ Vin= 72V)</v>
      </c>
      <c r="D68" s="103"/>
      <c r="E68" s="74">
        <f>SOA_Checks!E87</f>
        <v>5.149239258780387</v>
      </c>
      <c r="F68" s="103"/>
      <c r="G68" s="101"/>
    </row>
    <row r="69" spans="3:21" x14ac:dyDescent="0.25">
      <c r="C69" s="52" t="str">
        <f>"SOA Margin: Start-up (@ Vin= "&amp;$F$15&amp;"V)"</f>
        <v>SOA Margin: Start-up (@ Vin= 72V)</v>
      </c>
      <c r="D69" s="103"/>
      <c r="E69" s="74">
        <f>SOA_Checks!E88</f>
        <v>31.033822520309009</v>
      </c>
      <c r="F69" s="103"/>
      <c r="G69" s="101"/>
      <c r="J69" s="114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5"/>
    </row>
    <row r="70" spans="3:21" x14ac:dyDescent="0.25">
      <c r="C70" s="52" t="str">
        <f>"SOA Margin: Current limit (@ Vds just under  "&amp;SOA_Checks!E5&amp;"V)"</f>
        <v>SOA Margin: Current limit (@ Vds just under  20.2V)</v>
      </c>
      <c r="D70" s="104"/>
      <c r="E70" s="74">
        <f>SOA_Checks!E89</f>
        <v>1.2968725087892594</v>
      </c>
      <c r="F70" s="104"/>
      <c r="G70" s="101"/>
      <c r="J70" s="114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5"/>
    </row>
    <row r="71" spans="3:21" x14ac:dyDescent="0.25">
      <c r="C71" s="52" t="s">
        <v>233</v>
      </c>
      <c r="D71" s="119"/>
      <c r="E71" s="120">
        <f>SOA_Checks!C34</f>
        <v>154.80000000000001</v>
      </c>
      <c r="F71" s="33"/>
      <c r="G71" s="101" t="s">
        <v>55</v>
      </c>
      <c r="J71" s="114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5"/>
    </row>
    <row r="72" spans="3:21" x14ac:dyDescent="0.25">
      <c r="C72" s="37" t="s">
        <v>44</v>
      </c>
      <c r="D72" s="26"/>
      <c r="E72" s="26" t="s">
        <v>64</v>
      </c>
      <c r="F72" s="31"/>
      <c r="G72" s="54"/>
      <c r="J72" s="114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5"/>
    </row>
    <row r="73" spans="3:21" x14ac:dyDescent="0.25">
      <c r="C73" s="52" t="s">
        <v>45</v>
      </c>
      <c r="D73" s="30"/>
      <c r="E73" s="52">
        <f>(E46-E47)/Error_Calculation!N9*1000</f>
        <v>50</v>
      </c>
      <c r="F73" s="32"/>
      <c r="G73" s="22" t="s">
        <v>14</v>
      </c>
      <c r="J73" s="114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5"/>
    </row>
    <row r="74" spans="3:21" x14ac:dyDescent="0.25">
      <c r="C74" s="52" t="s">
        <v>46</v>
      </c>
      <c r="D74" s="30"/>
      <c r="E74" s="46">
        <f>E73/(E46-Error_Calculation!N7)</f>
        <v>1.3513513513513513</v>
      </c>
      <c r="F74" s="32"/>
      <c r="G74" s="22" t="s">
        <v>14</v>
      </c>
      <c r="J74" s="114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5"/>
    </row>
    <row r="75" spans="3:21" x14ac:dyDescent="0.25">
      <c r="C75" s="52" t="s">
        <v>47</v>
      </c>
      <c r="D75" s="30"/>
      <c r="E75" s="52">
        <f>(E48-E49)/Error_Calculation!N10*1000</f>
        <v>200</v>
      </c>
      <c r="F75" s="32"/>
      <c r="G75" s="22" t="s">
        <v>14</v>
      </c>
      <c r="J75" s="114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5"/>
    </row>
    <row r="76" spans="3:21" x14ac:dyDescent="0.25">
      <c r="C76" s="52" t="s">
        <v>48</v>
      </c>
      <c r="D76" s="30"/>
      <c r="E76" s="79">
        <f>E75/(E48-Error_Calculation!N8)</f>
        <v>2.816901408450704</v>
      </c>
      <c r="F76" s="32"/>
      <c r="G76" s="22" t="s">
        <v>14</v>
      </c>
      <c r="J76" s="114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5"/>
    </row>
    <row r="77" spans="3:21" x14ac:dyDescent="0.25">
      <c r="C77" s="75" t="s">
        <v>13</v>
      </c>
      <c r="D77" s="30"/>
      <c r="E77" s="52">
        <f>((E50/Error_Calculation!N16)-1)*Error_Calculation!N17</f>
        <v>370</v>
      </c>
      <c r="F77" s="32"/>
      <c r="G77" s="22" t="s">
        <v>14</v>
      </c>
      <c r="J77" s="114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5"/>
    </row>
    <row r="78" spans="3:21" x14ac:dyDescent="0.25">
      <c r="C78" s="75" t="s">
        <v>49</v>
      </c>
      <c r="D78" s="30"/>
      <c r="E78" s="52">
        <f>Error_Calculation!N22*F16/E51*0.001</f>
        <v>39.6</v>
      </c>
      <c r="F78" s="32"/>
      <c r="G78" s="22" t="s">
        <v>50</v>
      </c>
      <c r="J78" s="114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5"/>
    </row>
    <row r="79" spans="3:21" x14ac:dyDescent="0.25">
      <c r="C79" s="75" t="s">
        <v>179</v>
      </c>
      <c r="D79" s="30"/>
      <c r="E79" s="52">
        <f>3*E78</f>
        <v>118.80000000000001</v>
      </c>
      <c r="F79" s="32"/>
      <c r="G79" s="22" t="s">
        <v>50</v>
      </c>
      <c r="J79" s="114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5"/>
    </row>
    <row r="80" spans="3:21" x14ac:dyDescent="0.25">
      <c r="C80" s="75" t="s">
        <v>56</v>
      </c>
      <c r="D80" s="30"/>
      <c r="E80" s="80">
        <f>E52*Error_Calculation!N14/Error_Calculation!N11</f>
        <v>13.333333333333334</v>
      </c>
      <c r="F80" s="32"/>
      <c r="G80" s="22" t="s">
        <v>50</v>
      </c>
      <c r="J80" s="114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5"/>
    </row>
    <row r="81" spans="3:21" x14ac:dyDescent="0.25">
      <c r="C81" s="75" t="s">
        <v>205</v>
      </c>
      <c r="D81" s="30"/>
      <c r="E81" s="80">
        <f>(E47-Error_Calculation!M26)/(Error_Calculation!O25*1.2)</f>
        <v>20.833333333333332</v>
      </c>
      <c r="F81" s="30"/>
      <c r="G81" s="22" t="s">
        <v>14</v>
      </c>
      <c r="J81" s="114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5"/>
    </row>
    <row r="82" spans="3:21" x14ac:dyDescent="0.25">
      <c r="C82" s="37" t="s">
        <v>57</v>
      </c>
      <c r="D82" s="26"/>
      <c r="E82" s="26" t="s">
        <v>58</v>
      </c>
      <c r="F82" s="26" t="s">
        <v>65</v>
      </c>
      <c r="G82" s="54"/>
      <c r="J82" s="114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5"/>
    </row>
    <row r="83" spans="3:21" x14ac:dyDescent="0.25">
      <c r="C83" s="52" t="s">
        <v>78</v>
      </c>
      <c r="D83" s="30"/>
      <c r="E83" s="132">
        <v>2</v>
      </c>
      <c r="F83" s="81">
        <v>0.01</v>
      </c>
      <c r="G83" s="144" t="s">
        <v>30</v>
      </c>
      <c r="J83" s="114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5"/>
    </row>
    <row r="84" spans="3:21" x14ac:dyDescent="0.25">
      <c r="C84" s="52" t="s">
        <v>45</v>
      </c>
      <c r="D84" s="30"/>
      <c r="E84" s="132">
        <v>200</v>
      </c>
      <c r="F84" s="82">
        <v>1E-3</v>
      </c>
      <c r="G84" s="144" t="s">
        <v>14</v>
      </c>
      <c r="J84" s="114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5"/>
    </row>
    <row r="85" spans="3:21" x14ac:dyDescent="0.25">
      <c r="C85" s="52" t="s">
        <v>46</v>
      </c>
      <c r="D85" s="30"/>
      <c r="E85" s="132">
        <v>5.62</v>
      </c>
      <c r="F85" s="82">
        <v>1E-3</v>
      </c>
      <c r="G85" s="144" t="s">
        <v>14</v>
      </c>
      <c r="J85" s="114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5"/>
    </row>
    <row r="86" spans="3:21" x14ac:dyDescent="0.25">
      <c r="C86" s="52" t="s">
        <v>47</v>
      </c>
      <c r="D86" s="30"/>
      <c r="E86" s="132">
        <v>301</v>
      </c>
      <c r="F86" s="82">
        <v>1E-3</v>
      </c>
      <c r="G86" s="144" t="s">
        <v>14</v>
      </c>
      <c r="J86" s="114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5"/>
    </row>
    <row r="87" spans="3:21" x14ac:dyDescent="0.25">
      <c r="C87" s="52" t="s">
        <v>48</v>
      </c>
      <c r="D87" s="30"/>
      <c r="E87" s="132">
        <v>4.75</v>
      </c>
      <c r="F87" s="82">
        <v>1E-3</v>
      </c>
      <c r="G87" s="144" t="s">
        <v>14</v>
      </c>
      <c r="J87" s="114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5"/>
    </row>
    <row r="88" spans="3:21" ht="14.45" customHeight="1" x14ac:dyDescent="0.25">
      <c r="C88" s="75" t="s">
        <v>13</v>
      </c>
      <c r="D88" s="30"/>
      <c r="E88" s="132">
        <v>374</v>
      </c>
      <c r="F88" s="82">
        <v>0.01</v>
      </c>
      <c r="G88" s="144" t="s">
        <v>14</v>
      </c>
      <c r="J88" s="157" t="s">
        <v>243</v>
      </c>
      <c r="K88" s="158"/>
      <c r="L88" s="158"/>
      <c r="M88" s="158"/>
      <c r="N88" s="158"/>
      <c r="O88" s="113"/>
      <c r="P88" s="161" t="str">
        <f>"SOA with Vds just under " &amp;SOA_Checks!E5&amp;"V"</f>
        <v>SOA with Vds just under 20.2V</v>
      </c>
      <c r="Q88" s="161"/>
      <c r="R88" s="161"/>
      <c r="S88" s="161"/>
      <c r="T88" s="161"/>
      <c r="U88" s="115"/>
    </row>
    <row r="89" spans="3:21" x14ac:dyDescent="0.25">
      <c r="C89" s="75" t="s">
        <v>49</v>
      </c>
      <c r="D89" s="30"/>
      <c r="E89" s="132">
        <v>43</v>
      </c>
      <c r="F89" s="81">
        <v>0.3</v>
      </c>
      <c r="G89" s="144" t="s">
        <v>50</v>
      </c>
      <c r="J89" s="157"/>
      <c r="K89" s="158"/>
      <c r="L89" s="158"/>
      <c r="M89" s="158"/>
      <c r="N89" s="158"/>
      <c r="O89" s="113"/>
      <c r="P89" s="113"/>
      <c r="Q89" s="113"/>
      <c r="R89" s="113"/>
      <c r="S89" s="113"/>
      <c r="T89" s="113"/>
      <c r="U89" s="115"/>
    </row>
    <row r="90" spans="3:21" x14ac:dyDescent="0.25">
      <c r="C90" s="75" t="s">
        <v>179</v>
      </c>
      <c r="D90" s="30"/>
      <c r="E90" s="132">
        <v>150</v>
      </c>
      <c r="F90" s="81">
        <v>0.1</v>
      </c>
      <c r="G90" s="144" t="s">
        <v>50</v>
      </c>
      <c r="J90" s="112"/>
      <c r="K90" s="1"/>
      <c r="L90" s="1"/>
      <c r="M90" s="1"/>
      <c r="N90" s="1"/>
      <c r="O90" s="113"/>
      <c r="P90" s="1"/>
      <c r="Q90" s="1"/>
      <c r="R90" s="1"/>
      <c r="S90" s="1"/>
      <c r="T90" s="1"/>
      <c r="U90" s="115"/>
    </row>
    <row r="91" spans="3:21" x14ac:dyDescent="0.25">
      <c r="C91" s="75" t="s">
        <v>56</v>
      </c>
      <c r="D91" s="30"/>
      <c r="E91" s="132">
        <v>15</v>
      </c>
      <c r="F91" s="81">
        <v>0.1</v>
      </c>
      <c r="G91" s="144" t="s">
        <v>50</v>
      </c>
      <c r="J91" s="114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5"/>
    </row>
    <row r="92" spans="3:21" x14ac:dyDescent="0.25">
      <c r="C92" s="75" t="s">
        <v>125</v>
      </c>
      <c r="D92" s="30"/>
      <c r="E92" s="132">
        <v>16.2</v>
      </c>
      <c r="F92" s="81">
        <v>0.01</v>
      </c>
      <c r="G92" s="144" t="s">
        <v>14</v>
      </c>
      <c r="J92" s="114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5"/>
    </row>
    <row r="93" spans="3:21" x14ac:dyDescent="0.25">
      <c r="C93" s="37" t="s">
        <v>117</v>
      </c>
      <c r="D93" s="83" t="s">
        <v>0</v>
      </c>
      <c r="E93" s="83" t="s">
        <v>1</v>
      </c>
      <c r="F93" s="83" t="s">
        <v>2</v>
      </c>
      <c r="G93" s="37"/>
      <c r="H93" s="40" t="s">
        <v>69</v>
      </c>
      <c r="J93" s="114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5"/>
    </row>
    <row r="94" spans="3:21" x14ac:dyDescent="0.25">
      <c r="C94" s="52" t="s">
        <v>118</v>
      </c>
      <c r="D94" s="154" t="s">
        <v>119</v>
      </c>
      <c r="E94" s="155"/>
      <c r="F94" s="156"/>
      <c r="G94" s="52"/>
      <c r="J94" s="114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5"/>
    </row>
    <row r="95" spans="3:21" x14ac:dyDescent="0.25">
      <c r="C95" s="52" t="s">
        <v>76</v>
      </c>
      <c r="D95" s="46">
        <f>IF(Component_Selection!$D$94="Worst Case", Error_Calculation!D6, Error_Calculation!D20)</f>
        <v>11.984611796797791</v>
      </c>
      <c r="E95" s="46">
        <f>IF(Component_Selection!$D$94="Worst Case", Error_Calculation!E6, Error_Calculation!E20)</f>
        <v>12.5</v>
      </c>
      <c r="F95" s="46">
        <f>IF(Component_Selection!$D$94="Worst Case", Error_Calculation!F6, Error_Calculation!F20)</f>
        <v>13.015388203202209</v>
      </c>
      <c r="G95" s="143" t="s">
        <v>26</v>
      </c>
      <c r="H95" s="53">
        <f t="shared" ref="H95:H107" si="0">MAX(F95-E95, E95-D95)/E95</f>
        <v>4.1231056256176686E-2</v>
      </c>
      <c r="J95" s="114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5"/>
    </row>
    <row r="96" spans="3:21" x14ac:dyDescent="0.25">
      <c r="C96" s="52" t="s">
        <v>77</v>
      </c>
      <c r="D96" s="46">
        <f>IF(Component_Selection!$D$94="Worst Case", Error_Calculation!D7, Error_Calculation!D21)</f>
        <v>0.9997750506022316</v>
      </c>
      <c r="E96" s="46">
        <f>IF(Component_Selection!$D$94="Worst Case", Error_Calculation!E7, Error_Calculation!E21)</f>
        <v>1.5</v>
      </c>
      <c r="F96" s="46">
        <f>IF(Component_Selection!$D$94="Worst Case", Error_Calculation!F7, Error_Calculation!F21)</f>
        <v>2.0002249493977686</v>
      </c>
      <c r="G96" s="143" t="s">
        <v>26</v>
      </c>
      <c r="H96" s="53">
        <f t="shared" si="0"/>
        <v>0.33348329959851242</v>
      </c>
      <c r="J96" s="114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5"/>
    </row>
    <row r="97" spans="3:21" x14ac:dyDescent="0.25">
      <c r="C97" s="52" t="s">
        <v>40</v>
      </c>
      <c r="D97" s="46">
        <f>IF(Component_Selection!$D$94="Worst Case", Error_Calculation!D8, Error_Calculation!D22)</f>
        <v>36.035947033377596</v>
      </c>
      <c r="E97" s="46">
        <f>IF(Component_Selection!$D$94="Worst Case", Error_Calculation!E8, Error_Calculation!E22)</f>
        <v>36.587188612099645</v>
      </c>
      <c r="F97" s="46">
        <f>IF(Component_Selection!$D$94="Worst Case", Error_Calculation!F8, Error_Calculation!F22)</f>
        <v>37.138430190821694</v>
      </c>
      <c r="G97" s="143" t="s">
        <v>4</v>
      </c>
      <c r="H97" s="53">
        <f t="shared" si="0"/>
        <v>1.5066519173319306E-2</v>
      </c>
      <c r="J97" s="114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5"/>
    </row>
    <row r="98" spans="3:21" x14ac:dyDescent="0.25">
      <c r="C98" s="52" t="s">
        <v>71</v>
      </c>
      <c r="D98" s="46">
        <f>IF(Component_Selection!$D$94="Worst Case", Error_Calculation!D9, Error_Calculation!D23)</f>
        <v>1.7599916668113378</v>
      </c>
      <c r="E98" s="46">
        <f>IF(Component_Selection!$D$94="Worst Case", Error_Calculation!E9, Error_Calculation!E23)</f>
        <v>2</v>
      </c>
      <c r="F98" s="46">
        <f>IF(Component_Selection!$D$94="Worst Case", Error_Calculation!F9, Error_Calculation!F23)</f>
        <v>2.2400083331886624</v>
      </c>
      <c r="G98" s="143" t="s">
        <v>4</v>
      </c>
      <c r="H98" s="53">
        <f t="shared" si="0"/>
        <v>0.12000416659433122</v>
      </c>
      <c r="J98" s="114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5"/>
    </row>
    <row r="99" spans="3:21" x14ac:dyDescent="0.25">
      <c r="C99" s="52" t="s">
        <v>59</v>
      </c>
      <c r="D99" s="46">
        <f>IF(Component_Selection!$D$94="Worst Case", Error_Calculation!D10, Error_Calculation!D24)</f>
        <v>33.795938700188934</v>
      </c>
      <c r="E99" s="46">
        <f>IF(Component_Selection!$D$94="Worst Case", Error_Calculation!E10, Error_Calculation!E24)</f>
        <v>34.587188612099645</v>
      </c>
      <c r="F99" s="46">
        <f>IF(Component_Selection!$D$94="Worst Case", Error_Calculation!F10, Error_Calculation!F24)</f>
        <v>35.378438524010356</v>
      </c>
      <c r="G99" s="143" t="s">
        <v>4</v>
      </c>
      <c r="H99" s="53">
        <f t="shared" si="0"/>
        <v>2.2876965248164398E-2</v>
      </c>
      <c r="J99" s="114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5"/>
    </row>
    <row r="100" spans="3:21" x14ac:dyDescent="0.25">
      <c r="C100" s="52" t="s">
        <v>42</v>
      </c>
      <c r="D100" s="46">
        <f>IF(Component_Selection!$D$94="Worst Case", Error_Calculation!D11, Error_Calculation!D25)</f>
        <v>63.077838223526378</v>
      </c>
      <c r="E100" s="46">
        <f>IF(Component_Selection!$D$94="Worst Case", Error_Calculation!E11, Error_Calculation!E25)</f>
        <v>64.368421052631575</v>
      </c>
      <c r="F100" s="46">
        <f>IF(Component_Selection!$D$94="Worst Case", Error_Calculation!F11, Error_Calculation!F25)</f>
        <v>65.659003881736766</v>
      </c>
      <c r="G100" s="143" t="s">
        <v>4</v>
      </c>
      <c r="H100" s="53">
        <f t="shared" si="0"/>
        <v>2.0049937655763496E-2</v>
      </c>
      <c r="J100" s="114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5"/>
    </row>
    <row r="101" spans="3:21" x14ac:dyDescent="0.25">
      <c r="C101" s="52" t="s">
        <v>72</v>
      </c>
      <c r="D101" s="46">
        <f>IF(Component_Selection!$D$94="Worst Case", Error_Calculation!D12, Error_Calculation!D26)</f>
        <v>2.6487874585510638</v>
      </c>
      <c r="E101" s="46">
        <f>IF(Component_Selection!$D$94="Worst Case", Error_Calculation!E12, Error_Calculation!E26)</f>
        <v>3.0100000000000002</v>
      </c>
      <c r="F101" s="46">
        <f>IF(Component_Selection!$D$94="Worst Case", Error_Calculation!F12, Error_Calculation!F26)</f>
        <v>3.3712125414489371</v>
      </c>
      <c r="G101" s="143" t="s">
        <v>4</v>
      </c>
      <c r="H101" s="53">
        <f t="shared" si="0"/>
        <v>0.12000416659433118</v>
      </c>
      <c r="J101" s="114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5"/>
    </row>
    <row r="102" spans="3:21" x14ac:dyDescent="0.25">
      <c r="C102" s="52" t="s">
        <v>41</v>
      </c>
      <c r="D102" s="46">
        <f>IF(Component_Selection!$D$94="Worst Case", Error_Calculation!D13, Error_Calculation!D27)</f>
        <v>59.706625682077444</v>
      </c>
      <c r="E102" s="46">
        <f>IF(Component_Selection!$D$94="Worst Case", Error_Calculation!E13, Error_Calculation!E27)</f>
        <v>61.358421052631577</v>
      </c>
      <c r="F102" s="46">
        <f>IF(Component_Selection!$D$94="Worst Case", Error_Calculation!F13, Error_Calculation!F27)</f>
        <v>63.010216423185703</v>
      </c>
      <c r="G102" s="143" t="s">
        <v>4</v>
      </c>
      <c r="H102" s="53">
        <f t="shared" si="0"/>
        <v>2.6920434753972371E-2</v>
      </c>
      <c r="J102" s="114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5"/>
    </row>
    <row r="103" spans="3:21" x14ac:dyDescent="0.25">
      <c r="C103" s="52" t="s">
        <v>60</v>
      </c>
      <c r="D103" s="46">
        <f>IF(Component_Selection!$D$94="Worst Case", Error_Calculation!D14, Error_Calculation!D28)</f>
        <v>19.11219670895883</v>
      </c>
      <c r="E103" s="46">
        <f>IF(Component_Selection!$D$94="Worst Case", Error_Calculation!E14, Error_Calculation!E28)</f>
        <v>20.2</v>
      </c>
      <c r="F103" s="46">
        <f>IF(Component_Selection!$D$94="Worst Case", Error_Calculation!F14, Error_Calculation!F28)</f>
        <v>21.287803291041172</v>
      </c>
      <c r="G103" s="144" t="s">
        <v>4</v>
      </c>
      <c r="H103" s="53">
        <f t="shared" si="0"/>
        <v>5.3851648071345182E-2</v>
      </c>
      <c r="I103" s="28"/>
      <c r="J103" s="114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5"/>
    </row>
    <row r="104" spans="3:21" x14ac:dyDescent="0.25">
      <c r="C104" s="52" t="s">
        <v>67</v>
      </c>
      <c r="D104" s="46">
        <f>IF(Component_Selection!$D$94="Worst Case", Error_Calculation!D15, Error_Calculation!D29)</f>
        <v>0.22451819201585885</v>
      </c>
      <c r="E104" s="46">
        <f>IF(Component_Selection!$D$94="Worst Case", Error_Calculation!E15, Error_Calculation!E29)</f>
        <v>0.3683720930232558</v>
      </c>
      <c r="F104" s="46">
        <f>IF(Component_Selection!$D$94="Worst Case", Error_Calculation!F15, Error_Calculation!F29)</f>
        <v>0.51222599403065272</v>
      </c>
      <c r="G104" s="143" t="s">
        <v>26</v>
      </c>
      <c r="H104" s="53">
        <f t="shared" si="0"/>
        <v>0.39051248379533265</v>
      </c>
      <c r="I104" s="28"/>
      <c r="J104" s="114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5"/>
    </row>
    <row r="105" spans="3:21" x14ac:dyDescent="0.25">
      <c r="C105" s="52" t="s">
        <v>63</v>
      </c>
      <c r="D105" s="46">
        <f>IF(Component_Selection!$D$94="Worst Case", Error_Calculation!D16, Error_Calculation!D30)</f>
        <v>1.9286357207155718</v>
      </c>
      <c r="E105" s="46">
        <f>IF(Component_Selection!$D$94="Worst Case", Error_Calculation!E16, Error_Calculation!E30)</f>
        <v>2.25</v>
      </c>
      <c r="F105" s="46">
        <f>IF(Component_Selection!$D$94="Worst Case", Error_Calculation!F16, Error_Calculation!F30)</f>
        <v>2.5713642792844285</v>
      </c>
      <c r="G105" s="144" t="s">
        <v>55</v>
      </c>
      <c r="H105" s="53">
        <f t="shared" si="0"/>
        <v>0.1428285685708571</v>
      </c>
      <c r="I105" s="28"/>
      <c r="J105" s="114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5"/>
    </row>
    <row r="106" spans="3:21" x14ac:dyDescent="0.25">
      <c r="C106" s="52" t="s">
        <v>62</v>
      </c>
      <c r="D106" s="46">
        <f>IF(Component_Selection!$D$94="Worst Case", Error_Calculation!D17, Error_Calculation!D31)</f>
        <v>0.96431786035778588</v>
      </c>
      <c r="E106" s="46">
        <f>IF(Component_Selection!$D$94="Worst Case", Error_Calculation!E17, Error_Calculation!E31)</f>
        <v>1.125</v>
      </c>
      <c r="F106" s="46">
        <f>IF(Component_Selection!$D$94="Worst Case", Error_Calculation!F17, Error_Calculation!F31)</f>
        <v>1.2856821396422142</v>
      </c>
      <c r="G106" s="144" t="s">
        <v>55</v>
      </c>
      <c r="H106" s="53">
        <f t="shared" si="0"/>
        <v>0.1428285685708571</v>
      </c>
      <c r="I106" s="28"/>
      <c r="J106" s="114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5"/>
    </row>
    <row r="107" spans="3:21" x14ac:dyDescent="0.25">
      <c r="C107" s="75" t="s">
        <v>61</v>
      </c>
      <c r="D107" s="46">
        <f>IF(Component_Selection!$D$94="Worst Case", Error_Calculation!D18, Error_Calculation!D32)</f>
        <v>0.19286357207155719</v>
      </c>
      <c r="E107" s="46">
        <f>IF(Component_Selection!$D$94="Worst Case", Error_Calculation!E18, Error_Calculation!E32)</f>
        <v>0.22500000000000001</v>
      </c>
      <c r="F107" s="46">
        <f>IF(Component_Selection!$D$94="Worst Case", Error_Calculation!F18, Error_Calculation!F32)</f>
        <v>0.25713642792844282</v>
      </c>
      <c r="G107" s="144" t="s">
        <v>55</v>
      </c>
      <c r="H107" s="53">
        <f t="shared" si="0"/>
        <v>0.14282856857085696</v>
      </c>
      <c r="I107" s="28"/>
      <c r="J107" s="112"/>
      <c r="K107" s="121"/>
      <c r="L107" s="1"/>
      <c r="M107" s="1"/>
      <c r="N107" s="1"/>
      <c r="O107" s="1"/>
      <c r="P107" s="1"/>
      <c r="Q107" s="1"/>
      <c r="R107" s="1"/>
      <c r="S107" s="1"/>
      <c r="T107" s="1"/>
      <c r="U107" s="122"/>
    </row>
    <row r="108" spans="3:21" ht="15.75" thickBot="1" x14ac:dyDescent="0.3">
      <c r="C108" s="75" t="s">
        <v>204</v>
      </c>
      <c r="D108" s="52"/>
      <c r="E108" s="80">
        <f>E15*(E15-Error_Calculation!$N$26)/$E$92</f>
        <v>99.259259259259267</v>
      </c>
      <c r="F108" s="80">
        <f>F15*(F15-Error_Calculation!$N$26)/$E$92</f>
        <v>255.55555555555557</v>
      </c>
      <c r="G108" s="143" t="s">
        <v>126</v>
      </c>
      <c r="I108" s="28"/>
      <c r="J108" s="123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5"/>
    </row>
    <row r="109" spans="3:21" x14ac:dyDescent="0.25">
      <c r="I109" s="28"/>
    </row>
    <row r="110" spans="3:21" x14ac:dyDescent="0.25">
      <c r="I110" s="28"/>
    </row>
    <row r="111" spans="3:21" x14ac:dyDescent="0.25">
      <c r="I111" s="19"/>
    </row>
    <row r="112" spans="3:21" x14ac:dyDescent="0.25">
      <c r="I112" s="19"/>
    </row>
    <row r="113" spans="9:9" x14ac:dyDescent="0.25">
      <c r="I113" s="19"/>
    </row>
  </sheetData>
  <sheetProtection password="8433" sheet="1" objects="1" scenarios="1" selectLockedCells="1"/>
  <mergeCells count="13">
    <mergeCell ref="D54:F54"/>
    <mergeCell ref="D94:F94"/>
    <mergeCell ref="J88:N89"/>
    <mergeCell ref="B1:U1"/>
    <mergeCell ref="Q33:U33"/>
    <mergeCell ref="P88:T88"/>
    <mergeCell ref="D32:F32"/>
    <mergeCell ref="D10:H11"/>
    <mergeCell ref="M2:N2"/>
    <mergeCell ref="D27:F27"/>
    <mergeCell ref="J33:N33"/>
    <mergeCell ref="M31:Q32"/>
    <mergeCell ref="M67:R67"/>
  </mergeCells>
  <conditionalFormatting sqref="E67:E71">
    <cfRule type="expression" dxfId="3" priority="4">
      <formula>IF(AND($E$52&lt;$F$43, $F$41="Yes"), "TRUE", "FALSE")</formula>
    </cfRule>
  </conditionalFormatting>
  <conditionalFormatting sqref="E50">
    <cfRule type="expression" dxfId="2" priority="3">
      <formula>IF(AND($E$50&lt;$F$44, $F$41="YES"), "TRUE", "FALSE")</formula>
    </cfRule>
  </conditionalFormatting>
  <conditionalFormatting sqref="E52">
    <cfRule type="expression" dxfId="1" priority="1">
      <formula>IF(AND($E$52&lt;$F$43, $F$41="Yes"), "TRUE", "FALSE")</formula>
    </cfRule>
  </conditionalFormatting>
  <dataValidations count="2">
    <dataValidation type="list" allowBlank="1" showInputMessage="1" showErrorMessage="1" sqref="D54" xr:uid="{00000000-0002-0000-0000-000000000000}">
      <formula1>$A$49:$A$50</formula1>
    </dataValidation>
    <dataValidation type="list" allowBlank="1" showInputMessage="1" showErrorMessage="1" sqref="F41" xr:uid="{00000000-0002-0000-0000-000001000000}">
      <formula1>$A$38:$A$39</formula1>
    </dataValidation>
  </dataValidations>
  <hyperlinks>
    <hyperlink ref="C2" r:id="rId1" xr:uid="{00000000-0004-0000-00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740AF50-2ACB-4F03-A67F-B15A2CAB726A}">
            <xm:f>IF($E$51 * Error_Calculation!$O$22/Error_Calculation!$N$22 &gt; $D$26, "TRUE",  "FALSE")</xm:f>
            <x14:dxf>
              <fill>
                <patternFill>
                  <bgColor rgb="FFFF0000"/>
                </patternFill>
              </fill>
            </x14:dxf>
          </x14:cfRule>
          <xm:sqref>E51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Error_Calculation!$D$2:$D$3</xm:f>
          </x14:formula1>
          <xm:sqref>D94</xm:sqref>
        </x14:dataValidation>
        <x14:dataValidation type="list" allowBlank="1" showInputMessage="1" showErrorMessage="1" xr:uid="{00000000-0002-0000-0000-000003000000}">
          <x14:formula1>
            <xm:f>Error_Calculation!$N$20:$N$21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3"/>
  <sheetViews>
    <sheetView zoomScale="110" zoomScaleNormal="110" workbookViewId="0">
      <selection activeCell="C8" sqref="C8"/>
    </sheetView>
  </sheetViews>
  <sheetFormatPr defaultRowHeight="15" x14ac:dyDescent="0.25"/>
  <cols>
    <col min="1" max="1" width="18.85546875" customWidth="1"/>
    <col min="2" max="2" width="26.28515625" customWidth="1"/>
    <col min="3" max="3" width="10" customWidth="1"/>
    <col min="4" max="4" width="15.7109375" style="56" customWidth="1"/>
  </cols>
  <sheetData>
    <row r="2" spans="1:11" x14ac:dyDescent="0.25">
      <c r="B2" s="170" t="s">
        <v>207</v>
      </c>
      <c r="C2" s="170"/>
      <c r="D2" s="170"/>
      <c r="H2" s="173" t="s">
        <v>206</v>
      </c>
      <c r="I2" s="173"/>
      <c r="J2" s="173"/>
      <c r="K2" s="173"/>
    </row>
    <row r="3" spans="1:11" x14ac:dyDescent="0.25">
      <c r="B3" s="52" t="s">
        <v>74</v>
      </c>
      <c r="C3" s="131">
        <v>48</v>
      </c>
      <c r="D3" s="68" t="s">
        <v>4</v>
      </c>
    </row>
    <row r="4" spans="1:11" x14ac:dyDescent="0.25">
      <c r="B4" s="52" t="s">
        <v>257</v>
      </c>
      <c r="C4" s="131">
        <v>37</v>
      </c>
      <c r="D4" s="68" t="s">
        <v>4</v>
      </c>
    </row>
    <row r="5" spans="1:11" x14ac:dyDescent="0.25">
      <c r="B5" s="72" t="s">
        <v>214</v>
      </c>
      <c r="C5" s="130">
        <v>1</v>
      </c>
      <c r="D5" s="68" t="s">
        <v>55</v>
      </c>
    </row>
    <row r="6" spans="1:11" x14ac:dyDescent="0.25">
      <c r="B6" s="52" t="s">
        <v>75</v>
      </c>
      <c r="C6" s="131">
        <v>72</v>
      </c>
      <c r="D6" s="68" t="s">
        <v>4</v>
      </c>
    </row>
    <row r="7" spans="1:11" x14ac:dyDescent="0.25">
      <c r="B7" s="170" t="s">
        <v>134</v>
      </c>
      <c r="C7" s="171"/>
      <c r="D7" s="172"/>
    </row>
    <row r="8" spans="1:11" x14ac:dyDescent="0.25">
      <c r="B8" s="92" t="s">
        <v>208</v>
      </c>
      <c r="C8" s="131">
        <v>1</v>
      </c>
      <c r="D8" s="56" t="s">
        <v>4</v>
      </c>
      <c r="I8" s="24"/>
    </row>
    <row r="9" spans="1:11" x14ac:dyDescent="0.25">
      <c r="B9" s="52" t="s">
        <v>79</v>
      </c>
      <c r="C9" s="131">
        <v>0</v>
      </c>
      <c r="D9" s="68" t="s">
        <v>255</v>
      </c>
      <c r="I9" s="24"/>
    </row>
    <row r="10" spans="1:11" x14ac:dyDescent="0.25">
      <c r="B10" s="52" t="s">
        <v>209</v>
      </c>
      <c r="C10" s="131">
        <f>Component_Selection!E16/1000</f>
        <v>0.66</v>
      </c>
      <c r="D10" s="68" t="s">
        <v>255</v>
      </c>
    </row>
    <row r="11" spans="1:11" x14ac:dyDescent="0.25">
      <c r="B11" s="52" t="s">
        <v>133</v>
      </c>
      <c r="C11" s="131">
        <f>Component_Selection!E14</f>
        <v>200</v>
      </c>
      <c r="D11" s="68" t="s">
        <v>20</v>
      </c>
    </row>
    <row r="12" spans="1:11" x14ac:dyDescent="0.25">
      <c r="B12" s="52" t="s">
        <v>210</v>
      </c>
      <c r="C12" s="136">
        <v>0.01</v>
      </c>
      <c r="D12" s="68"/>
    </row>
    <row r="13" spans="1:11" x14ac:dyDescent="0.25">
      <c r="B13" s="92" t="s">
        <v>211</v>
      </c>
      <c r="C13" s="137">
        <v>0.2</v>
      </c>
      <c r="D13" s="56" t="s">
        <v>55</v>
      </c>
    </row>
    <row r="14" spans="1:11" x14ac:dyDescent="0.25">
      <c r="B14" s="52" t="s">
        <v>83</v>
      </c>
      <c r="C14" s="73">
        <f>SUM(C9:C10)</f>
        <v>0.66</v>
      </c>
      <c r="D14" s="68" t="s">
        <v>254</v>
      </c>
    </row>
    <row r="15" spans="1:11" x14ac:dyDescent="0.25">
      <c r="B15" s="52" t="s">
        <v>135</v>
      </c>
      <c r="C15" s="74">
        <f>Component_Selection!E24</f>
        <v>12.5</v>
      </c>
      <c r="D15" s="106" t="s">
        <v>26</v>
      </c>
    </row>
    <row r="16" spans="1:11" x14ac:dyDescent="0.25">
      <c r="A16" t="s">
        <v>136</v>
      </c>
      <c r="B16" s="108" t="s">
        <v>139</v>
      </c>
      <c r="C16" s="109"/>
      <c r="D16" s="110"/>
    </row>
    <row r="17" spans="2:16" x14ac:dyDescent="0.25">
      <c r="B17" s="75" t="s">
        <v>140</v>
      </c>
      <c r="C17" s="74">
        <f>ATIS_Calculations!E17</f>
        <v>41.132454192265122</v>
      </c>
      <c r="D17" s="68" t="s">
        <v>4</v>
      </c>
    </row>
    <row r="18" spans="2:16" x14ac:dyDescent="0.25">
      <c r="B18" s="75" t="s">
        <v>141</v>
      </c>
      <c r="C18" s="74">
        <f>C6-C17</f>
        <v>30.867545807734878</v>
      </c>
      <c r="D18" s="106" t="s">
        <v>4</v>
      </c>
      <c r="O18" s="28"/>
      <c r="P18" s="24"/>
    </row>
    <row r="19" spans="2:16" x14ac:dyDescent="0.25">
      <c r="B19" s="75" t="s">
        <v>142</v>
      </c>
      <c r="C19" s="74">
        <f>ATIS_Calculations!D5</f>
        <v>2.3066531533665571</v>
      </c>
      <c r="D19" s="106" t="s">
        <v>55</v>
      </c>
    </row>
    <row r="20" spans="2:16" x14ac:dyDescent="0.25">
      <c r="B20" s="75" t="s">
        <v>143</v>
      </c>
      <c r="C20" s="74">
        <f>ATIS_Calculations!D7</f>
        <v>1.2193730633400377</v>
      </c>
      <c r="D20" s="106" t="s">
        <v>55</v>
      </c>
      <c r="G20" s="47"/>
    </row>
    <row r="21" spans="2:16" x14ac:dyDescent="0.25">
      <c r="B21" s="108" t="s">
        <v>144</v>
      </c>
      <c r="C21" s="109"/>
      <c r="D21" s="110"/>
    </row>
    <row r="22" spans="2:16" x14ac:dyDescent="0.25">
      <c r="B22" s="75" t="s">
        <v>145</v>
      </c>
      <c r="C22" s="74">
        <f>C20*2*1.2</f>
        <v>2.9264953520160906</v>
      </c>
      <c r="D22" s="106" t="s">
        <v>55</v>
      </c>
    </row>
    <row r="23" spans="2:16" ht="30" x14ac:dyDescent="0.25">
      <c r="B23" s="76" t="s">
        <v>146</v>
      </c>
      <c r="C23" s="74">
        <f>C18*1.05</f>
        <v>32.410923098121621</v>
      </c>
      <c r="D23" s="106" t="s">
        <v>4</v>
      </c>
    </row>
  </sheetData>
  <sheetProtection password="8433" sheet="1" objects="1" scenarios="1" selectLockedCells="1"/>
  <mergeCells count="3">
    <mergeCell ref="B2:D2"/>
    <mergeCell ref="B7:D7"/>
    <mergeCell ref="H2:K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89"/>
  <sheetViews>
    <sheetView topLeftCell="A61" zoomScaleNormal="100" workbookViewId="0">
      <selection activeCell="E76" sqref="E76"/>
    </sheetView>
  </sheetViews>
  <sheetFormatPr defaultRowHeight="15" x14ac:dyDescent="0.25"/>
  <cols>
    <col min="3" max="3" width="14.28515625" customWidth="1"/>
    <col min="4" max="4" width="41.7109375" customWidth="1"/>
    <col min="5" max="5" width="18.5703125" customWidth="1"/>
    <col min="8" max="8" width="15.5703125" customWidth="1"/>
    <col min="9" max="9" width="16.28515625" customWidth="1"/>
    <col min="10" max="10" width="11.140625" customWidth="1"/>
    <col min="15" max="15" width="11.28515625" customWidth="1"/>
  </cols>
  <sheetData>
    <row r="1" spans="4:26" x14ac:dyDescent="0.25">
      <c r="O1" s="176" t="s">
        <v>224</v>
      </c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4:26" x14ac:dyDescent="0.25">
      <c r="D2" t="s">
        <v>215</v>
      </c>
      <c r="E2" t="str">
        <f>Component_Selection!D54</f>
        <v>Programmed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4" spans="4:26" x14ac:dyDescent="0.25">
      <c r="D4" s="37"/>
      <c r="E4" s="37" t="s">
        <v>216</v>
      </c>
      <c r="F4" s="37"/>
      <c r="G4" s="37"/>
      <c r="H4" s="37" t="s">
        <v>64</v>
      </c>
      <c r="I4" s="37" t="s">
        <v>147</v>
      </c>
      <c r="O4" t="s">
        <v>161</v>
      </c>
      <c r="P4">
        <f>Component_Selection!E25</f>
        <v>1.5</v>
      </c>
      <c r="Q4" t="s">
        <v>26</v>
      </c>
      <c r="T4" t="s">
        <v>152</v>
      </c>
    </row>
    <row r="5" spans="4:26" x14ac:dyDescent="0.25">
      <c r="D5" s="52" t="s">
        <v>217</v>
      </c>
      <c r="E5" s="46">
        <f>IF($E$2="Programmed", I5, H5)</f>
        <v>20.2</v>
      </c>
      <c r="F5" s="52" t="s">
        <v>4</v>
      </c>
      <c r="G5" s="52"/>
      <c r="H5" s="52">
        <f>Component_Selection!E50</f>
        <v>20</v>
      </c>
      <c r="I5" s="46">
        <f>Component_Selection!E103</f>
        <v>20.2</v>
      </c>
      <c r="O5" t="s">
        <v>180</v>
      </c>
      <c r="P5">
        <f>Component_Selection!F30</f>
        <v>8</v>
      </c>
      <c r="Q5" t="s">
        <v>50</v>
      </c>
      <c r="T5" t="s">
        <v>153</v>
      </c>
    </row>
    <row r="6" spans="4:26" x14ac:dyDescent="0.25">
      <c r="D6" s="52" t="s">
        <v>218</v>
      </c>
      <c r="E6" s="46">
        <f>IF($E$2="Programmed", I6, H6)</f>
        <v>0.3683720930232558</v>
      </c>
      <c r="F6" s="52" t="s">
        <v>26</v>
      </c>
      <c r="G6" s="52"/>
      <c r="H6" s="52">
        <f>Component_Selection!E51</f>
        <v>0.4</v>
      </c>
      <c r="I6" s="46">
        <f>Component_Selection!E104</f>
        <v>0.3683720930232558</v>
      </c>
      <c r="O6" t="s">
        <v>184</v>
      </c>
      <c r="P6">
        <f>Component_Selection!E79</f>
        <v>118.80000000000001</v>
      </c>
      <c r="Q6" t="s">
        <v>50</v>
      </c>
      <c r="T6" t="s">
        <v>154</v>
      </c>
    </row>
    <row r="7" spans="4:26" x14ac:dyDescent="0.25">
      <c r="D7" s="52" t="s">
        <v>49</v>
      </c>
      <c r="E7" s="46">
        <f>IF($E$2="Programmed", I7, H7)</f>
        <v>43</v>
      </c>
      <c r="F7" s="52" t="s">
        <v>50</v>
      </c>
      <c r="G7" s="52"/>
      <c r="H7" s="52">
        <f>Component_Selection!E78</f>
        <v>39.6</v>
      </c>
      <c r="I7" s="52">
        <f>Component_Selection!E89</f>
        <v>43</v>
      </c>
      <c r="O7" t="s">
        <v>185</v>
      </c>
      <c r="P7">
        <f>Component_Selection!E90</f>
        <v>150</v>
      </c>
      <c r="Q7" t="s">
        <v>50</v>
      </c>
    </row>
    <row r="8" spans="4:26" x14ac:dyDescent="0.25">
      <c r="D8" s="52" t="s">
        <v>179</v>
      </c>
      <c r="E8" s="46">
        <f>IF($E$2="Programmed", I8, H8)</f>
        <v>150</v>
      </c>
      <c r="F8" s="52" t="s">
        <v>50</v>
      </c>
      <c r="G8" s="52"/>
      <c r="H8" s="52">
        <f>Component_Selection!E79</f>
        <v>118.80000000000001</v>
      </c>
      <c r="I8" s="52">
        <f>Component_Selection!E90</f>
        <v>150</v>
      </c>
      <c r="O8" t="s">
        <v>181</v>
      </c>
      <c r="P8">
        <f>Component_Selection!E78</f>
        <v>39.6</v>
      </c>
      <c r="Q8" t="s">
        <v>50</v>
      </c>
      <c r="T8" t="s">
        <v>155</v>
      </c>
    </row>
    <row r="9" spans="4:26" x14ac:dyDescent="0.25">
      <c r="D9" s="75" t="s">
        <v>221</v>
      </c>
      <c r="E9" s="46">
        <f>IF($E$2="Programmed", I9, H9)</f>
        <v>2.25</v>
      </c>
      <c r="F9" s="75" t="s">
        <v>55</v>
      </c>
      <c r="G9" s="52"/>
      <c r="H9" s="52">
        <f>Component_Selection!E52</f>
        <v>2</v>
      </c>
      <c r="I9" s="46">
        <f>Component_Selection!E105</f>
        <v>2.25</v>
      </c>
      <c r="O9" t="s">
        <v>182</v>
      </c>
      <c r="P9">
        <f>Component_Selection!E89</f>
        <v>43</v>
      </c>
      <c r="Q9" t="s">
        <v>50</v>
      </c>
      <c r="T9" t="s">
        <v>156</v>
      </c>
    </row>
    <row r="10" spans="4:26" x14ac:dyDescent="0.25">
      <c r="D10" s="75" t="s">
        <v>219</v>
      </c>
      <c r="E10" s="46">
        <f>Component_Selection!E24</f>
        <v>12.5</v>
      </c>
      <c r="F10" s="75" t="s">
        <v>26</v>
      </c>
      <c r="G10" s="52"/>
      <c r="H10" s="52"/>
      <c r="I10" s="46"/>
      <c r="O10" s="91" t="s">
        <v>26</v>
      </c>
      <c r="P10" s="91">
        <v>20</v>
      </c>
      <c r="Q10" s="91" t="s">
        <v>162</v>
      </c>
    </row>
    <row r="11" spans="4:26" x14ac:dyDescent="0.25">
      <c r="D11" s="75" t="s">
        <v>220</v>
      </c>
      <c r="E11" s="46">
        <f>Component_Selection!E25</f>
        <v>1.5</v>
      </c>
      <c r="F11" s="75" t="s">
        <v>26</v>
      </c>
      <c r="G11" s="52"/>
      <c r="H11" s="52"/>
      <c r="I11" s="46"/>
    </row>
    <row r="12" spans="4:26" x14ac:dyDescent="0.25">
      <c r="D12" s="75" t="s">
        <v>223</v>
      </c>
      <c r="E12" s="46">
        <f>E9/2</f>
        <v>1.125</v>
      </c>
      <c r="F12" s="75" t="s">
        <v>55</v>
      </c>
      <c r="G12" s="52"/>
      <c r="H12" s="52"/>
      <c r="I12" s="46"/>
      <c r="O12" t="s">
        <v>183</v>
      </c>
      <c r="P12" t="str">
        <f>Component_Selection!D54</f>
        <v>Programmed</v>
      </c>
    </row>
    <row r="13" spans="4:26" x14ac:dyDescent="0.25">
      <c r="D13" s="75" t="s">
        <v>222</v>
      </c>
      <c r="E13" s="46">
        <f>E12/5</f>
        <v>0.22500000000000001</v>
      </c>
      <c r="F13" s="52" t="s">
        <v>55</v>
      </c>
      <c r="G13" s="52"/>
      <c r="H13" s="52"/>
      <c r="I13" s="52"/>
      <c r="O13" t="s">
        <v>158</v>
      </c>
      <c r="P13" s="28">
        <f>E7</f>
        <v>43</v>
      </c>
      <c r="Q13" t="s">
        <v>50</v>
      </c>
    </row>
    <row r="14" spans="4:26" x14ac:dyDescent="0.25">
      <c r="O14" t="s">
        <v>159</v>
      </c>
      <c r="P14" s="28">
        <f>E8</f>
        <v>150</v>
      </c>
      <c r="Q14" t="s">
        <v>50</v>
      </c>
    </row>
    <row r="15" spans="4:26" x14ac:dyDescent="0.25">
      <c r="O15" t="s">
        <v>160</v>
      </c>
      <c r="P15">
        <f>Error_Calculation!N22</f>
        <v>20</v>
      </c>
      <c r="Q15" t="s">
        <v>7</v>
      </c>
    </row>
    <row r="16" spans="4:26" x14ac:dyDescent="0.25">
      <c r="D16" s="177" t="s">
        <v>195</v>
      </c>
      <c r="E16" s="177"/>
      <c r="F16" s="52"/>
      <c r="O16" t="s">
        <v>166</v>
      </c>
      <c r="P16">
        <f>Error_Calculation!O29</f>
        <v>1</v>
      </c>
      <c r="Q16" t="s">
        <v>167</v>
      </c>
    </row>
    <row r="17" spans="3:18" x14ac:dyDescent="0.25">
      <c r="D17" s="52" t="s">
        <v>102</v>
      </c>
      <c r="E17" s="52">
        <f>Component_Selection!F15</f>
        <v>72</v>
      </c>
      <c r="F17" s="52" t="s">
        <v>4</v>
      </c>
    </row>
    <row r="18" spans="3:18" x14ac:dyDescent="0.25">
      <c r="O18" s="174" t="s">
        <v>186</v>
      </c>
      <c r="P18" s="174"/>
      <c r="Q18" s="174"/>
    </row>
    <row r="19" spans="3:18" x14ac:dyDescent="0.25">
      <c r="D19" s="52" t="s">
        <v>149</v>
      </c>
      <c r="E19" s="52">
        <f>E21/10</f>
        <v>0.22500000000000001</v>
      </c>
      <c r="F19" s="52" t="s">
        <v>55</v>
      </c>
      <c r="O19" s="52" t="s">
        <v>112</v>
      </c>
      <c r="P19" s="52">
        <f>P15/(P13+P14)</f>
        <v>0.10362694300518134</v>
      </c>
      <c r="Q19" s="52" t="s">
        <v>163</v>
      </c>
    </row>
    <row r="20" spans="3:18" x14ac:dyDescent="0.25">
      <c r="D20" s="52" t="s">
        <v>150</v>
      </c>
      <c r="E20" s="52">
        <f>E21/2</f>
        <v>1.125</v>
      </c>
      <c r="F20" s="52" t="s">
        <v>55</v>
      </c>
      <c r="O20" s="93" t="s">
        <v>187</v>
      </c>
      <c r="P20" s="93">
        <f>1/3/P19*SQRT(P4/P10)</f>
        <v>0.88092044665414215</v>
      </c>
      <c r="Q20" s="93" t="s">
        <v>55</v>
      </c>
    </row>
    <row r="21" spans="3:18" x14ac:dyDescent="0.25">
      <c r="D21" s="52" t="s">
        <v>151</v>
      </c>
      <c r="E21" s="52">
        <f>IF(Component_Selection!D54="Target", Component_Selection!E52, Component_Selection!E105)</f>
        <v>2.25</v>
      </c>
      <c r="F21" s="52" t="s">
        <v>55</v>
      </c>
      <c r="H21" s="111" t="s">
        <v>228</v>
      </c>
      <c r="I21" s="111" t="s">
        <v>229</v>
      </c>
    </row>
    <row r="22" spans="3:18" x14ac:dyDescent="0.25">
      <c r="D22" s="52" t="s">
        <v>196</v>
      </c>
      <c r="E22" s="46">
        <f>IF(I22="TBD", H22, I22)</f>
        <v>1.1059204466541421</v>
      </c>
      <c r="F22" s="52" t="s">
        <v>55</v>
      </c>
      <c r="H22" s="46">
        <f>SOA_Checks!P20+E19</f>
        <v>1.1059204466541421</v>
      </c>
      <c r="I22" s="52" t="str">
        <f>Component_Selection!E57</f>
        <v>TBD</v>
      </c>
    </row>
    <row r="23" spans="3:18" x14ac:dyDescent="0.25">
      <c r="D23" s="52" t="s">
        <v>197</v>
      </c>
      <c r="E23" s="46">
        <f>IF(I23="TBD", H23, I23)</f>
        <v>2.7184204466541422</v>
      </c>
      <c r="F23" s="52" t="s">
        <v>55</v>
      </c>
      <c r="H23" s="46">
        <f>SOA_Checks!P26+E19</f>
        <v>2.7184204466541422</v>
      </c>
      <c r="I23" s="52" t="str">
        <f>Component_Selection!E58</f>
        <v>TBD</v>
      </c>
    </row>
    <row r="24" spans="3:18" x14ac:dyDescent="0.25">
      <c r="E24" s="28"/>
      <c r="O24" s="175" t="s">
        <v>189</v>
      </c>
      <c r="P24" s="175"/>
      <c r="Q24" s="175"/>
      <c r="R24" t="s">
        <v>192</v>
      </c>
    </row>
    <row r="25" spans="3:18" x14ac:dyDescent="0.25">
      <c r="O25" s="52" t="s">
        <v>190</v>
      </c>
      <c r="P25" s="46">
        <f>P4*P16*P13/P15/2</f>
        <v>1.6125</v>
      </c>
      <c r="Q25" s="52" t="s">
        <v>55</v>
      </c>
      <c r="R25" t="s">
        <v>191</v>
      </c>
    </row>
    <row r="26" spans="3:18" x14ac:dyDescent="0.25">
      <c r="O26" s="93" t="s">
        <v>193</v>
      </c>
      <c r="P26" s="94">
        <f>P25+P20</f>
        <v>2.4934204466541421</v>
      </c>
      <c r="Q26" s="93" t="s">
        <v>55</v>
      </c>
      <c r="R26" t="s">
        <v>194</v>
      </c>
    </row>
    <row r="27" spans="3:18" x14ac:dyDescent="0.25">
      <c r="C27" t="s">
        <v>203</v>
      </c>
      <c r="D27">
        <f>IF(Component_Selection!D54="Target", Component_Selection!E51, Component_Selection!E104)</f>
        <v>0.3683720930232558</v>
      </c>
    </row>
    <row r="28" spans="3:18" x14ac:dyDescent="0.25">
      <c r="C28" s="28"/>
      <c r="K28">
        <f>1.12*(175-96.3)/150</f>
        <v>0.58762666666666674</v>
      </c>
    </row>
    <row r="30" spans="3:18" x14ac:dyDescent="0.25">
      <c r="C30" s="28">
        <f>E13</f>
        <v>0.22500000000000001</v>
      </c>
      <c r="D30" t="s">
        <v>198</v>
      </c>
    </row>
    <row r="31" spans="3:18" x14ac:dyDescent="0.25">
      <c r="C31" s="28">
        <f>E22</f>
        <v>1.1059204466541421</v>
      </c>
      <c r="D31" t="s">
        <v>199</v>
      </c>
    </row>
    <row r="32" spans="3:18" x14ac:dyDescent="0.25">
      <c r="C32" s="28">
        <f>E23</f>
        <v>2.7184204466541422</v>
      </c>
      <c r="D32" t="s">
        <v>200</v>
      </c>
    </row>
    <row r="33" spans="2:6" x14ac:dyDescent="0.25">
      <c r="C33" s="28">
        <f>E20</f>
        <v>1.125</v>
      </c>
      <c r="D33" t="s">
        <v>114</v>
      </c>
    </row>
    <row r="34" spans="2:6" x14ac:dyDescent="0.25">
      <c r="C34">
        <f>Component_Selection!F16*Component_Selection!F15/D27/1000</f>
        <v>154.80000000000001</v>
      </c>
      <c r="D34" t="s">
        <v>107</v>
      </c>
      <c r="E34" t="s">
        <v>225</v>
      </c>
    </row>
    <row r="35" spans="2:6" x14ac:dyDescent="0.25">
      <c r="C35">
        <f>ROUND(SOA_Checks!C34/2,1)</f>
        <v>77.400000000000006</v>
      </c>
      <c r="D35" t="s">
        <v>110</v>
      </c>
    </row>
    <row r="37" spans="2:6" x14ac:dyDescent="0.25">
      <c r="C37" s="28">
        <f>10^(FLOOR(LOG(C31),1))</f>
        <v>1</v>
      </c>
      <c r="D37" t="s">
        <v>105</v>
      </c>
    </row>
    <row r="38" spans="2:6" x14ac:dyDescent="0.25">
      <c r="C38">
        <f>C37*10</f>
        <v>10</v>
      </c>
      <c r="D38" t="s">
        <v>106</v>
      </c>
    </row>
    <row r="39" spans="2:6" x14ac:dyDescent="0.25">
      <c r="B39" s="28"/>
      <c r="C39" s="28">
        <f>10^(FLOOR(LOG(C32),1))</f>
        <v>1</v>
      </c>
      <c r="D39" t="s">
        <v>201</v>
      </c>
    </row>
    <row r="40" spans="2:6" x14ac:dyDescent="0.25">
      <c r="C40">
        <f>C39*10</f>
        <v>10</v>
      </c>
      <c r="D40" t="s">
        <v>202</v>
      </c>
    </row>
    <row r="41" spans="2:6" x14ac:dyDescent="0.25">
      <c r="C41" s="28">
        <f>10^(FLOOR(LOG(C33),1))</f>
        <v>1</v>
      </c>
      <c r="D41" t="s">
        <v>103</v>
      </c>
    </row>
    <row r="42" spans="2:6" x14ac:dyDescent="0.25">
      <c r="C42">
        <f>C41*10</f>
        <v>10</v>
      </c>
      <c r="D42" t="s">
        <v>104</v>
      </c>
    </row>
    <row r="43" spans="2:6" x14ac:dyDescent="0.25">
      <c r="C43" s="28">
        <f>10^(FLOOR(LOG(C35),1))</f>
        <v>10</v>
      </c>
      <c r="D43" t="s">
        <v>108</v>
      </c>
    </row>
    <row r="44" spans="2:6" x14ac:dyDescent="0.25">
      <c r="C44">
        <f>C43*10</f>
        <v>100</v>
      </c>
      <c r="D44" t="s">
        <v>109</v>
      </c>
    </row>
    <row r="46" spans="2:6" x14ac:dyDescent="0.25">
      <c r="C46" t="s">
        <v>82</v>
      </c>
      <c r="D46" s="170" t="s">
        <v>111</v>
      </c>
      <c r="E46" s="170"/>
      <c r="F46" s="170"/>
    </row>
    <row r="47" spans="2:6" x14ac:dyDescent="0.25">
      <c r="C47" s="28">
        <f>C37</f>
        <v>1</v>
      </c>
      <c r="D47" s="52" t="str">
        <f>"Q1 Current handling at "&amp;C37&amp;"ms and "&amp; E17 &amp;"V"</f>
        <v>Q1 Current handling at 1ms and 72V</v>
      </c>
      <c r="E47" s="52">
        <f>Component_Selection!E59</f>
        <v>10</v>
      </c>
      <c r="F47" s="52" t="s">
        <v>26</v>
      </c>
    </row>
    <row r="48" spans="2:6" x14ac:dyDescent="0.25">
      <c r="C48" s="28">
        <f t="shared" ref="C48:C50" si="0">C38</f>
        <v>10</v>
      </c>
      <c r="D48" s="52" t="str">
        <f>"Q1 Current handling at "&amp;C38&amp;"ms and "&amp; E17 &amp;"V"</f>
        <v>Q1 Current handling at 10ms and 72V</v>
      </c>
      <c r="E48" s="52">
        <f>Component_Selection!E60</f>
        <v>20</v>
      </c>
      <c r="F48" s="52" t="s">
        <v>26</v>
      </c>
    </row>
    <row r="49" spans="3:6" x14ac:dyDescent="0.25">
      <c r="C49" s="28">
        <f t="shared" si="0"/>
        <v>1</v>
      </c>
      <c r="D49" s="52" t="str">
        <f>"Q1 Current handling at "&amp;C39&amp;"ms and "&amp; E17 &amp;"V"</f>
        <v>Q1 Current handling at 1ms and 72V</v>
      </c>
      <c r="E49" s="52">
        <f>Component_Selection!E61</f>
        <v>10</v>
      </c>
      <c r="F49" s="52" t="s">
        <v>26</v>
      </c>
    </row>
    <row r="50" spans="3:6" x14ac:dyDescent="0.25">
      <c r="C50" s="28">
        <f t="shared" si="0"/>
        <v>10</v>
      </c>
      <c r="D50" s="52" t="str">
        <f>"Q1 Current handling at "&amp;C40&amp;"ms and "&amp; E17 &amp;"V"</f>
        <v>Q1 Current handling at 10ms and 72V</v>
      </c>
      <c r="E50" s="52">
        <f>Component_Selection!E62</f>
        <v>20</v>
      </c>
      <c r="F50" s="52" t="s">
        <v>26</v>
      </c>
    </row>
    <row r="51" spans="3:6" x14ac:dyDescent="0.25">
      <c r="C51" s="28">
        <f>C43</f>
        <v>10</v>
      </c>
      <c r="D51" s="52" t="str">
        <f>"Q1 Current handling at "&amp;C43&amp;"ms and "&amp; E17 &amp;"V"</f>
        <v>Q1 Current handling at 10ms and 72V</v>
      </c>
      <c r="E51" s="52">
        <f>Component_Selection!E63</f>
        <v>20</v>
      </c>
      <c r="F51" s="52" t="s">
        <v>26</v>
      </c>
    </row>
    <row r="52" spans="3:6" x14ac:dyDescent="0.25">
      <c r="C52" s="28">
        <f>C44</f>
        <v>100</v>
      </c>
      <c r="D52" s="52" t="str">
        <f>"Q1 Current handling at "&amp;C44&amp;"ms and "&amp; E17 &amp;"V"</f>
        <v>Q1 Current handling at 100ms and 72V</v>
      </c>
      <c r="E52" s="52">
        <f>Component_Selection!E64</f>
        <v>20</v>
      </c>
      <c r="F52" s="52" t="s">
        <v>26</v>
      </c>
    </row>
    <row r="53" spans="3:6" x14ac:dyDescent="0.25">
      <c r="C53" s="28">
        <f>C41</f>
        <v>1</v>
      </c>
      <c r="D53" s="52" t="str">
        <f>"Q1 Current handling at "&amp;C41&amp;"ms and "&amp; E5 &amp;"V"</f>
        <v>Q1 Current handling at 1ms and 20.2V</v>
      </c>
      <c r="E53" s="52">
        <f>Component_Selection!E65</f>
        <v>30</v>
      </c>
      <c r="F53" s="52" t="s">
        <v>26</v>
      </c>
    </row>
    <row r="54" spans="3:6" x14ac:dyDescent="0.25">
      <c r="C54" s="28">
        <f>C42</f>
        <v>10</v>
      </c>
      <c r="D54" s="52" t="str">
        <f>"Q1 Current handling at "&amp;C42&amp;"ms and "&amp; E5 &amp;"V"</f>
        <v>Q1 Current handling at 10ms and 20.2V</v>
      </c>
      <c r="E54" s="52">
        <f>Component_Selection!E66</f>
        <v>10</v>
      </c>
      <c r="F54" s="52" t="s">
        <v>26</v>
      </c>
    </row>
    <row r="55" spans="3:6" x14ac:dyDescent="0.25">
      <c r="D55" s="1"/>
      <c r="E55" s="1"/>
      <c r="F55" s="1"/>
    </row>
    <row r="56" spans="3:6" x14ac:dyDescent="0.25">
      <c r="D56" s="1" t="s">
        <v>115</v>
      </c>
      <c r="E56" s="1"/>
      <c r="F56" s="1"/>
    </row>
    <row r="58" spans="3:6" x14ac:dyDescent="0.25">
      <c r="C58" t="s">
        <v>82</v>
      </c>
      <c r="D58" s="170" t="str">
        <f>" Temp Derated SOA (Tj ="&amp;ROUND(Component_Selection!F39,0)&amp;"C)"</f>
        <v xml:space="preserve"> Temp Derated SOA (Tj =89C)</v>
      </c>
      <c r="E58" s="170"/>
      <c r="F58" s="170"/>
    </row>
    <row r="59" spans="3:6" x14ac:dyDescent="0.25">
      <c r="D59" s="52" t="s">
        <v>253</v>
      </c>
      <c r="E59" s="46">
        <f>Component_Selection!F39</f>
        <v>89.260043827611398</v>
      </c>
      <c r="F59" s="52" t="s">
        <v>24</v>
      </c>
    </row>
    <row r="60" spans="3:6" x14ac:dyDescent="0.25">
      <c r="D60" s="52" t="s">
        <v>115</v>
      </c>
      <c r="E60" s="46">
        <f>(Component_Selection!F29-E59)/(Component_Selection!F29-25)</f>
        <v>0.57159970781592406</v>
      </c>
      <c r="F60" s="52"/>
    </row>
    <row r="61" spans="3:6" x14ac:dyDescent="0.25">
      <c r="C61" s="28">
        <f t="shared" ref="C61:D68" si="1">C47</f>
        <v>1</v>
      </c>
      <c r="D61" s="52" t="str">
        <f t="shared" si="1"/>
        <v>Q1 Current handling at 1ms and 72V</v>
      </c>
      <c r="E61" s="46">
        <f t="shared" ref="E61:E68" si="2">E47*$E$60</f>
        <v>5.7159970781592406</v>
      </c>
      <c r="F61" s="52" t="s">
        <v>26</v>
      </c>
    </row>
    <row r="62" spans="3:6" x14ac:dyDescent="0.25">
      <c r="C62" s="28">
        <f t="shared" si="1"/>
        <v>10</v>
      </c>
      <c r="D62" s="52" t="str">
        <f t="shared" si="1"/>
        <v>Q1 Current handling at 10ms and 72V</v>
      </c>
      <c r="E62" s="46">
        <f t="shared" si="2"/>
        <v>11.431994156318481</v>
      </c>
      <c r="F62" s="52" t="s">
        <v>26</v>
      </c>
    </row>
    <row r="63" spans="3:6" x14ac:dyDescent="0.25">
      <c r="C63" s="28">
        <f t="shared" si="1"/>
        <v>1</v>
      </c>
      <c r="D63" s="52" t="str">
        <f t="shared" si="1"/>
        <v>Q1 Current handling at 1ms and 72V</v>
      </c>
      <c r="E63" s="46">
        <f t="shared" si="2"/>
        <v>5.7159970781592406</v>
      </c>
      <c r="F63" s="52" t="s">
        <v>26</v>
      </c>
    </row>
    <row r="64" spans="3:6" x14ac:dyDescent="0.25">
      <c r="C64" s="28">
        <f t="shared" si="1"/>
        <v>10</v>
      </c>
      <c r="D64" s="52" t="str">
        <f t="shared" si="1"/>
        <v>Q1 Current handling at 10ms and 72V</v>
      </c>
      <c r="E64" s="46">
        <f t="shared" si="2"/>
        <v>11.431994156318481</v>
      </c>
      <c r="F64" s="52" t="s">
        <v>26</v>
      </c>
    </row>
    <row r="65" spans="3:8" x14ac:dyDescent="0.25">
      <c r="C65" s="28">
        <f t="shared" si="1"/>
        <v>10</v>
      </c>
      <c r="D65" s="52" t="str">
        <f t="shared" si="1"/>
        <v>Q1 Current handling at 10ms and 72V</v>
      </c>
      <c r="E65" s="46">
        <f t="shared" si="2"/>
        <v>11.431994156318481</v>
      </c>
      <c r="F65" s="52" t="s">
        <v>26</v>
      </c>
    </row>
    <row r="66" spans="3:8" x14ac:dyDescent="0.25">
      <c r="C66" s="28">
        <f t="shared" si="1"/>
        <v>100</v>
      </c>
      <c r="D66" s="52" t="str">
        <f t="shared" si="1"/>
        <v>Q1 Current handling at 100ms and 72V</v>
      </c>
      <c r="E66" s="46">
        <f t="shared" si="2"/>
        <v>11.431994156318481</v>
      </c>
      <c r="F66" s="52" t="s">
        <v>26</v>
      </c>
    </row>
    <row r="67" spans="3:8" x14ac:dyDescent="0.25">
      <c r="C67" s="28">
        <f t="shared" si="1"/>
        <v>1</v>
      </c>
      <c r="D67" s="52" t="str">
        <f t="shared" si="1"/>
        <v>Q1 Current handling at 1ms and 20.2V</v>
      </c>
      <c r="E67" s="46">
        <f t="shared" si="2"/>
        <v>17.147991234477722</v>
      </c>
      <c r="F67" s="52" t="s">
        <v>26</v>
      </c>
    </row>
    <row r="68" spans="3:8" x14ac:dyDescent="0.25">
      <c r="C68" s="28">
        <f t="shared" si="1"/>
        <v>10</v>
      </c>
      <c r="D68" s="52" t="str">
        <f t="shared" si="1"/>
        <v>Q1 Current handling at 10ms and 20.2V</v>
      </c>
      <c r="E68" s="46">
        <f t="shared" si="2"/>
        <v>5.7159970781592406</v>
      </c>
      <c r="F68" s="52" t="s">
        <v>26</v>
      </c>
    </row>
    <row r="69" spans="3:8" x14ac:dyDescent="0.25">
      <c r="D69" s="1"/>
      <c r="E69" s="1"/>
      <c r="F69" s="1"/>
    </row>
    <row r="70" spans="3:8" x14ac:dyDescent="0.25">
      <c r="D70" s="1"/>
      <c r="E70" s="1"/>
      <c r="F70" s="1"/>
    </row>
    <row r="71" spans="3:8" x14ac:dyDescent="0.25">
      <c r="G71" s="175" t="s">
        <v>230</v>
      </c>
      <c r="H71" s="175"/>
    </row>
    <row r="72" spans="3:8" x14ac:dyDescent="0.25">
      <c r="C72" t="s">
        <v>82</v>
      </c>
      <c r="D72" s="178" t="str">
        <f>" Extrapoloated SOA (Tj ="&amp;ROUND(Component_Selection!F39,0)&amp;"C)"</f>
        <v xml:space="preserve"> Extrapoloated SOA (Tj =89C)</v>
      </c>
      <c r="E72" s="178"/>
      <c r="F72" s="178"/>
      <c r="G72" t="s">
        <v>112</v>
      </c>
      <c r="H72" t="s">
        <v>113</v>
      </c>
    </row>
    <row r="73" spans="3:8" x14ac:dyDescent="0.25">
      <c r="C73" s="28">
        <f>C31</f>
        <v>1.1059204466541421</v>
      </c>
      <c r="D73" s="52" t="str">
        <f>"Short Circuit; Vds = "&amp;E17&amp;"V, t= " &amp;C31 &amp; "ms"</f>
        <v>Short Circuit; Vds = 72V, t= 1.10592044665414ms</v>
      </c>
      <c r="E73" s="46">
        <f>H73*C31^G73*$E$60</f>
        <v>5.8918841624228495</v>
      </c>
      <c r="F73" s="52" t="s">
        <v>26</v>
      </c>
      <c r="G73">
        <f>LN(E47/E48)/LN(C37/C38)</f>
        <v>0.3010299956639812</v>
      </c>
      <c r="H73">
        <f>E47/C37^G73</f>
        <v>10</v>
      </c>
    </row>
    <row r="74" spans="3:8" x14ac:dyDescent="0.25">
      <c r="C74" s="28">
        <f>C32</f>
        <v>2.7184204466541422</v>
      </c>
      <c r="D74" s="52" t="str">
        <f>"Short Circuit with resistor; Vds = "&amp;E17&amp;"V, t= " &amp;C32 &amp; "ms"</f>
        <v>Short Circuit with resistor; Vds = 72V, t= 2.71842044665414ms</v>
      </c>
      <c r="E74" s="46">
        <f t="shared" ref="E74" si="3">H74*C32^G74*$E$60</f>
        <v>7.7238588881705805</v>
      </c>
      <c r="F74" s="52" t="s">
        <v>26</v>
      </c>
      <c r="G74">
        <f>LN(E49/E50)/LN(C39/C40)</f>
        <v>0.3010299956639812</v>
      </c>
      <c r="H74">
        <f>E49/C39^G74</f>
        <v>10</v>
      </c>
    </row>
    <row r="75" spans="3:8" x14ac:dyDescent="0.25">
      <c r="C75">
        <f>C35</f>
        <v>77.400000000000006</v>
      </c>
      <c r="D75" s="52" t="str">
        <f>"Start-up ; Vds = "&amp;E17&amp;"V, t_eq= " &amp;C35 &amp; "ms"</f>
        <v>Start-up ; Vds = 72V, t_eq= 77.4ms</v>
      </c>
      <c r="E75" s="46">
        <f>H75*C35^G75*$E$60</f>
        <v>11.431994156318481</v>
      </c>
      <c r="F75" s="52" t="s">
        <v>26</v>
      </c>
      <c r="G75">
        <f>LN(E51/E52)/LN(C43/C44)</f>
        <v>0</v>
      </c>
      <c r="H75">
        <f>E51/C43^G75</f>
        <v>20</v>
      </c>
    </row>
    <row r="76" spans="3:8" x14ac:dyDescent="0.25">
      <c r="C76" s="28">
        <f>C33</f>
        <v>1.125</v>
      </c>
      <c r="D76" s="52" t="str">
        <f>"Vd = 1.5V; Vds = "&amp;E5&amp;"V, t_eq= " &amp;C33 &amp; "ms"</f>
        <v>Vd = 1.5V; Vds = 20.2V, t_eq= 1.125ms</v>
      </c>
      <c r="E76" s="46">
        <f>H76*C33^G76*$E$60</f>
        <v>16.210906359865742</v>
      </c>
      <c r="F76" s="52" t="s">
        <v>26</v>
      </c>
      <c r="G76">
        <f>LN(E53/E54)/LN(C41/C42)</f>
        <v>-0.47712125471966255</v>
      </c>
      <c r="H76">
        <f>E53/C41^G76</f>
        <v>30</v>
      </c>
    </row>
    <row r="79" spans="3:8" x14ac:dyDescent="0.25">
      <c r="C79" t="s">
        <v>82</v>
      </c>
      <c r="D79" s="178" t="s">
        <v>231</v>
      </c>
      <c r="E79" s="178"/>
      <c r="F79" s="178"/>
    </row>
    <row r="80" spans="3:8" x14ac:dyDescent="0.25">
      <c r="C80" s="28">
        <f>C73</f>
        <v>1.1059204466541421</v>
      </c>
      <c r="D80" s="52" t="str">
        <f>D73</f>
        <v>Short Circuit; Vds = 72V, t= 1.10592044665414ms</v>
      </c>
      <c r="E80" s="46">
        <f>E11</f>
        <v>1.5</v>
      </c>
      <c r="F80" s="52" t="s">
        <v>26</v>
      </c>
    </row>
    <row r="81" spans="3:6" x14ac:dyDescent="0.25">
      <c r="C81" s="28">
        <f t="shared" ref="C81:D83" si="4">C74</f>
        <v>2.7184204466541422</v>
      </c>
      <c r="D81" s="52" t="str">
        <f t="shared" si="4"/>
        <v>Short Circuit with resistor; Vds = 72V, t= 2.71842044665414ms</v>
      </c>
      <c r="E81" s="46">
        <f>E11</f>
        <v>1.5</v>
      </c>
      <c r="F81" s="52" t="s">
        <v>26</v>
      </c>
    </row>
    <row r="82" spans="3:6" x14ac:dyDescent="0.25">
      <c r="C82" s="28">
        <f t="shared" si="4"/>
        <v>77.400000000000006</v>
      </c>
      <c r="D82" s="52" t="str">
        <f t="shared" si="4"/>
        <v>Start-up ; Vds = 72V, t_eq= 77.4ms</v>
      </c>
      <c r="E82" s="46">
        <f>E6</f>
        <v>0.3683720930232558</v>
      </c>
      <c r="F82" s="52" t="s">
        <v>26</v>
      </c>
    </row>
    <row r="83" spans="3:6" x14ac:dyDescent="0.25">
      <c r="C83" s="28">
        <f t="shared" si="4"/>
        <v>1.125</v>
      </c>
      <c r="D83" s="52" t="str">
        <f t="shared" si="4"/>
        <v>Vd = 1.5V; Vds = 20.2V, t_eq= 1.125ms</v>
      </c>
      <c r="E83" s="46">
        <f>E10</f>
        <v>12.5</v>
      </c>
      <c r="F83" s="52" t="s">
        <v>26</v>
      </c>
    </row>
    <row r="84" spans="3:6" x14ac:dyDescent="0.25">
      <c r="C84" s="28"/>
      <c r="D84" s="52"/>
      <c r="E84" s="46"/>
      <c r="F84" s="52"/>
    </row>
    <row r="85" spans="3:6" x14ac:dyDescent="0.25">
      <c r="D85" s="178" t="s">
        <v>116</v>
      </c>
      <c r="E85" s="178"/>
      <c r="F85" s="178"/>
    </row>
    <row r="86" spans="3:6" x14ac:dyDescent="0.25">
      <c r="D86" s="52" t="str">
        <f>D80</f>
        <v>Short Circuit; Vds = 72V, t= 1.10592044665414ms</v>
      </c>
      <c r="E86" s="46">
        <f>E73/E80</f>
        <v>3.9279227749485663</v>
      </c>
      <c r="F86" s="52"/>
    </row>
    <row r="87" spans="3:6" x14ac:dyDescent="0.25">
      <c r="D87" s="52" t="str">
        <f>D81</f>
        <v>Short Circuit with resistor; Vds = 72V, t= 2.71842044665414ms</v>
      </c>
      <c r="E87" s="46">
        <f>E74/E81</f>
        <v>5.149239258780387</v>
      </c>
      <c r="F87" s="52"/>
    </row>
    <row r="88" spans="3:6" x14ac:dyDescent="0.25">
      <c r="D88" s="52" t="str">
        <f>D82</f>
        <v>Start-up ; Vds = 72V, t_eq= 77.4ms</v>
      </c>
      <c r="E88" s="46">
        <f>E75/E82</f>
        <v>31.033822520309009</v>
      </c>
      <c r="F88" s="52"/>
    </row>
    <row r="89" spans="3:6" x14ac:dyDescent="0.25">
      <c r="D89" s="52" t="str">
        <f>D83</f>
        <v>Vd = 1.5V; Vds = 20.2V, t_eq= 1.125ms</v>
      </c>
      <c r="E89" s="46">
        <f>E76/E83</f>
        <v>1.2968725087892594</v>
      </c>
      <c r="F89" s="52"/>
    </row>
  </sheetData>
  <mergeCells count="10">
    <mergeCell ref="O18:Q18"/>
    <mergeCell ref="O24:Q24"/>
    <mergeCell ref="O1:Z2"/>
    <mergeCell ref="D16:E16"/>
    <mergeCell ref="D85:F85"/>
    <mergeCell ref="D46:F46"/>
    <mergeCell ref="D72:F72"/>
    <mergeCell ref="D79:F79"/>
    <mergeCell ref="D58:F58"/>
    <mergeCell ref="G71:H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R32"/>
  <sheetViews>
    <sheetView workbookViewId="0">
      <selection activeCell="N25" sqref="N25"/>
    </sheetView>
  </sheetViews>
  <sheetFormatPr defaultRowHeight="15" x14ac:dyDescent="0.25"/>
  <cols>
    <col min="3" max="3" width="27.140625" customWidth="1"/>
  </cols>
  <sheetData>
    <row r="2" spans="3:17" x14ac:dyDescent="0.25">
      <c r="D2" t="s">
        <v>119</v>
      </c>
      <c r="G2" t="s">
        <v>15</v>
      </c>
      <c r="H2">
        <f>Component_Selection!E19</f>
        <v>25</v>
      </c>
    </row>
    <row r="3" spans="3:17" x14ac:dyDescent="0.25">
      <c r="D3" t="s">
        <v>120</v>
      </c>
    </row>
    <row r="5" spans="3:17" x14ac:dyDescent="0.25">
      <c r="C5" s="31" t="s">
        <v>66</v>
      </c>
      <c r="D5" s="38" t="s">
        <v>0</v>
      </c>
      <c r="E5" s="38" t="s">
        <v>1</v>
      </c>
      <c r="F5" s="39" t="s">
        <v>2</v>
      </c>
      <c r="G5" s="27"/>
      <c r="H5" s="40" t="s">
        <v>69</v>
      </c>
      <c r="L5" s="175" t="s">
        <v>121</v>
      </c>
      <c r="M5" s="175"/>
      <c r="N5" s="175"/>
      <c r="O5" s="175"/>
      <c r="P5" s="175"/>
      <c r="Q5" s="175"/>
    </row>
    <row r="6" spans="3:17" x14ac:dyDescent="0.25">
      <c r="C6" s="29" t="s">
        <v>76</v>
      </c>
      <c r="D6" s="28">
        <f>E6*(1-H6)</f>
        <v>11.875</v>
      </c>
      <c r="E6" s="28">
        <f>H2/Component_Selection!E83</f>
        <v>12.5</v>
      </c>
      <c r="F6" s="28">
        <f>E6*(1+H6)</f>
        <v>13.125</v>
      </c>
      <c r="G6" s="6" t="s">
        <v>26</v>
      </c>
      <c r="H6" s="41">
        <f>Error_Calculation!Q20+Component_Selection!F83</f>
        <v>0.05</v>
      </c>
      <c r="L6" s="4"/>
      <c r="M6" s="3" t="s">
        <v>0</v>
      </c>
      <c r="N6" s="3" t="s">
        <v>1</v>
      </c>
      <c r="O6" s="3" t="s">
        <v>2</v>
      </c>
      <c r="P6" s="5" t="s">
        <v>3</v>
      </c>
      <c r="Q6" s="35" t="s">
        <v>53</v>
      </c>
    </row>
    <row r="7" spans="3:17" x14ac:dyDescent="0.25">
      <c r="C7" s="29" t="s">
        <v>77</v>
      </c>
      <c r="D7" s="28">
        <f>E7*(1-H7)</f>
        <v>0.9850000000000001</v>
      </c>
      <c r="E7" s="28">
        <f>Error_Calculation!N19/Component_Selection!E83</f>
        <v>1.5</v>
      </c>
      <c r="F7" s="28">
        <f>E7*(1+H7)</f>
        <v>2.0149999999999997</v>
      </c>
      <c r="G7" s="6" t="s">
        <v>26</v>
      </c>
      <c r="H7" s="41">
        <f>Error_Calculation!Q19+Component_Selection!F83</f>
        <v>0.34333333333333332</v>
      </c>
      <c r="L7" s="14" t="s">
        <v>40</v>
      </c>
      <c r="M7" s="7">
        <v>0.98499999999999999</v>
      </c>
      <c r="N7" s="7">
        <v>1</v>
      </c>
      <c r="O7" s="7">
        <v>1.0149999999999999</v>
      </c>
      <c r="P7" s="8" t="s">
        <v>4</v>
      </c>
      <c r="Q7" s="36">
        <f t="shared" ref="Q7:Q12" si="0">(O7-N7)/N7</f>
        <v>1.4999999999999902E-2</v>
      </c>
    </row>
    <row r="8" spans="3:17" x14ac:dyDescent="0.25">
      <c r="C8" s="29" t="s">
        <v>40</v>
      </c>
      <c r="D8" s="28">
        <f>E8*(1-H8)</f>
        <v>35.965206405693955</v>
      </c>
      <c r="E8" s="28">
        <f>(Component_Selection!E84+Component_Selection!E85)/Component_Selection!E85*Error_Calculation!$N$7</f>
        <v>36.587188612099645</v>
      </c>
      <c r="F8" s="28">
        <f>E8*(1+H8)</f>
        <v>37.209170818505335</v>
      </c>
      <c r="G8" s="6" t="s">
        <v>4</v>
      </c>
      <c r="H8" s="41">
        <f>Component_Selection!F84+Component_Selection!F85+Error_Calculation!Q7</f>
        <v>1.6999999999999904E-2</v>
      </c>
      <c r="L8" s="15" t="s">
        <v>42</v>
      </c>
      <c r="M8" s="1">
        <v>0.98</v>
      </c>
      <c r="N8" s="1">
        <v>1</v>
      </c>
      <c r="O8" s="1">
        <v>1.02</v>
      </c>
      <c r="P8" s="6" t="s">
        <v>4</v>
      </c>
      <c r="Q8" s="36">
        <f t="shared" si="0"/>
        <v>2.0000000000000018E-2</v>
      </c>
    </row>
    <row r="9" spans="3:17" x14ac:dyDescent="0.25">
      <c r="C9" s="29" t="s">
        <v>71</v>
      </c>
      <c r="D9" s="28">
        <f>E9*(1-H9)</f>
        <v>1.7580000000000002</v>
      </c>
      <c r="E9" s="28">
        <f>Error_Calculation!$N$9*Component_Selection!E84*0.001</f>
        <v>2</v>
      </c>
      <c r="F9" s="28">
        <f>E9*(1+H9)</f>
        <v>2.242</v>
      </c>
      <c r="G9" s="6" t="s">
        <v>4</v>
      </c>
      <c r="H9" s="41">
        <f>Component_Selection!F84+Error_Calculation!Q9</f>
        <v>0.12099999999999993</v>
      </c>
      <c r="L9" s="15" t="s">
        <v>5</v>
      </c>
      <c r="M9" s="1">
        <v>9</v>
      </c>
      <c r="N9" s="1">
        <v>10</v>
      </c>
      <c r="O9" s="1">
        <v>11.2</v>
      </c>
      <c r="P9" s="6" t="s">
        <v>7</v>
      </c>
      <c r="Q9" s="36">
        <f t="shared" si="0"/>
        <v>0.11999999999999993</v>
      </c>
    </row>
    <row r="10" spans="3:17" x14ac:dyDescent="0.25">
      <c r="C10" s="29" t="s">
        <v>59</v>
      </c>
      <c r="D10" s="28">
        <f>D8-F9</f>
        <v>33.723206405693958</v>
      </c>
      <c r="E10" s="28">
        <f>E8-E9</f>
        <v>34.587188612099645</v>
      </c>
      <c r="F10" s="28">
        <f>F8-D9</f>
        <v>35.451170818505332</v>
      </c>
      <c r="G10" s="6" t="s">
        <v>4</v>
      </c>
      <c r="H10" s="41" t="s">
        <v>70</v>
      </c>
      <c r="L10" s="16" t="s">
        <v>6</v>
      </c>
      <c r="M10" s="2">
        <v>9</v>
      </c>
      <c r="N10" s="2">
        <v>10</v>
      </c>
      <c r="O10" s="2">
        <v>11.2</v>
      </c>
      <c r="P10" s="9" t="s">
        <v>7</v>
      </c>
      <c r="Q10" s="36">
        <f t="shared" si="0"/>
        <v>0.11999999999999993</v>
      </c>
    </row>
    <row r="11" spans="3:17" x14ac:dyDescent="0.25">
      <c r="C11" s="29" t="s">
        <v>42</v>
      </c>
      <c r="D11" s="28">
        <f>E11*(1-H11)</f>
        <v>62.95231578947368</v>
      </c>
      <c r="E11" s="28">
        <f>(Component_Selection!E86+Component_Selection!E87)/Component_Selection!E87*Error_Calculation!$N$7</f>
        <v>64.368421052631575</v>
      </c>
      <c r="F11" s="28">
        <f>E11*(1+H11)</f>
        <v>65.784526315789478</v>
      </c>
      <c r="G11" s="6" t="s">
        <v>4</v>
      </c>
      <c r="H11" s="41">
        <f>Component_Selection!F86+Component_Selection!F87+Error_Calculation!Q8</f>
        <v>2.200000000000002E-2</v>
      </c>
      <c r="L11" s="15" t="s">
        <v>8</v>
      </c>
      <c r="M11" s="1">
        <v>1.47</v>
      </c>
      <c r="N11" s="1">
        <v>1.5</v>
      </c>
      <c r="O11" s="1">
        <v>1.53</v>
      </c>
      <c r="P11" s="6" t="s">
        <v>4</v>
      </c>
      <c r="Q11" s="36">
        <f t="shared" si="0"/>
        <v>2.0000000000000018E-2</v>
      </c>
    </row>
    <row r="12" spans="3:17" x14ac:dyDescent="0.25">
      <c r="C12" s="29" t="s">
        <v>72</v>
      </c>
      <c r="D12" s="28">
        <f>E12*(1-H12)</f>
        <v>2.6457900000000008</v>
      </c>
      <c r="E12" s="28">
        <f>Error_Calculation!$N$9*Component_Selection!E86*0.001</f>
        <v>3.0100000000000002</v>
      </c>
      <c r="F12" s="28">
        <f>E12*(1+H12)</f>
        <v>3.3742100000000002</v>
      </c>
      <c r="G12" s="6" t="s">
        <v>4</v>
      </c>
      <c r="H12" s="41">
        <f>Component_Selection!F86+Error_Calculation!Q10</f>
        <v>0.12099999999999993</v>
      </c>
      <c r="L12" s="15" t="s">
        <v>9</v>
      </c>
      <c r="M12" s="1">
        <f>0.98*N12</f>
        <v>0.73499999999999999</v>
      </c>
      <c r="N12" s="1">
        <v>0.75</v>
      </c>
      <c r="O12" s="1">
        <f>N12*1.02</f>
        <v>0.76500000000000001</v>
      </c>
      <c r="P12" s="6" t="s">
        <v>4</v>
      </c>
      <c r="Q12" s="36">
        <f t="shared" si="0"/>
        <v>2.0000000000000018E-2</v>
      </c>
    </row>
    <row r="13" spans="3:17" x14ac:dyDescent="0.25">
      <c r="C13" s="29" t="s">
        <v>41</v>
      </c>
      <c r="D13" s="28">
        <f>D11-F12</f>
        <v>59.578105789473682</v>
      </c>
      <c r="E13" s="28">
        <f>E11-E12</f>
        <v>61.358421052631577</v>
      </c>
      <c r="F13" s="28">
        <f>F11-D12</f>
        <v>63.13873631578948</v>
      </c>
      <c r="G13" s="6" t="s">
        <v>4</v>
      </c>
      <c r="H13" s="41" t="s">
        <v>70</v>
      </c>
      <c r="L13" s="17" t="s">
        <v>27</v>
      </c>
      <c r="M13" s="10">
        <v>1.5</v>
      </c>
      <c r="Q13" s="36"/>
    </row>
    <row r="14" spans="3:17" x14ac:dyDescent="0.25">
      <c r="C14" s="29" t="s">
        <v>60</v>
      </c>
      <c r="D14" s="28">
        <f>E14*(1-H14)</f>
        <v>18.785999999999998</v>
      </c>
      <c r="E14" s="28">
        <f>(Component_Selection!E88+Error_Calculation!N17)/Error_Calculation!N17*Error_Calculation!N16</f>
        <v>20.2</v>
      </c>
      <c r="F14" s="28">
        <f>E14*(1+H14)</f>
        <v>21.614000000000001</v>
      </c>
      <c r="G14" s="11" t="s">
        <v>4</v>
      </c>
      <c r="H14" s="36">
        <f>Error_Calculation!Q16+Error_Calculation!Q17</f>
        <v>7.0000000000000021E-2</v>
      </c>
      <c r="L14" s="15" t="s">
        <v>10</v>
      </c>
      <c r="M14" s="1">
        <v>9</v>
      </c>
      <c r="N14" s="1">
        <v>10</v>
      </c>
      <c r="O14" s="1">
        <v>11</v>
      </c>
      <c r="P14" s="6" t="s">
        <v>7</v>
      </c>
      <c r="Q14" s="36">
        <f>(O14-N14)/N14</f>
        <v>0.1</v>
      </c>
    </row>
    <row r="15" spans="3:17" x14ac:dyDescent="0.25">
      <c r="C15" s="29" t="s">
        <v>67</v>
      </c>
      <c r="D15" s="28">
        <f>E15*(1-H15)</f>
        <v>0.1657674418604651</v>
      </c>
      <c r="E15" s="28">
        <f>Component_Selection!F16*Error_Calculation!N22/Component_Selection!E89*0.001</f>
        <v>0.3683720930232558</v>
      </c>
      <c r="F15" s="28">
        <f>E15*(1+H15)</f>
        <v>0.57097674418604649</v>
      </c>
      <c r="G15" s="6" t="s">
        <v>26</v>
      </c>
      <c r="H15" s="41">
        <f>Component_Selection!F89+Error_Calculation!Q22</f>
        <v>0.55000000000000004</v>
      </c>
      <c r="L15" s="16" t="s">
        <v>11</v>
      </c>
      <c r="M15" s="2">
        <v>45</v>
      </c>
      <c r="N15" s="2">
        <v>50</v>
      </c>
      <c r="O15" s="2">
        <v>55</v>
      </c>
      <c r="P15" s="9" t="s">
        <v>7</v>
      </c>
      <c r="Q15" s="36">
        <f>(O15-N15)/N15</f>
        <v>0.1</v>
      </c>
    </row>
    <row r="16" spans="3:17" x14ac:dyDescent="0.25">
      <c r="C16" s="29" t="s">
        <v>63</v>
      </c>
      <c r="D16" s="28">
        <f>E16*(1-H16)</f>
        <v>1.7550000000000001</v>
      </c>
      <c r="E16" s="19">
        <f>Component_Selection!E91*Error_Calculation!N11/Error_Calculation!N14</f>
        <v>2.25</v>
      </c>
      <c r="F16" s="28">
        <f>E16*(1+H16)</f>
        <v>2.7450000000000001</v>
      </c>
      <c r="G16" s="11" t="s">
        <v>55</v>
      </c>
      <c r="H16" s="36">
        <f>Error_Calculation!Q11+Error_Calculation!Q14+Component_Selection!F91</f>
        <v>0.22000000000000003</v>
      </c>
      <c r="L16" s="17" t="s">
        <v>12</v>
      </c>
      <c r="M16" s="1">
        <v>1.47</v>
      </c>
      <c r="N16" s="1">
        <v>1.5</v>
      </c>
      <c r="O16" s="1">
        <v>1.53</v>
      </c>
      <c r="P16" s="11" t="s">
        <v>4</v>
      </c>
      <c r="Q16" s="36">
        <f>(O16-N16)/N16</f>
        <v>2.0000000000000018E-2</v>
      </c>
    </row>
    <row r="17" spans="3:18" x14ac:dyDescent="0.25">
      <c r="C17" s="29" t="s">
        <v>62</v>
      </c>
      <c r="D17" s="28">
        <f>E17*(1-H17)</f>
        <v>0.87750000000000006</v>
      </c>
      <c r="E17" s="19">
        <f>Error_Calculation!N12*Component_Selection!E91/Error_Calculation!N14</f>
        <v>1.125</v>
      </c>
      <c r="F17" s="28">
        <f>E17*(1+H17)</f>
        <v>1.3725000000000001</v>
      </c>
      <c r="G17" s="11" t="s">
        <v>55</v>
      </c>
      <c r="H17" s="36">
        <f>Error_Calculation!Q12+Error_Calculation!Q14+Component_Selection!F91</f>
        <v>0.22000000000000003</v>
      </c>
      <c r="L17" s="18" t="s">
        <v>13</v>
      </c>
      <c r="M17" s="2">
        <v>28.5</v>
      </c>
      <c r="N17" s="12">
        <v>30</v>
      </c>
      <c r="O17" s="2">
        <v>31.5</v>
      </c>
      <c r="P17" s="13" t="s">
        <v>14</v>
      </c>
      <c r="Q17" s="36">
        <f>(O17-N17)/N17</f>
        <v>0.05</v>
      </c>
    </row>
    <row r="18" spans="3:18" x14ac:dyDescent="0.25">
      <c r="C18" s="34" t="s">
        <v>61</v>
      </c>
      <c r="D18" s="28">
        <f>E18*(1-H18)</f>
        <v>0.17550000000000002</v>
      </c>
      <c r="E18" s="19">
        <f>Component_Selection!E91*Error_Calculation!N12/Error_Calculation!N15</f>
        <v>0.22500000000000001</v>
      </c>
      <c r="F18" s="28">
        <f>E18*(1+H18)</f>
        <v>0.27450000000000002</v>
      </c>
      <c r="G18" s="11" t="s">
        <v>55</v>
      </c>
      <c r="H18" s="36">
        <f>Error_Calculation!Q12+Error_Calculation!Q15+Component_Selection!F91</f>
        <v>0.22000000000000003</v>
      </c>
      <c r="L18" s="17"/>
      <c r="M18" s="1"/>
      <c r="N18" s="10"/>
      <c r="O18" s="1"/>
      <c r="P18" s="11"/>
      <c r="Q18" s="36"/>
    </row>
    <row r="19" spans="3:18" x14ac:dyDescent="0.25">
      <c r="C19" s="31" t="s">
        <v>73</v>
      </c>
      <c r="D19" s="38" t="s">
        <v>0</v>
      </c>
      <c r="E19" s="38" t="s">
        <v>1</v>
      </c>
      <c r="F19" s="39" t="s">
        <v>2</v>
      </c>
      <c r="G19" s="27"/>
      <c r="H19" s="40" t="s">
        <v>69</v>
      </c>
      <c r="L19" s="17" t="s">
        <v>16</v>
      </c>
      <c r="M19" s="10">
        <v>2</v>
      </c>
      <c r="N19" s="10">
        <v>3</v>
      </c>
      <c r="O19" s="10">
        <v>4</v>
      </c>
      <c r="P19" s="11" t="s">
        <v>17</v>
      </c>
      <c r="Q19" s="36">
        <f>(O19-N19)/N19</f>
        <v>0.33333333333333331</v>
      </c>
    </row>
    <row r="20" spans="3:18" x14ac:dyDescent="0.25">
      <c r="C20" s="29" t="s">
        <v>76</v>
      </c>
      <c r="D20" s="28">
        <f>E20*(1-H20)</f>
        <v>11.984611796797791</v>
      </c>
      <c r="E20" s="28">
        <f>H2/Component_Selection!E83</f>
        <v>12.5</v>
      </c>
      <c r="F20" s="28">
        <f>E20*(1+H20)</f>
        <v>13.015388203202209</v>
      </c>
      <c r="G20" s="6" t="s">
        <v>26</v>
      </c>
      <c r="H20" s="41">
        <f>SQRT(Error_Calculation!Q20^2+Component_Selection!F83^2)</f>
        <v>4.123105625617661E-2</v>
      </c>
      <c r="L20" s="17" t="s">
        <v>15</v>
      </c>
      <c r="M20" s="10">
        <v>24</v>
      </c>
      <c r="N20" s="10">
        <v>25</v>
      </c>
      <c r="O20" s="10">
        <v>26</v>
      </c>
      <c r="P20" s="11" t="s">
        <v>17</v>
      </c>
      <c r="Q20" s="36">
        <f>(O20-N20)/N20</f>
        <v>0.04</v>
      </c>
    </row>
    <row r="21" spans="3:18" x14ac:dyDescent="0.25">
      <c r="C21" s="29" t="s">
        <v>77</v>
      </c>
      <c r="D21" s="28">
        <f>E21*(1-H21)</f>
        <v>0.9997750506022316</v>
      </c>
      <c r="E21" s="28">
        <f>Error_Calculation!N19/Component_Selection!E83</f>
        <v>1.5</v>
      </c>
      <c r="F21" s="28">
        <f>E21*(1+H21)</f>
        <v>2.0002249493977686</v>
      </c>
      <c r="G21" s="6" t="s">
        <v>26</v>
      </c>
      <c r="H21" s="41">
        <f>SQRT(Error_Calculation!Q19^2+Component_Selection!F83^2)</f>
        <v>0.33348329959851231</v>
      </c>
      <c r="L21" s="17" t="s">
        <v>15</v>
      </c>
      <c r="M21" s="10">
        <v>38.4</v>
      </c>
      <c r="N21" s="10">
        <v>40</v>
      </c>
      <c r="O21" s="10">
        <v>41.6</v>
      </c>
      <c r="P21" s="11" t="s">
        <v>17</v>
      </c>
      <c r="Q21" s="36">
        <f>(O21-N21)/N21</f>
        <v>4.0000000000000036E-2</v>
      </c>
    </row>
    <row r="22" spans="3:18" x14ac:dyDescent="0.25">
      <c r="C22" s="29" t="s">
        <v>40</v>
      </c>
      <c r="D22" s="28">
        <f>E22*(1-H22)</f>
        <v>36.035947033377596</v>
      </c>
      <c r="E22" s="28">
        <f>(Component_Selection!E84+Component_Selection!E85)/Component_Selection!E85*Error_Calculation!$N$7</f>
        <v>36.587188612099645</v>
      </c>
      <c r="F22" s="28">
        <f>E22*(1+H22)</f>
        <v>37.138430190821694</v>
      </c>
      <c r="G22" s="6" t="s">
        <v>4</v>
      </c>
      <c r="H22" s="41">
        <f>SQRT(Component_Selection!F84^2+Component_Selection!F85^2+Error_Calculation!Q7^2)</f>
        <v>1.5066519173319266E-2</v>
      </c>
      <c r="L22" s="17" t="s">
        <v>51</v>
      </c>
      <c r="M22" s="10">
        <v>15</v>
      </c>
      <c r="N22" s="10">
        <v>20</v>
      </c>
      <c r="O22" s="10">
        <v>25</v>
      </c>
      <c r="P22" s="11" t="s">
        <v>7</v>
      </c>
      <c r="Q22" s="36">
        <f>(O22-N22)/N22</f>
        <v>0.25</v>
      </c>
    </row>
    <row r="23" spans="3:18" x14ac:dyDescent="0.25">
      <c r="C23" s="29" t="s">
        <v>71</v>
      </c>
      <c r="D23" s="28">
        <f>E23*(1-H23)</f>
        <v>1.7599916668113378</v>
      </c>
      <c r="E23" s="28">
        <f>Error_Calculation!$N$9*Component_Selection!E84*0.001</f>
        <v>2</v>
      </c>
      <c r="F23" s="28">
        <f>E23*(1+H23)</f>
        <v>2.2400083331886624</v>
      </c>
      <c r="G23" s="6" t="s">
        <v>4</v>
      </c>
      <c r="H23" s="41">
        <f>SQRT(Component_Selection!F84^2+Error_Calculation!Q9^2)</f>
        <v>0.12000416659433114</v>
      </c>
      <c r="L23" s="17" t="s">
        <v>52</v>
      </c>
      <c r="N23" s="10">
        <v>400</v>
      </c>
      <c r="P23" s="11" t="s">
        <v>7</v>
      </c>
      <c r="Q23" s="36"/>
    </row>
    <row r="24" spans="3:18" x14ac:dyDescent="0.25">
      <c r="C24" s="29" t="s">
        <v>59</v>
      </c>
      <c r="D24" s="28">
        <f>D22-F23</f>
        <v>33.795938700188934</v>
      </c>
      <c r="E24" s="28">
        <f>E22-E23</f>
        <v>34.587188612099645</v>
      </c>
      <c r="F24" s="28">
        <f>F22-D23</f>
        <v>35.378438524010356</v>
      </c>
      <c r="G24" s="6" t="s">
        <v>4</v>
      </c>
      <c r="H24" s="41" t="s">
        <v>70</v>
      </c>
      <c r="L24" s="17"/>
      <c r="N24" s="10"/>
      <c r="P24" s="11"/>
      <c r="Q24" s="36"/>
    </row>
    <row r="25" spans="3:18" x14ac:dyDescent="0.25">
      <c r="C25" s="29" t="s">
        <v>42</v>
      </c>
      <c r="D25" s="28">
        <f>E25*(1-H25)</f>
        <v>63.077838223526378</v>
      </c>
      <c r="E25" s="28">
        <f>(Component_Selection!E86+Component_Selection!E87)/Component_Selection!E87*Error_Calculation!$N$7</f>
        <v>64.368421052631575</v>
      </c>
      <c r="F25" s="28">
        <f>E25*(1+H25)</f>
        <v>65.659003881736766</v>
      </c>
      <c r="G25" s="6" t="s">
        <v>4</v>
      </c>
      <c r="H25" s="41">
        <f>SQRT(Component_Selection!F86^2+Component_Selection!F87^2+Error_Calculation!Q8^2)</f>
        <v>2.004993765576344E-2</v>
      </c>
      <c r="L25" s="17" t="s">
        <v>122</v>
      </c>
      <c r="N25" s="10"/>
      <c r="O25">
        <v>1.1000000000000001</v>
      </c>
      <c r="P25" s="11" t="s">
        <v>123</v>
      </c>
      <c r="Q25" s="36"/>
    </row>
    <row r="26" spans="3:18" x14ac:dyDescent="0.25">
      <c r="C26" s="29" t="s">
        <v>72</v>
      </c>
      <c r="D26" s="28">
        <f>E26*(1-H26)</f>
        <v>2.6487874585510638</v>
      </c>
      <c r="E26" s="28">
        <f>Error_Calculation!$N$9*Component_Selection!E86*0.001</f>
        <v>3.0100000000000002</v>
      </c>
      <c r="F26" s="28">
        <f>E26*(1+H26)</f>
        <v>3.3712125414489371</v>
      </c>
      <c r="G26" s="6" t="s">
        <v>4</v>
      </c>
      <c r="H26" s="41">
        <f>SQRT(Component_Selection!F86^2+Error_Calculation!Q10^2)</f>
        <v>0.12000416659433114</v>
      </c>
      <c r="L26" s="17" t="s">
        <v>124</v>
      </c>
      <c r="M26">
        <v>10</v>
      </c>
      <c r="N26" s="10">
        <v>14.5</v>
      </c>
      <c r="P26" s="11"/>
      <c r="Q26" s="36"/>
    </row>
    <row r="27" spans="3:18" x14ac:dyDescent="0.25">
      <c r="C27" s="29" t="s">
        <v>41</v>
      </c>
      <c r="D27" s="28">
        <f>D25-F26</f>
        <v>59.706625682077444</v>
      </c>
      <c r="E27" s="28">
        <f>E25-E26</f>
        <v>61.358421052631577</v>
      </c>
      <c r="F27" s="28">
        <f>F25-D26</f>
        <v>63.010216423185703</v>
      </c>
      <c r="G27" s="6" t="s">
        <v>4</v>
      </c>
      <c r="H27" s="41" t="s">
        <v>70</v>
      </c>
      <c r="L27" s="17"/>
      <c r="M27" s="10"/>
      <c r="N27" s="10"/>
      <c r="O27" s="10"/>
      <c r="P27" s="11"/>
      <c r="Q27" s="36"/>
    </row>
    <row r="28" spans="3:18" x14ac:dyDescent="0.25">
      <c r="C28" s="29" t="s">
        <v>60</v>
      </c>
      <c r="D28" s="28">
        <f>E28*(1-H28)</f>
        <v>19.11219670895883</v>
      </c>
      <c r="E28" s="28">
        <f>(Component_Selection!E88+Error_Calculation!N17)/Error_Calculation!N17*Error_Calculation!N16</f>
        <v>20.2</v>
      </c>
      <c r="F28" s="28">
        <f>E28*(1+H28)</f>
        <v>21.287803291041172</v>
      </c>
      <c r="G28" s="11" t="s">
        <v>4</v>
      </c>
      <c r="H28" s="36">
        <f>SQRT(Error_Calculation!Q16^2+Error_Calculation!Q17^2)</f>
        <v>5.385164807134505E-2</v>
      </c>
      <c r="L28" s="70"/>
      <c r="M28" s="10"/>
      <c r="N28" s="10"/>
      <c r="O28" s="10"/>
      <c r="P28" s="10"/>
      <c r="Q28" s="36"/>
      <c r="R28">
        <f>(33-10)/(1.1*1.2)</f>
        <v>17.424242424242422</v>
      </c>
    </row>
    <row r="29" spans="3:18" x14ac:dyDescent="0.25">
      <c r="C29" s="29" t="s">
        <v>67</v>
      </c>
      <c r="D29" s="28">
        <f>E29*(1-H29)</f>
        <v>0.22451819201585885</v>
      </c>
      <c r="E29" s="28">
        <f>Component_Selection!F16*Error_Calculation!N22/Component_Selection!E89*0.001</f>
        <v>0.3683720930232558</v>
      </c>
      <c r="F29" s="28">
        <f>E29*(1+H29)</f>
        <v>0.51222599403065272</v>
      </c>
      <c r="G29" s="6" t="s">
        <v>26</v>
      </c>
      <c r="H29" s="41">
        <f>SQRT(Component_Selection!F89^2+Error_Calculation!Q22^2)</f>
        <v>0.39051248379533271</v>
      </c>
      <c r="L29" s="70" t="s">
        <v>166</v>
      </c>
      <c r="M29" s="10"/>
      <c r="N29" s="10"/>
      <c r="O29" s="10">
        <v>1</v>
      </c>
      <c r="P29" s="10" t="s">
        <v>167</v>
      </c>
    </row>
    <row r="30" spans="3:18" x14ac:dyDescent="0.25">
      <c r="C30" s="29" t="s">
        <v>63</v>
      </c>
      <c r="D30" s="28">
        <f>E30*(1-H30)</f>
        <v>1.9286357207155718</v>
      </c>
      <c r="E30" s="19">
        <f>Component_Selection!E91*Error_Calculation!N11/Error_Calculation!N14</f>
        <v>2.25</v>
      </c>
      <c r="F30" s="28">
        <f>E30*(1+H30)</f>
        <v>2.5713642792844285</v>
      </c>
      <c r="G30" s="11" t="s">
        <v>55</v>
      </c>
      <c r="H30" s="36">
        <f>SQRT(Error_Calculation!Q11^2+Error_Calculation!Q14^2+Component_Selection!F91^2)</f>
        <v>0.14282856857085702</v>
      </c>
    </row>
    <row r="31" spans="3:18" x14ac:dyDescent="0.25">
      <c r="C31" s="29" t="s">
        <v>62</v>
      </c>
      <c r="D31" s="28">
        <f>E31*(1-H31)</f>
        <v>0.96431786035778588</v>
      </c>
      <c r="E31" s="19">
        <f>Error_Calculation!N12*Component_Selection!E91/Error_Calculation!N14</f>
        <v>1.125</v>
      </c>
      <c r="F31" s="28">
        <f>E31*(1+H31)</f>
        <v>1.2856821396422142</v>
      </c>
      <c r="G31" s="11" t="s">
        <v>55</v>
      </c>
      <c r="H31" s="36">
        <f>SQRT(Error_Calculation!Q12^2+Error_Calculation!Q14^2+Component_Selection!F91^2)</f>
        <v>0.14282856857085702</v>
      </c>
    </row>
    <row r="32" spans="3:18" x14ac:dyDescent="0.25">
      <c r="C32" s="42" t="s">
        <v>61</v>
      </c>
      <c r="D32" s="43">
        <f>E32*(1-H32)</f>
        <v>0.19286357207155719</v>
      </c>
      <c r="E32" s="44">
        <f>Component_Selection!E91*Error_Calculation!N12/Error_Calculation!N15</f>
        <v>0.22500000000000001</v>
      </c>
      <c r="F32" s="43">
        <f>E32*(1+H32)</f>
        <v>0.25713642792844282</v>
      </c>
      <c r="G32" s="13" t="s">
        <v>55</v>
      </c>
      <c r="H32" s="45">
        <f>SQRT(Error_Calculation!Q12^2+Error_Calculation!Q15^2+Component_Selection!F91^2)</f>
        <v>0.14282856857085702</v>
      </c>
    </row>
  </sheetData>
  <mergeCells count="1">
    <mergeCell ref="L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V38"/>
  <sheetViews>
    <sheetView zoomScale="70" zoomScaleNormal="70" workbookViewId="0">
      <selection activeCell="D12" sqref="D12"/>
    </sheetView>
  </sheetViews>
  <sheetFormatPr defaultRowHeight="15" x14ac:dyDescent="0.25"/>
  <cols>
    <col min="3" max="3" width="11.7109375" customWidth="1"/>
    <col min="5" max="5" width="12.140625" customWidth="1"/>
  </cols>
  <sheetData>
    <row r="3" spans="2:22" x14ac:dyDescent="0.25">
      <c r="B3" s="179" t="s">
        <v>188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</row>
    <row r="4" spans="2:22" x14ac:dyDescent="0.25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6" spans="2:22" x14ac:dyDescent="0.25">
      <c r="C6" t="s">
        <v>26</v>
      </c>
      <c r="D6">
        <v>20</v>
      </c>
      <c r="E6" t="s">
        <v>162</v>
      </c>
    </row>
    <row r="7" spans="2:22" x14ac:dyDescent="0.25">
      <c r="C7" t="s">
        <v>158</v>
      </c>
      <c r="D7">
        <v>30</v>
      </c>
      <c r="E7" t="s">
        <v>50</v>
      </c>
    </row>
    <row r="8" spans="2:22" x14ac:dyDescent="0.25">
      <c r="C8" t="s">
        <v>159</v>
      </c>
      <c r="D8">
        <v>130</v>
      </c>
      <c r="E8" t="s">
        <v>50</v>
      </c>
    </row>
    <row r="9" spans="2:22" x14ac:dyDescent="0.25">
      <c r="C9" t="s">
        <v>160</v>
      </c>
      <c r="D9">
        <v>20</v>
      </c>
      <c r="E9" t="s">
        <v>7</v>
      </c>
    </row>
    <row r="10" spans="2:22" x14ac:dyDescent="0.25">
      <c r="C10" t="s">
        <v>161</v>
      </c>
      <c r="D10">
        <v>1.5</v>
      </c>
      <c r="E10" t="s">
        <v>26</v>
      </c>
    </row>
    <row r="11" spans="2:22" x14ac:dyDescent="0.25">
      <c r="C11" t="s">
        <v>166</v>
      </c>
      <c r="D11">
        <v>1</v>
      </c>
      <c r="E11" t="s">
        <v>167</v>
      </c>
    </row>
    <row r="12" spans="2:22" x14ac:dyDescent="0.25">
      <c r="C12" t="s">
        <v>80</v>
      </c>
      <c r="D12">
        <v>60</v>
      </c>
      <c r="E12" t="s">
        <v>4</v>
      </c>
    </row>
    <row r="14" spans="2:22" x14ac:dyDescent="0.25">
      <c r="B14" t="s">
        <v>112</v>
      </c>
      <c r="C14" s="90" t="s">
        <v>157</v>
      </c>
      <c r="D14" s="90" t="s">
        <v>81</v>
      </c>
      <c r="E14" s="90" t="s">
        <v>168</v>
      </c>
      <c r="F14" s="90" t="s">
        <v>164</v>
      </c>
      <c r="G14" s="90" t="s">
        <v>169</v>
      </c>
      <c r="H14" s="90" t="s">
        <v>172</v>
      </c>
      <c r="I14" s="90" t="s">
        <v>165</v>
      </c>
      <c r="J14" s="90" t="s">
        <v>170</v>
      </c>
      <c r="K14" s="90" t="s">
        <v>171</v>
      </c>
      <c r="L14" s="90" t="s">
        <v>174</v>
      </c>
    </row>
    <row r="15" spans="2:22" x14ac:dyDescent="0.25">
      <c r="C15">
        <f>I15/$D$9</f>
        <v>0</v>
      </c>
      <c r="D15">
        <v>0</v>
      </c>
      <c r="E15">
        <f>$D$11*D15</f>
        <v>0</v>
      </c>
      <c r="F15">
        <f>SQRT(D15/$D$6)</f>
        <v>0</v>
      </c>
      <c r="G15">
        <f>E15*$D$7</f>
        <v>0</v>
      </c>
      <c r="H15">
        <f>F15*($D$8+$D$7)</f>
        <v>0</v>
      </c>
      <c r="I15">
        <f>G15+H15</f>
        <v>0</v>
      </c>
      <c r="J15">
        <f>$D$12-E15</f>
        <v>60</v>
      </c>
      <c r="K15">
        <f>J15*D15</f>
        <v>0</v>
      </c>
    </row>
    <row r="16" spans="2:22" x14ac:dyDescent="0.25">
      <c r="B16">
        <f>(D16-D15)/(C16-C15)</f>
        <v>0.12450241601868393</v>
      </c>
      <c r="C16">
        <f t="shared" ref="C16" si="0">I16/$D$9</f>
        <v>0.60239794855663564</v>
      </c>
      <c r="D16">
        <f>D15+$D$10*0.05</f>
        <v>7.5000000000000011E-2</v>
      </c>
      <c r="E16">
        <f t="shared" ref="E16:E35" si="1">$D$11*D16</f>
        <v>7.5000000000000011E-2</v>
      </c>
      <c r="F16">
        <f t="shared" ref="F16" si="2">SQRT(D16/$D$6)</f>
        <v>6.1237243569579457E-2</v>
      </c>
      <c r="G16">
        <f t="shared" ref="G16" si="3">E16*$D$7</f>
        <v>2.2500000000000004</v>
      </c>
      <c r="H16">
        <f t="shared" ref="H16:H35" si="4">F16*($D$8+$D$7)</f>
        <v>9.7979589711327133</v>
      </c>
      <c r="I16">
        <f t="shared" ref="I16" si="5">G16+H16</f>
        <v>12.047958971132713</v>
      </c>
      <c r="J16">
        <f t="shared" ref="J16" si="6">$D$12-E16</f>
        <v>59.924999999999997</v>
      </c>
      <c r="K16">
        <f t="shared" ref="K16" si="7">J16*D16</f>
        <v>4.4943750000000007</v>
      </c>
      <c r="L16">
        <f>AVERAGE(K16,K15)*(C16-C15)</f>
        <v>1.3537011400221148</v>
      </c>
    </row>
    <row r="17" spans="2:12" x14ac:dyDescent="0.25">
      <c r="B17">
        <f t="shared" ref="B17:B30" si="8">(D17-D16)/(C17-C16)</f>
        <v>0.23777641052193541</v>
      </c>
      <c r="C17">
        <f t="shared" ref="C17:C31" si="9">I17/$D$9</f>
        <v>0.91782032302755101</v>
      </c>
      <c r="D17">
        <f t="shared" ref="D17:D30" si="10">D16+$D$10*0.05</f>
        <v>0.15000000000000002</v>
      </c>
      <c r="E17">
        <f t="shared" si="1"/>
        <v>0.15000000000000002</v>
      </c>
      <c r="F17">
        <f t="shared" ref="F17:F31" si="11">SQRT(D17/$D$6)</f>
        <v>8.6602540378443879E-2</v>
      </c>
      <c r="G17">
        <f t="shared" ref="G17:G31" si="12">E17*$D$7</f>
        <v>4.5000000000000009</v>
      </c>
      <c r="H17">
        <f t="shared" si="4"/>
        <v>13.856406460551021</v>
      </c>
      <c r="I17">
        <f>G17+H17</f>
        <v>18.356406460551021</v>
      </c>
      <c r="J17">
        <f t="shared" ref="J17:J31" si="13">$D$12-E17</f>
        <v>59.85</v>
      </c>
      <c r="K17">
        <f t="shared" ref="K17:K31" si="14">J17*D17</f>
        <v>8.9775000000000009</v>
      </c>
      <c r="L17">
        <f t="shared" ref="L17:L35" si="15">AVERAGE(K17,K16)*(C17-C16)</f>
        <v>2.1246654005376815</v>
      </c>
    </row>
    <row r="18" spans="2:12" x14ac:dyDescent="0.25">
      <c r="B18">
        <f t="shared" si="8"/>
        <v>0.27963391062565912</v>
      </c>
      <c r="C18">
        <f t="shared" si="9"/>
        <v>1.186028137423857</v>
      </c>
      <c r="D18">
        <f t="shared" si="10"/>
        <v>0.22500000000000003</v>
      </c>
      <c r="E18">
        <f t="shared" si="1"/>
        <v>0.22500000000000003</v>
      </c>
      <c r="F18">
        <f t="shared" si="11"/>
        <v>0.10606601717798214</v>
      </c>
      <c r="G18">
        <f t="shared" si="12"/>
        <v>6.7500000000000009</v>
      </c>
      <c r="H18">
        <f t="shared" si="4"/>
        <v>16.970562748477143</v>
      </c>
      <c r="I18">
        <f>G18+H18</f>
        <v>23.720562748477143</v>
      </c>
      <c r="J18">
        <f t="shared" si="13"/>
        <v>59.774999999999999</v>
      </c>
      <c r="K18">
        <f t="shared" si="14"/>
        <v>13.449375000000002</v>
      </c>
      <c r="L18">
        <f t="shared" si="15"/>
        <v>3.0075315637445783</v>
      </c>
    </row>
    <row r="19" spans="2:12" x14ac:dyDescent="0.25">
      <c r="B19">
        <f t="shared" si="8"/>
        <v>0.30766989078275897</v>
      </c>
      <c r="C19">
        <f t="shared" si="9"/>
        <v>1.4297958971132716</v>
      </c>
      <c r="D19">
        <f t="shared" si="10"/>
        <v>0.30000000000000004</v>
      </c>
      <c r="E19">
        <f t="shared" si="1"/>
        <v>0.30000000000000004</v>
      </c>
      <c r="F19">
        <f t="shared" si="11"/>
        <v>0.12247448713915891</v>
      </c>
      <c r="G19">
        <f t="shared" si="12"/>
        <v>9.0000000000000018</v>
      </c>
      <c r="H19">
        <f t="shared" si="4"/>
        <v>19.595917942265427</v>
      </c>
      <c r="I19">
        <f t="shared" ref="I19:I31" si="16">G19+H19</f>
        <v>28.59591794226543</v>
      </c>
      <c r="J19">
        <f t="shared" si="13"/>
        <v>59.7</v>
      </c>
      <c r="K19">
        <f t="shared" si="14"/>
        <v>17.910000000000004</v>
      </c>
      <c r="L19">
        <f t="shared" si="15"/>
        <v>3.8222022945051179</v>
      </c>
    </row>
    <row r="20" spans="2:12" x14ac:dyDescent="0.25">
      <c r="B20">
        <f t="shared" si="8"/>
        <v>0.32873222486276266</v>
      </c>
      <c r="C20">
        <f t="shared" si="9"/>
        <v>1.6579451150103324</v>
      </c>
      <c r="D20">
        <f t="shared" si="10"/>
        <v>0.37500000000000006</v>
      </c>
      <c r="E20">
        <f t="shared" si="1"/>
        <v>0.37500000000000006</v>
      </c>
      <c r="F20">
        <f t="shared" si="11"/>
        <v>0.13693063937629155</v>
      </c>
      <c r="G20">
        <f t="shared" si="12"/>
        <v>11.250000000000002</v>
      </c>
      <c r="H20">
        <f t="shared" si="4"/>
        <v>21.908902300206648</v>
      </c>
      <c r="I20">
        <f t="shared" si="16"/>
        <v>33.158902300206648</v>
      </c>
      <c r="J20">
        <f t="shared" si="13"/>
        <v>59.625</v>
      </c>
      <c r="K20">
        <f t="shared" si="14"/>
        <v>22.359375000000004</v>
      </c>
      <c r="L20">
        <f t="shared" si="15"/>
        <v>4.5937132057267274</v>
      </c>
    </row>
    <row r="21" spans="2:12" x14ac:dyDescent="0.25">
      <c r="B21">
        <f t="shared" si="8"/>
        <v>0.34553472502390375</v>
      </c>
      <c r="C21">
        <f t="shared" si="9"/>
        <v>1.8750000000000004</v>
      </c>
      <c r="D21">
        <f t="shared" si="10"/>
        <v>0.45000000000000007</v>
      </c>
      <c r="E21">
        <f t="shared" si="1"/>
        <v>0.45000000000000007</v>
      </c>
      <c r="F21">
        <f t="shared" si="11"/>
        <v>0.15000000000000002</v>
      </c>
      <c r="G21">
        <f t="shared" si="12"/>
        <v>13.500000000000002</v>
      </c>
      <c r="H21">
        <f t="shared" si="4"/>
        <v>24.000000000000004</v>
      </c>
      <c r="I21">
        <f t="shared" si="16"/>
        <v>37.500000000000007</v>
      </c>
      <c r="J21">
        <f t="shared" si="13"/>
        <v>59.55</v>
      </c>
      <c r="K21">
        <f t="shared" si="14"/>
        <v>26.797500000000003</v>
      </c>
      <c r="L21">
        <f t="shared" si="15"/>
        <v>5.3348699247882454</v>
      </c>
    </row>
    <row r="22" spans="2:12" x14ac:dyDescent="0.25">
      <c r="B22">
        <f t="shared" si="8"/>
        <v>0.3594568353902472</v>
      </c>
      <c r="C22">
        <f t="shared" si="9"/>
        <v>2.0836481396815723</v>
      </c>
      <c r="D22">
        <f t="shared" si="10"/>
        <v>0.52500000000000013</v>
      </c>
      <c r="E22">
        <f t="shared" si="1"/>
        <v>0.52500000000000013</v>
      </c>
      <c r="F22">
        <f t="shared" si="11"/>
        <v>0.16201851746019652</v>
      </c>
      <c r="G22">
        <f t="shared" si="12"/>
        <v>15.750000000000004</v>
      </c>
      <c r="H22">
        <f t="shared" si="4"/>
        <v>25.922962793631442</v>
      </c>
      <c r="I22">
        <f t="shared" si="16"/>
        <v>41.672962793631442</v>
      </c>
      <c r="J22">
        <f t="shared" si="13"/>
        <v>59.475000000000001</v>
      </c>
      <c r="K22">
        <f t="shared" si="14"/>
        <v>31.224375000000009</v>
      </c>
      <c r="L22">
        <f t="shared" si="15"/>
        <v>6.0530781397933504</v>
      </c>
    </row>
    <row r="23" spans="2:12" x14ac:dyDescent="0.25">
      <c r="B23">
        <f t="shared" si="8"/>
        <v>0.37130090292215073</v>
      </c>
      <c r="C23">
        <f t="shared" si="9"/>
        <v>2.2856406460551022</v>
      </c>
      <c r="D23">
        <f t="shared" si="10"/>
        <v>0.60000000000000009</v>
      </c>
      <c r="E23">
        <f t="shared" si="1"/>
        <v>0.60000000000000009</v>
      </c>
      <c r="F23">
        <f t="shared" si="11"/>
        <v>0.17320508075688776</v>
      </c>
      <c r="G23">
        <f t="shared" si="12"/>
        <v>18.000000000000004</v>
      </c>
      <c r="H23">
        <f t="shared" si="4"/>
        <v>27.712812921102042</v>
      </c>
      <c r="I23">
        <f t="shared" si="16"/>
        <v>45.712812921102042</v>
      </c>
      <c r="J23">
        <f t="shared" si="13"/>
        <v>59.4</v>
      </c>
      <c r="K23">
        <f t="shared" si="14"/>
        <v>35.640000000000008</v>
      </c>
      <c r="L23">
        <f t="shared" si="15"/>
        <v>6.753051346674801</v>
      </c>
    </row>
    <row r="24" spans="2:12" x14ac:dyDescent="0.25">
      <c r="B24">
        <f t="shared" si="8"/>
        <v>0.38157608294843942</v>
      </c>
      <c r="C24">
        <f t="shared" si="9"/>
        <v>2.4821938456699071</v>
      </c>
      <c r="D24">
        <f t="shared" si="10"/>
        <v>0.67500000000000004</v>
      </c>
      <c r="E24">
        <f t="shared" si="1"/>
        <v>0.67500000000000004</v>
      </c>
      <c r="F24">
        <f t="shared" si="11"/>
        <v>0.18371173070873836</v>
      </c>
      <c r="G24">
        <f t="shared" si="12"/>
        <v>20.25</v>
      </c>
      <c r="H24">
        <f t="shared" si="4"/>
        <v>29.393876913398138</v>
      </c>
      <c r="I24">
        <f t="shared" si="16"/>
        <v>49.643876913398138</v>
      </c>
      <c r="J24">
        <f t="shared" si="13"/>
        <v>59.325000000000003</v>
      </c>
      <c r="K24">
        <f t="shared" si="14"/>
        <v>40.044375000000002</v>
      </c>
      <c r="L24">
        <f t="shared" si="15"/>
        <v>7.4380030335483758</v>
      </c>
    </row>
    <row r="25" spans="2:12" x14ac:dyDescent="0.25">
      <c r="B25">
        <f t="shared" si="8"/>
        <v>0.39062603187719719</v>
      </c>
      <c r="C25">
        <f t="shared" si="9"/>
        <v>2.6741933384829668</v>
      </c>
      <c r="D25">
        <f t="shared" si="10"/>
        <v>0.75</v>
      </c>
      <c r="E25">
        <f t="shared" si="1"/>
        <v>0.75</v>
      </c>
      <c r="F25">
        <f t="shared" si="11"/>
        <v>0.19364916731037085</v>
      </c>
      <c r="G25">
        <f t="shared" si="12"/>
        <v>22.5</v>
      </c>
      <c r="H25">
        <f t="shared" si="4"/>
        <v>30.983866769659336</v>
      </c>
      <c r="I25">
        <f t="shared" si="16"/>
        <v>53.483866769659336</v>
      </c>
      <c r="J25">
        <f t="shared" si="13"/>
        <v>59.25</v>
      </c>
      <c r="K25">
        <f t="shared" si="14"/>
        <v>44.4375</v>
      </c>
      <c r="L25">
        <f t="shared" si="15"/>
        <v>8.1102385759481557</v>
      </c>
    </row>
    <row r="26" spans="2:12" x14ac:dyDescent="0.25">
      <c r="B26">
        <f t="shared" si="8"/>
        <v>0.39869368292445262</v>
      </c>
      <c r="C26">
        <f t="shared" si="9"/>
        <v>2.8623076809271923</v>
      </c>
      <c r="D26">
        <f t="shared" si="10"/>
        <v>0.82499999999999996</v>
      </c>
      <c r="E26">
        <f t="shared" si="1"/>
        <v>0.82499999999999996</v>
      </c>
      <c r="F26">
        <f t="shared" si="11"/>
        <v>0.20310096011589901</v>
      </c>
      <c r="G26">
        <f t="shared" si="12"/>
        <v>24.75</v>
      </c>
      <c r="H26">
        <f t="shared" si="4"/>
        <v>32.496153618543843</v>
      </c>
      <c r="I26">
        <f t="shared" si="16"/>
        <v>57.246153618543843</v>
      </c>
      <c r="J26">
        <f t="shared" si="13"/>
        <v>59.174999999999997</v>
      </c>
      <c r="K26">
        <f t="shared" si="14"/>
        <v>48.819374999999994</v>
      </c>
      <c r="L26">
        <f t="shared" si="15"/>
        <v>8.7714778595141674</v>
      </c>
    </row>
    <row r="27" spans="2:12" x14ac:dyDescent="0.25">
      <c r="B27">
        <f t="shared" si="8"/>
        <v>0.40595708150431159</v>
      </c>
      <c r="C27">
        <f t="shared" si="9"/>
        <v>3.0470562748477135</v>
      </c>
      <c r="D27">
        <f t="shared" si="10"/>
        <v>0.89999999999999991</v>
      </c>
      <c r="E27">
        <f t="shared" si="1"/>
        <v>0.89999999999999991</v>
      </c>
      <c r="F27">
        <f t="shared" si="11"/>
        <v>0.21213203435596426</v>
      </c>
      <c r="G27">
        <f t="shared" si="12"/>
        <v>26.999999999999996</v>
      </c>
      <c r="H27">
        <f t="shared" si="4"/>
        <v>33.941125496954278</v>
      </c>
      <c r="I27">
        <f t="shared" si="16"/>
        <v>60.941125496954271</v>
      </c>
      <c r="J27">
        <f t="shared" si="13"/>
        <v>59.1</v>
      </c>
      <c r="K27">
        <f t="shared" si="14"/>
        <v>53.19</v>
      </c>
      <c r="L27">
        <f t="shared" si="15"/>
        <v>9.423044298980578</v>
      </c>
    </row>
    <row r="28" spans="2:12" x14ac:dyDescent="0.25">
      <c r="B28">
        <f t="shared" si="8"/>
        <v>0.41255056166125992</v>
      </c>
      <c r="C28">
        <f t="shared" si="9"/>
        <v>3.2288521732655697</v>
      </c>
      <c r="D28">
        <f t="shared" si="10"/>
        <v>0.97499999999999987</v>
      </c>
      <c r="E28">
        <f t="shared" si="1"/>
        <v>0.97499999999999987</v>
      </c>
      <c r="F28">
        <f t="shared" si="11"/>
        <v>0.22079402165819617</v>
      </c>
      <c r="G28">
        <f t="shared" si="12"/>
        <v>29.249999999999996</v>
      </c>
      <c r="H28">
        <f t="shared" si="4"/>
        <v>35.327043465311391</v>
      </c>
      <c r="I28">
        <f t="shared" si="16"/>
        <v>64.577043465311391</v>
      </c>
      <c r="J28">
        <f t="shared" si="13"/>
        <v>59.024999999999999</v>
      </c>
      <c r="K28">
        <f t="shared" si="14"/>
        <v>57.549374999999991</v>
      </c>
      <c r="L28">
        <f t="shared" si="15"/>
        <v>10.065982084178446</v>
      </c>
    </row>
    <row r="29" spans="2:12" x14ac:dyDescent="0.25">
      <c r="B29">
        <f t="shared" si="8"/>
        <v>0.41857792903075719</v>
      </c>
      <c r="C29">
        <f t="shared" si="9"/>
        <v>3.4080302779823355</v>
      </c>
      <c r="D29">
        <f t="shared" si="10"/>
        <v>1.0499999999999998</v>
      </c>
      <c r="E29">
        <f t="shared" si="1"/>
        <v>1.0499999999999998</v>
      </c>
      <c r="F29">
        <f t="shared" si="11"/>
        <v>0.22912878474779197</v>
      </c>
      <c r="G29">
        <f t="shared" si="12"/>
        <v>31.499999999999993</v>
      </c>
      <c r="H29">
        <f t="shared" si="4"/>
        <v>36.660605559646712</v>
      </c>
      <c r="I29">
        <f t="shared" si="16"/>
        <v>68.160605559646712</v>
      </c>
      <c r="J29">
        <f t="shared" si="13"/>
        <v>58.95</v>
      </c>
      <c r="K29">
        <f t="shared" si="14"/>
        <v>61.897499999999994</v>
      </c>
      <c r="L29">
        <f t="shared" si="15"/>
        <v>10.701132338420214</v>
      </c>
    </row>
    <row r="30" spans="2:12" x14ac:dyDescent="0.25">
      <c r="B30">
        <f t="shared" si="8"/>
        <v>0.42412102218538811</v>
      </c>
      <c r="C30">
        <f t="shared" si="9"/>
        <v>3.5848665961010271</v>
      </c>
      <c r="D30">
        <f t="shared" si="10"/>
        <v>1.1249999999999998</v>
      </c>
      <c r="E30">
        <f t="shared" si="1"/>
        <v>1.1249999999999998</v>
      </c>
      <c r="F30">
        <f t="shared" si="11"/>
        <v>0.23717082451262841</v>
      </c>
      <c r="G30">
        <f t="shared" si="12"/>
        <v>33.749999999999993</v>
      </c>
      <c r="H30">
        <f t="shared" si="4"/>
        <v>37.947331922020545</v>
      </c>
      <c r="I30">
        <f t="shared" si="16"/>
        <v>71.697331922020538</v>
      </c>
      <c r="J30">
        <f t="shared" si="13"/>
        <v>58.875</v>
      </c>
      <c r="K30">
        <f t="shared" si="14"/>
        <v>66.234374999999986</v>
      </c>
      <c r="L30">
        <f t="shared" si="15"/>
        <v>11.329184504322212</v>
      </c>
    </row>
    <row r="31" spans="2:12" x14ac:dyDescent="0.25">
      <c r="B31">
        <f>(D31-D30)/(C31-C30)</f>
        <v>0.4292454712005726</v>
      </c>
      <c r="C31">
        <f t="shared" si="9"/>
        <v>3.7595917942265418</v>
      </c>
      <c r="D31">
        <f>D30+$D$10*0.05</f>
        <v>1.1999999999999997</v>
      </c>
      <c r="E31">
        <f t="shared" si="1"/>
        <v>1.1999999999999997</v>
      </c>
      <c r="F31">
        <f t="shared" si="11"/>
        <v>0.24494897427831777</v>
      </c>
      <c r="G31">
        <f t="shared" si="12"/>
        <v>35.999999999999993</v>
      </c>
      <c r="H31">
        <f t="shared" si="4"/>
        <v>39.191835884530846</v>
      </c>
      <c r="I31">
        <f t="shared" si="16"/>
        <v>75.191835884530832</v>
      </c>
      <c r="J31">
        <f t="shared" si="13"/>
        <v>58.8</v>
      </c>
      <c r="K31">
        <f t="shared" si="14"/>
        <v>70.559999999999974</v>
      </c>
      <c r="L31">
        <f t="shared" si="15"/>
        <v>11.950712137165471</v>
      </c>
    </row>
    <row r="32" spans="2:12" x14ac:dyDescent="0.25">
      <c r="B32">
        <f t="shared" ref="B32:B35" si="17">(D32-D31)/(C32-C31)</f>
        <v>0.43400468750808263</v>
      </c>
      <c r="C32">
        <f t="shared" ref="C32:C35" si="18">I32/$D$9</f>
        <v>3.9324009876724149</v>
      </c>
      <c r="D32">
        <f t="shared" ref="D32:D35" si="19">D31+$D$10*0.05</f>
        <v>1.2749999999999997</v>
      </c>
      <c r="E32">
        <f t="shared" si="1"/>
        <v>1.2749999999999997</v>
      </c>
      <c r="F32">
        <f t="shared" ref="F32:F35" si="20">SQRT(D32/$D$6)</f>
        <v>0.2524876234590519</v>
      </c>
      <c r="G32">
        <f t="shared" ref="G32:G35" si="21">E32*$D$7</f>
        <v>38.249999999999993</v>
      </c>
      <c r="H32">
        <f t="shared" si="4"/>
        <v>40.398019753448303</v>
      </c>
      <c r="I32">
        <f t="shared" ref="I32:I35" si="22">G32+H32</f>
        <v>78.648019753448295</v>
      </c>
      <c r="J32">
        <f t="shared" ref="J32:J35" si="23">$D$12-E32</f>
        <v>58.725000000000001</v>
      </c>
      <c r="K32">
        <f t="shared" ref="K32:K35" si="24">J32*D32</f>
        <v>74.874374999999986</v>
      </c>
      <c r="L32">
        <f t="shared" si="15"/>
        <v>12.566198521527321</v>
      </c>
    </row>
    <row r="33" spans="2:13" x14ac:dyDescent="0.25">
      <c r="B33">
        <f t="shared" si="17"/>
        <v>0.43844269934845059</v>
      </c>
      <c r="C33">
        <f t="shared" si="18"/>
        <v>4.1034609690826516</v>
      </c>
      <c r="D33">
        <f t="shared" si="19"/>
        <v>1.3499999999999996</v>
      </c>
      <c r="E33">
        <f t="shared" si="1"/>
        <v>1.3499999999999996</v>
      </c>
      <c r="F33">
        <f t="shared" si="20"/>
        <v>0.25980762113533157</v>
      </c>
      <c r="G33">
        <f t="shared" si="21"/>
        <v>40.499999999999986</v>
      </c>
      <c r="H33">
        <f t="shared" si="4"/>
        <v>41.569219381653049</v>
      </c>
      <c r="I33">
        <f t="shared" si="22"/>
        <v>82.069219381653028</v>
      </c>
      <c r="J33">
        <f t="shared" si="23"/>
        <v>58.65</v>
      </c>
      <c r="K33">
        <f t="shared" si="24"/>
        <v>79.177499999999981</v>
      </c>
      <c r="L33">
        <f t="shared" si="15"/>
        <v>13.176055436856052</v>
      </c>
    </row>
    <row r="34" spans="2:13" x14ac:dyDescent="0.25">
      <c r="B34">
        <f t="shared" si="17"/>
        <v>0.44259621164889162</v>
      </c>
      <c r="C34">
        <f t="shared" si="18"/>
        <v>4.2729156504062615</v>
      </c>
      <c r="D34">
        <f t="shared" si="19"/>
        <v>1.4249999999999996</v>
      </c>
      <c r="E34">
        <f t="shared" si="1"/>
        <v>1.4249999999999996</v>
      </c>
      <c r="F34">
        <f t="shared" si="20"/>
        <v>0.26692695630078273</v>
      </c>
      <c r="G34">
        <f t="shared" si="21"/>
        <v>42.749999999999986</v>
      </c>
      <c r="H34">
        <f t="shared" si="4"/>
        <v>42.708313008125238</v>
      </c>
      <c r="I34">
        <f t="shared" si="22"/>
        <v>85.458313008125231</v>
      </c>
      <c r="J34">
        <f t="shared" si="23"/>
        <v>58.575000000000003</v>
      </c>
      <c r="K34">
        <f t="shared" si="24"/>
        <v>83.469374999999985</v>
      </c>
      <c r="L34">
        <f t="shared" si="15"/>
        <v>13.780637185703009</v>
      </c>
    </row>
    <row r="35" spans="2:13" x14ac:dyDescent="0.25">
      <c r="B35">
        <f t="shared" si="17"/>
        <v>0.44649613157043183</v>
      </c>
      <c r="C35">
        <f t="shared" si="18"/>
        <v>4.4408902300206634</v>
      </c>
      <c r="D35">
        <f t="shared" si="19"/>
        <v>1.4999999999999996</v>
      </c>
      <c r="E35">
        <f t="shared" si="1"/>
        <v>1.4999999999999996</v>
      </c>
      <c r="F35">
        <f t="shared" si="20"/>
        <v>0.27386127875258304</v>
      </c>
      <c r="G35">
        <f t="shared" si="21"/>
        <v>44.999999999999986</v>
      </c>
      <c r="H35">
        <f t="shared" si="4"/>
        <v>43.817804600413282</v>
      </c>
      <c r="I35">
        <f t="shared" si="22"/>
        <v>88.817804600413268</v>
      </c>
      <c r="J35">
        <f t="shared" si="23"/>
        <v>58.5</v>
      </c>
      <c r="K35">
        <f t="shared" si="24"/>
        <v>87.749999999999972</v>
      </c>
      <c r="L35">
        <f t="shared" si="15"/>
        <v>14.380251268732811</v>
      </c>
    </row>
    <row r="37" spans="2:13" x14ac:dyDescent="0.25">
      <c r="K37" t="s">
        <v>173</v>
      </c>
      <c r="L37">
        <f>SUM(L16:L35)</f>
        <v>164.73573026068942</v>
      </c>
      <c r="M37" t="s">
        <v>176</v>
      </c>
    </row>
    <row r="38" spans="2:13" x14ac:dyDescent="0.25">
      <c r="K38" t="s">
        <v>175</v>
      </c>
      <c r="L38">
        <f>L37/(D10*D12)</f>
        <v>1.8303970028965491</v>
      </c>
      <c r="M38" t="s">
        <v>55</v>
      </c>
    </row>
  </sheetData>
  <mergeCells count="1">
    <mergeCell ref="B3:V4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2:I22"/>
  <sheetViews>
    <sheetView topLeftCell="B25" zoomScale="145" zoomScaleNormal="145" workbookViewId="0">
      <selection activeCell="H32" sqref="H32"/>
    </sheetView>
  </sheetViews>
  <sheetFormatPr defaultRowHeight="15" x14ac:dyDescent="0.25"/>
  <cols>
    <col min="5" max="5" width="10.28515625" customWidth="1"/>
  </cols>
  <sheetData>
    <row r="2" spans="5:9" x14ac:dyDescent="0.25">
      <c r="E2" t="s">
        <v>235</v>
      </c>
      <c r="F2">
        <f>Component_Selection!F15</f>
        <v>72</v>
      </c>
      <c r="G2" t="s">
        <v>4</v>
      </c>
    </row>
    <row r="3" spans="5:9" x14ac:dyDescent="0.25">
      <c r="E3" t="s">
        <v>236</v>
      </c>
      <c r="F3">
        <f>Component_Selection!F16</f>
        <v>792</v>
      </c>
      <c r="G3" t="s">
        <v>23</v>
      </c>
    </row>
    <row r="4" spans="5:9" x14ac:dyDescent="0.25">
      <c r="E4" t="s">
        <v>237</v>
      </c>
      <c r="F4">
        <f>SOA_Checks!D27</f>
        <v>0.3683720930232558</v>
      </c>
      <c r="G4" t="s">
        <v>26</v>
      </c>
      <c r="H4" t="s">
        <v>238</v>
      </c>
    </row>
    <row r="6" spans="5:9" x14ac:dyDescent="0.25">
      <c r="E6" t="s">
        <v>82</v>
      </c>
      <c r="F6" t="s">
        <v>234</v>
      </c>
      <c r="G6" t="s">
        <v>170</v>
      </c>
      <c r="H6" t="s">
        <v>240</v>
      </c>
      <c r="I6" t="s">
        <v>239</v>
      </c>
    </row>
    <row r="7" spans="5:9" x14ac:dyDescent="0.25">
      <c r="E7">
        <v>0</v>
      </c>
      <c r="F7">
        <v>0</v>
      </c>
      <c r="G7">
        <f>F2</f>
        <v>72</v>
      </c>
      <c r="H7">
        <f>G7*F7</f>
        <v>0</v>
      </c>
      <c r="I7">
        <v>0</v>
      </c>
    </row>
    <row r="8" spans="5:9" x14ac:dyDescent="0.25">
      <c r="E8">
        <v>10</v>
      </c>
      <c r="F8">
        <v>0</v>
      </c>
      <c r="G8">
        <f>G7</f>
        <v>72</v>
      </c>
      <c r="H8">
        <f t="shared" ref="H8:H11" si="0">G8*F8</f>
        <v>0</v>
      </c>
      <c r="I8">
        <v>0</v>
      </c>
    </row>
    <row r="9" spans="5:9" x14ac:dyDescent="0.25">
      <c r="E9">
        <f>E8+0.01</f>
        <v>10.01</v>
      </c>
      <c r="F9">
        <f>$F$4</f>
        <v>0.3683720930232558</v>
      </c>
      <c r="G9">
        <f>G8</f>
        <v>72</v>
      </c>
      <c r="H9">
        <f t="shared" si="0"/>
        <v>26.522790697674417</v>
      </c>
      <c r="I9">
        <f>H9</f>
        <v>26.522790697674417</v>
      </c>
    </row>
    <row r="10" spans="5:9" x14ac:dyDescent="0.25">
      <c r="E10">
        <f>AVERAGE(E9,E12)</f>
        <v>87.41</v>
      </c>
      <c r="F10">
        <f>F9</f>
        <v>0.3683720930232558</v>
      </c>
      <c r="G10">
        <v>30</v>
      </c>
      <c r="H10">
        <f t="shared" si="0"/>
        <v>11.051162790697674</v>
      </c>
      <c r="I10">
        <f>I9</f>
        <v>26.522790697674417</v>
      </c>
    </row>
    <row r="11" spans="5:9" x14ac:dyDescent="0.25">
      <c r="E11">
        <f>E10+0.01</f>
        <v>87.42</v>
      </c>
      <c r="F11">
        <f>F10</f>
        <v>0.3683720930232558</v>
      </c>
      <c r="G11">
        <f>G10</f>
        <v>30</v>
      </c>
      <c r="H11">
        <f t="shared" si="0"/>
        <v>11.051162790697674</v>
      </c>
      <c r="I11">
        <v>0</v>
      </c>
    </row>
    <row r="12" spans="5:9" x14ac:dyDescent="0.25">
      <c r="E12">
        <f>E9+F3*F2/F12/1000</f>
        <v>164.81</v>
      </c>
      <c r="F12">
        <f>F10</f>
        <v>0.3683720930232558</v>
      </c>
      <c r="G12">
        <v>0</v>
      </c>
      <c r="H12">
        <f>G12*F12</f>
        <v>0</v>
      </c>
      <c r="I12">
        <v>0</v>
      </c>
    </row>
    <row r="13" spans="5:9" x14ac:dyDescent="0.25">
      <c r="E13">
        <f>E12+0.01</f>
        <v>164.82</v>
      </c>
      <c r="F13">
        <v>0</v>
      </c>
      <c r="G13">
        <v>0</v>
      </c>
      <c r="H13">
        <f>G13*F13</f>
        <v>0</v>
      </c>
      <c r="I13">
        <v>0</v>
      </c>
    </row>
    <row r="14" spans="5:9" x14ac:dyDescent="0.25">
      <c r="E14">
        <f>E13+10</f>
        <v>174.82</v>
      </c>
      <c r="F14">
        <f>F13</f>
        <v>0</v>
      </c>
      <c r="G14">
        <f>G13</f>
        <v>0</v>
      </c>
      <c r="H14">
        <f>G14*F14</f>
        <v>0</v>
      </c>
      <c r="I14">
        <v>0</v>
      </c>
    </row>
    <row r="18" spans="7:8" x14ac:dyDescent="0.25">
      <c r="G18" t="s">
        <v>170</v>
      </c>
      <c r="H18" t="s">
        <v>161</v>
      </c>
    </row>
    <row r="19" spans="7:8" x14ac:dyDescent="0.25">
      <c r="G19">
        <v>1</v>
      </c>
      <c r="H19" s="28">
        <f>SOA_Checks!E10</f>
        <v>12.5</v>
      </c>
    </row>
    <row r="20" spans="7:8" x14ac:dyDescent="0.25">
      <c r="G20" s="28">
        <f>SOA_Checks!E5</f>
        <v>20.2</v>
      </c>
      <c r="H20" s="28">
        <f>H19</f>
        <v>12.5</v>
      </c>
    </row>
    <row r="21" spans="7:8" x14ac:dyDescent="0.25">
      <c r="G21" s="28">
        <f>G20+0.01</f>
        <v>20.21</v>
      </c>
      <c r="H21" s="28">
        <f>SOA_Checks!E11</f>
        <v>1.5</v>
      </c>
    </row>
    <row r="22" spans="7:8" x14ac:dyDescent="0.25">
      <c r="G22">
        <v>100</v>
      </c>
      <c r="H22" s="28">
        <f>H21</f>
        <v>1.5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26"/>
  <sheetViews>
    <sheetView zoomScale="115" zoomScaleNormal="115" workbookViewId="0">
      <selection activeCell="A22" sqref="A22"/>
    </sheetView>
  </sheetViews>
  <sheetFormatPr defaultRowHeight="15" x14ac:dyDescent="0.25"/>
  <sheetData>
    <row r="3" spans="2:9" x14ac:dyDescent="0.25">
      <c r="C3" t="s">
        <v>26</v>
      </c>
      <c r="D3" s="28">
        <f>BrownOut!C10/BrownOut!C15</f>
        <v>5.28E-2</v>
      </c>
      <c r="E3" s="24" t="s">
        <v>89</v>
      </c>
      <c r="F3" t="s">
        <v>85</v>
      </c>
    </row>
    <row r="4" spans="2:9" x14ac:dyDescent="0.25">
      <c r="C4" t="s">
        <v>84</v>
      </c>
      <c r="D4" s="28">
        <f>BrownOut!C11/BrownOut!C15</f>
        <v>16</v>
      </c>
      <c r="E4" s="24" t="s">
        <v>4</v>
      </c>
      <c r="F4" t="s">
        <v>86</v>
      </c>
    </row>
    <row r="5" spans="2:9" x14ac:dyDescent="0.25">
      <c r="C5" t="s">
        <v>87</v>
      </c>
      <c r="D5" s="28">
        <f>D3*(BrownOut!C6-BrownOut!C17)+D3*D4*LN((BrownOut!C6-D4)/(BrownOut!C17-D4))</f>
        <v>2.3066531533665571</v>
      </c>
      <c r="E5" s="24" t="s">
        <v>55</v>
      </c>
      <c r="F5" t="s">
        <v>88</v>
      </c>
    </row>
    <row r="6" spans="2:9" x14ac:dyDescent="0.25">
      <c r="C6" t="s">
        <v>97</v>
      </c>
      <c r="D6" s="28">
        <f>AVERAGE(BrownOut!C17,BrownOut!C6)</f>
        <v>56.566227096132565</v>
      </c>
      <c r="E6" s="24" t="s">
        <v>4</v>
      </c>
    </row>
    <row r="7" spans="2:9" x14ac:dyDescent="0.25">
      <c r="C7" t="s">
        <v>96</v>
      </c>
      <c r="D7" s="28">
        <f>D3*(D6-BrownOut!C17)+D3*D4*LN((D6-D4)/(BrownOut!C17-D4))</f>
        <v>1.2193730633400377</v>
      </c>
      <c r="E7" s="24" t="s">
        <v>55</v>
      </c>
    </row>
    <row r="8" spans="2:9" x14ac:dyDescent="0.25">
      <c r="E8" s="56"/>
    </row>
    <row r="9" spans="2:9" x14ac:dyDescent="0.25">
      <c r="E9" s="56"/>
    </row>
    <row r="10" spans="2:9" x14ac:dyDescent="0.25">
      <c r="C10" s="2" t="s">
        <v>82</v>
      </c>
      <c r="D10" s="49" t="s">
        <v>93</v>
      </c>
      <c r="E10" s="21" t="s">
        <v>94</v>
      </c>
      <c r="F10" s="10" t="s">
        <v>137</v>
      </c>
      <c r="G10" s="10" t="s">
        <v>138</v>
      </c>
    </row>
    <row r="11" spans="2:9" x14ac:dyDescent="0.25">
      <c r="C11">
        <v>0</v>
      </c>
      <c r="D11" s="50">
        <f>BrownOut!$C$3</f>
        <v>48</v>
      </c>
      <c r="E11" s="56">
        <f>BrownOut!$C$3</f>
        <v>48</v>
      </c>
      <c r="F11">
        <f>IF(D11=E11,G11,IF(E11&gt;D11,0,BrownOut!$C$15))</f>
        <v>4.166666666666667</v>
      </c>
      <c r="G11" s="28">
        <f>BrownOut!$C$11/E11</f>
        <v>4.166666666666667</v>
      </c>
    </row>
    <row r="12" spans="2:9" x14ac:dyDescent="0.25">
      <c r="C12">
        <v>2.5</v>
      </c>
      <c r="D12" s="50">
        <f>BrownOut!$C$3</f>
        <v>48</v>
      </c>
      <c r="E12" s="56">
        <f>BrownOut!$C$3</f>
        <v>48</v>
      </c>
      <c r="F12">
        <f>IF(D12=E12,G12,IF(E12&gt;D12,0,BrownOut!$C$15))</f>
        <v>4.166666666666667</v>
      </c>
      <c r="G12" s="28">
        <f>BrownOut!$C$11/E12</f>
        <v>4.166666666666667</v>
      </c>
    </row>
    <row r="13" spans="2:9" x14ac:dyDescent="0.25">
      <c r="B13" s="48" t="s">
        <v>90</v>
      </c>
      <c r="C13">
        <f>C12+0.01</f>
        <v>2.5099999999999998</v>
      </c>
      <c r="D13" s="50">
        <f>BrownOut!$C$4</f>
        <v>37</v>
      </c>
      <c r="E13" s="56">
        <f>BrownOut!$C$3</f>
        <v>48</v>
      </c>
      <c r="F13">
        <f>IF(D13=E13,G13,IF(E13&gt;D13,0,BrownOut!$C$15))</f>
        <v>0</v>
      </c>
      <c r="G13" s="28">
        <f>BrownOut!$C$11/E13</f>
        <v>4.166666666666667</v>
      </c>
    </row>
    <row r="14" spans="2:9" x14ac:dyDescent="0.25">
      <c r="C14">
        <f>C13+BrownOut!$C$5/4</f>
        <v>2.76</v>
      </c>
      <c r="D14" s="50">
        <f>BrownOut!$C$4</f>
        <v>37</v>
      </c>
      <c r="E14" s="71">
        <f>SQRT(E13^2-2*(C14-C13)*BrownOut!$C$11*(1+BrownOut!$C$12)/BrownOut!$C$14)-BrownOut!$C$8*BrownOut!$C$9/BrownOut!$C$14</f>
        <v>46.378547810056503</v>
      </c>
      <c r="F14">
        <f>IF(D14=E14,G14,IF(E14&gt;D14,0,BrownOut!$C$15))</f>
        <v>0</v>
      </c>
      <c r="G14" s="28">
        <f>BrownOut!$C$11/E14</f>
        <v>4.3123385583158118</v>
      </c>
      <c r="I14" t="s">
        <v>213</v>
      </c>
    </row>
    <row r="15" spans="2:9" x14ac:dyDescent="0.25">
      <c r="C15">
        <f>C14+BrownOut!$C$5/4</f>
        <v>3.01</v>
      </c>
      <c r="D15" s="50">
        <f>BrownOut!$C$4</f>
        <v>37</v>
      </c>
      <c r="E15" s="71">
        <f>SQRT(E14^2-2*(C15-C14)*BrownOut!$C$11*(1+BrownOut!$C$12)/BrownOut!$C$14)</f>
        <v>44.698315336703622</v>
      </c>
      <c r="F15">
        <f>IF(D15=E15,G15,IF(E15&gt;D15,0,BrownOut!$C$15))</f>
        <v>0</v>
      </c>
      <c r="G15" s="28">
        <f>BrownOut!$C$11/E15</f>
        <v>4.4744415643730493</v>
      </c>
    </row>
    <row r="16" spans="2:9" x14ac:dyDescent="0.25">
      <c r="C16">
        <f>C15+BrownOut!$C$5/4</f>
        <v>3.26</v>
      </c>
      <c r="D16" s="50">
        <f>BrownOut!$C$4</f>
        <v>37</v>
      </c>
      <c r="E16" s="71">
        <f>SQRT(E15^2-2*(C16-C15)*BrownOut!$C$11*(1+BrownOut!$C$12)/BrownOut!$C$14)</f>
        <v>42.95240494907231</v>
      </c>
      <c r="F16">
        <f>IF(D16=E16,G16,IF(E16&gt;D16,0,BrownOut!$C$15))</f>
        <v>0</v>
      </c>
      <c r="G16" s="28">
        <f>BrownOut!$C$11/E16</f>
        <v>4.6563166890686434</v>
      </c>
    </row>
    <row r="17" spans="2:7" x14ac:dyDescent="0.25">
      <c r="B17" s="48" t="s">
        <v>91</v>
      </c>
      <c r="C17">
        <f>C13+BrownOut!C5</f>
        <v>3.51</v>
      </c>
      <c r="D17" s="50">
        <f>BrownOut!$C$4</f>
        <v>37</v>
      </c>
      <c r="E17" s="71">
        <f>SQRT(E16^2-2*(C17-C16)*BrownOut!$C$11*(1+BrownOut!$C$12)/BrownOut!$C$14)</f>
        <v>41.132454192265122</v>
      </c>
      <c r="F17">
        <f>IF(D17=E17,G17,IF(E17&gt;D17,0,BrownOut!$C$15))</f>
        <v>0</v>
      </c>
      <c r="G17" s="28">
        <f>BrownOut!$C$11/E17</f>
        <v>4.8623405514570441</v>
      </c>
    </row>
    <row r="18" spans="2:7" x14ac:dyDescent="0.25">
      <c r="B18" s="48" t="s">
        <v>92</v>
      </c>
      <c r="C18">
        <f>C17+0.001</f>
        <v>3.5109999999999997</v>
      </c>
      <c r="D18" s="50">
        <f>BrownOut!$C$6</f>
        <v>72</v>
      </c>
      <c r="E18" s="71">
        <f>SQRT(E17^2-2*(C18-C17)*BrownOut!$C$11*(1+BrownOut!$C$12)/BrownOut!$C$14)</f>
        <v>41.125012664638383</v>
      </c>
      <c r="F18">
        <v>0</v>
      </c>
      <c r="G18" s="28">
        <f>BrownOut!$C$11/E18</f>
        <v>4.8632203868467458</v>
      </c>
    </row>
    <row r="19" spans="2:7" x14ac:dyDescent="0.25">
      <c r="B19" t="s">
        <v>212</v>
      </c>
      <c r="C19">
        <f>C18+BrownOut!C13</f>
        <v>3.7109999999999999</v>
      </c>
      <c r="D19" s="50">
        <f>BrownOut!$C$6</f>
        <v>72</v>
      </c>
      <c r="E19" s="71">
        <f>SQRT(E18^2-2*(C19-C18)*BrownOut!$C$11*(1+BrownOut!$C$12)/BrownOut!$C$14)</f>
        <v>39.608615530493168</v>
      </c>
      <c r="F19">
        <f>IF(D19=E19,G19,IF(E19&gt;D19,0,BrownOut!$C$15))</f>
        <v>12.5</v>
      </c>
      <c r="G19" s="28">
        <f>BrownOut!$C$11/E19</f>
        <v>5.0494064819313769</v>
      </c>
    </row>
    <row r="20" spans="2:7" x14ac:dyDescent="0.25">
      <c r="C20" s="28">
        <f>C19+$D$3*(E20-E19)+$D$3*$D$4*LN((E20-$D$4)/(E19-$D$4))</f>
        <v>4.3877052185257854</v>
      </c>
      <c r="D20" s="50">
        <f>BrownOut!$C$6</f>
        <v>72</v>
      </c>
      <c r="E20" s="71">
        <f>E19+($E$23-$E$19)*1/4</f>
        <v>47.706461647869872</v>
      </c>
      <c r="F20">
        <f>IF(D20=E20,G20,IF(E20&gt;D20,0,BrownOut!$C$15))</f>
        <v>12.5</v>
      </c>
      <c r="G20" s="28">
        <f>BrownOut!$C$11/E20</f>
        <v>4.1923042097784702</v>
      </c>
    </row>
    <row r="21" spans="2:7" x14ac:dyDescent="0.25">
      <c r="C21" s="28">
        <f>C20+$D$3*(E21-E20)+$D$3*$D$4*LN((E21-$D$4)/(E20-$D$4))</f>
        <v>5.0074251769076508</v>
      </c>
      <c r="D21" s="50">
        <f>BrownOut!$C$6</f>
        <v>72</v>
      </c>
      <c r="E21" s="71">
        <f>E20+($E$23-$E$19)*1/4</f>
        <v>55.804307765246577</v>
      </c>
      <c r="F21">
        <f>IF(D21=E21,G21,IF(E21&gt;D21,0,BrownOut!$C$15))</f>
        <v>12.5</v>
      </c>
      <c r="G21" s="28">
        <f>BrownOut!$C$11/E21</f>
        <v>3.583952709194874</v>
      </c>
    </row>
    <row r="22" spans="2:7" x14ac:dyDescent="0.25">
      <c r="B22" s="48" t="s">
        <v>95</v>
      </c>
      <c r="C22" s="28">
        <f>C21+$D$3*(E22-E21)+$D$3*$D$4*LN((E22-$D$4)/(E21-$D$4))</f>
        <v>5.5914360169143418</v>
      </c>
      <c r="D22" s="50">
        <f>BrownOut!$C$6</f>
        <v>72</v>
      </c>
      <c r="E22" s="71">
        <f>E21+($E$23-$E$19)*1/4</f>
        <v>63.902153882623281</v>
      </c>
      <c r="F22">
        <f>IF(D22=E22,G22,IF(E22&gt;D22,0,BrownOut!$C$15))</f>
        <v>12.5</v>
      </c>
      <c r="G22" s="28">
        <f>BrownOut!$C$11/E22</f>
        <v>3.1297849579118084</v>
      </c>
    </row>
    <row r="23" spans="2:7" x14ac:dyDescent="0.25">
      <c r="C23" s="28">
        <f>C22+$D$3*(E23-E22)+$D$3*$D$4*LN((E23-$D$4)/(E22-$D$4))</f>
        <v>6.1509526354928248</v>
      </c>
      <c r="D23" s="50">
        <f>BrownOut!$C$6</f>
        <v>72</v>
      </c>
      <c r="E23" s="107">
        <f>D23</f>
        <v>72</v>
      </c>
      <c r="F23">
        <f>IF(D23=E23,G23,IF(E23&gt;D23,0,BrownOut!$C$15))</f>
        <v>2.7777777777777777</v>
      </c>
      <c r="G23" s="28">
        <f>BrownOut!$C$11/E23</f>
        <v>2.7777777777777777</v>
      </c>
    </row>
    <row r="24" spans="2:7" x14ac:dyDescent="0.25">
      <c r="C24" s="28">
        <f>C23+2.5</f>
        <v>8.6509526354928248</v>
      </c>
      <c r="D24" s="50">
        <f>BrownOut!$C$6</f>
        <v>72</v>
      </c>
      <c r="E24" s="107">
        <f>D24</f>
        <v>72</v>
      </c>
      <c r="F24">
        <f>IF(D24=E24,G24,IF(E24&gt;D24,0,BrownOut!$C$15))</f>
        <v>2.7777777777777777</v>
      </c>
      <c r="G24" s="28">
        <f>BrownOut!$C$11/E24</f>
        <v>2.7777777777777777</v>
      </c>
    </row>
    <row r="25" spans="2:7" x14ac:dyDescent="0.25">
      <c r="E25" s="56"/>
    </row>
    <row r="26" spans="2:7" x14ac:dyDescent="0.25">
      <c r="E26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Component_Selection</vt:lpstr>
      <vt:lpstr>BrownOut</vt:lpstr>
      <vt:lpstr>SOA_Checks</vt:lpstr>
      <vt:lpstr>Error_Calculation</vt:lpstr>
      <vt:lpstr>T_eq_work_Derivations</vt:lpstr>
      <vt:lpstr>Graphs</vt:lpstr>
      <vt:lpstr>ATIS_Calculations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2021-04-23T14:22:26Z</dcterms:modified>
</cp:coreProperties>
</file>