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8433" lockStructure="1"/>
  <bookViews>
    <workbookView xWindow="0" yWindow="0" windowWidth="28800" windowHeight="13020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52511"/>
</workbook>
</file>

<file path=xl/calcChain.xml><?xml version="1.0" encoding="utf-8"?>
<calcChain xmlns="http://schemas.openxmlformats.org/spreadsheetml/2006/main">
  <c r="K28" i="4" l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F14" i="7"/>
  <c r="H14" i="7" s="1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<sst xmlns="http://schemas.openxmlformats.org/spreadsheetml/2006/main" count="540" uniqueCount="265">
  <si>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</si>
  <si>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</si>
  <si>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</si>
  <si>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</si>
  <si>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</si>
  <si>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</si>
  <si>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</si>
  <si>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</si>
  <si>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</si>
  <si>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</si>
  <si>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</si>
  <si>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</si>
  <si>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</si>
  <si>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</si>
  <si>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</si>
  <si>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</si>
  <si>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</si>
  <si>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</si>
  <si>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</si>
  <si>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</si>
  <si>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</si>
  <si>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</si>
  <si>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</si>
  <si>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</si>
  <si>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</si>
  <si>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</si>
  <si>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</si>
  <si>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</si>
  <si>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</si>
  <si>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</si>
  <si>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</si>
  <si>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</si>
  <si>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</si>
  <si>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</si>
  <si>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</si>
  <si>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</si>
  <si>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</si>
  <si>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</si>
  <si>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</si>
  <si>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</si>
  <si>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</si>
  <si>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</si>
  <si>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</si>
  <si>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</si>
  <si>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</si>
  <si>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</si>
  <si>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</si>
  <si>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</si>
  <si>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</si>
  <si>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</si>
  <si>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</si>
  <si>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</si>
  <si>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</si>
  <si>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</si>
  <si>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</si>
  <si>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</si>
  <si>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</si>
  <si>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</si>
  <si>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</si>
  <si>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</si>
  <si>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</si>
  <si>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</si>
  <si>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</si>
  <si>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</si>
  <si>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</si>
  <si>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</si>
  <si>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</si>
  <si>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</si>
  <si>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</si>
  <si>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</si>
  <si>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</si>
  <si>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</si>
  <si>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</si>
  <si>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</si>
  <si>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</si>
  <si>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</si>
  <si>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</si>
  <si>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</si>
  <si>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</si>
  <si>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</si>
  <si>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</si>
  <si>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</si>
  <si>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</si>
  <si>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</si>
  <si>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</si>
  <si>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</si>
  <si>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</si>
  <si>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</si>
  <si>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</si>
  <si>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</si>
  <si>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</si>
  <si>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</si>
  <si>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</si>
  <si>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</si>
  <si>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</si>
  <si>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</si>
  <si>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</si>
  <si>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</si>
  <si>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</si>
  <si>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</si>
  <si>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</si>
  <si>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</si>
  <si>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</si>
  <si>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</si>
  <si>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</si>
  <si>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</si>
  <si>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</si>
  <si>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</si>
  <si>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</si>
  <si>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</si>
  <si>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</si>
  <si>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</si>
  <si>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</si>
  <si>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</si>
  <si>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</si>
  <si>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</si>
  <si>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</si>
  <si>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</si>
  <si>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</si>
  <si>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</si>
  <si>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</si>
  <si>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</si>
  <si>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</si>
  <si>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</si>
  <si>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</si>
  <si>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</si>
  <si>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</si>
  <si>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</si>
  <si>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</si>
  <si>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</si>
  <si>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</si>
  <si>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</si>
  <si>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</si>
  <si>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</si>
  <si>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</si>
  <si>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</si>
  <si>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</si>
  <si>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</si>
  <si>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</si>
  <si>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</si>
  <si>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</si>
  <si>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</si>
  <si>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</si>
  <si>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</si>
  <si>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</si>
  <si>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</si>
  <si>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</si>
  <si>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</si>
  <si>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</si>
  <si>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</si>
  <si>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</si>
  <si>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</si>
  <si>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</si>
  <si>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</si>
  <si>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</si>
  <si>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</si>
  <si>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</si>
  <si>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</si>
  <si>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</si>
  <si>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</si>
  <si>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</si>
  <si>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</si>
  <si>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</si>
  <si>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</si>
  <si>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</si>
  <si>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</si>
  <si>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</si>
  <si>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</si>
  <si>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</si>
  <si>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</si>
  <si>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</si>
  <si>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</si>
  <si>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</si>
  <si>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</si>
  <si>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</si>
  <si>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</si>
  <si>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</si>
  <si>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</si>
  <si>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</si>
  <si>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</si>
  <si>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</si>
  <si>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</si>
  <si>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</si>
  <si>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</si>
  <si>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</si>
  <si>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</si>
  <si>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</si>
  <si>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</si>
  <si>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</si>
  <si>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</si>
  <si>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</si>
  <si>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</si>
  <si>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</si>
  <si>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</si>
  <si>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</si>
  <si>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</si>
  <si>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</si>
  <si>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</si>
  <si>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</si>
  <si>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</si>
  <si>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</si>
  <si>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</si>
  <si>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</si>
  <si>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</si>
  <si>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</si>
  <si>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</si>
  <si>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</si>
  <si>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</si>
  <si>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</si>
  <si>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</si>
  <si>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</si>
  <si>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</si>
  <si>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</si>
  <si>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</si>
  <si>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</si>
  <si>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</si>
  <si>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</si>
  <si>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</si>
  <si>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</si>
  <si>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</si>
  <si>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</si>
  <si>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</si>
  <si>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</si>
  <si>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</si>
  <si>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</si>
  <si>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</si>
  <si>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</si>
  <si>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</si>
  <si>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</si>
  <si>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</si>
  <si>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</si>
  <si>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</si>
  <si>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</si>
  <si>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</si>
  <si>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</si>
  <si>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</si>
  <si>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</si>
  <si>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</si>
  <si>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</si>
  <si>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</si>
  <si>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</si>
  <si>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</si>
  <si>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</si>
  <si>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</si>
  <si>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</si>
  <si>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</si>
  <si>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</si>
  <si>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</si>
  <si>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</si>
  <si>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</si>
  <si>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</si>
  <si>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</si>
  <si>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</si>
  <si>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</si>
  <si>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</si>
  <si>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</si>
  <si>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</si>
  <si>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</si>
  <si>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</si>
  <si>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</si>
  <si>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</si>
  <si>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</si>
  <si>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</si>
  <si>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</si>
  <si>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PSMN4R8-100BSE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</si>
</sst>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36</c:v>
                </c:pt>
                <c:pt idx="1">
                  <c:v>6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20.602770083102495</c:v>
                </c:pt>
                <c:pt idx="1">
                  <c:v>3.4337950138504159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0.91300907078430382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3.6857911423866816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0.91300907078430382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1.6666666666666665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06632"/>
        <c:axId val="157768648"/>
      </c:scatterChart>
      <c:valAx>
        <c:axId val="15760663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57768648"/>
        <c:crossesAt val="0.1"/>
        <c:crossBetween val="midCat"/>
      </c:valAx>
      <c:valAx>
        <c:axId val="1577686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760663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73736"/>
        <c:axId val="353222560"/>
      </c:scatterChart>
      <c:valAx>
        <c:axId val="35287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3222560"/>
        <c:crosses val="autoZero"/>
        <c:crossBetween val="midCat"/>
      </c:valAx>
      <c:valAx>
        <c:axId val="35322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873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18.5</c:v>
                </c:pt>
                <c:pt idx="2">
                  <c:v>18.510000000000002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13.888888888888889</c:v>
                </c:pt>
                <c:pt idx="1">
                  <c:v>13.888888888888889</c:v>
                </c:pt>
                <c:pt idx="2">
                  <c:v>1.6666666666666665</c:v>
                </c:pt>
                <c:pt idx="3">
                  <c:v>1.6666666666666665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223344"/>
        <c:axId val="353223736"/>
      </c:scatterChart>
      <c:valAx>
        <c:axId val="353223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223736"/>
        <c:crosses val="autoZero"/>
        <c:crossBetween val="midCat"/>
      </c:valAx>
      <c:valAx>
        <c:axId val="353223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53223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100</c:v>
                </c:pt>
                <c:pt idx="1">
                  <c:v>40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57.229916897506925</c:v>
                </c:pt>
                <c:pt idx="1">
                  <c:v>22.89196675900277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54.609409447713269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13.888888888888889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57376"/>
        <c:axId val="156254896"/>
      </c:scatterChart>
      <c:valAx>
        <c:axId val="10885737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56254896"/>
        <c:crossesAt val="0.1"/>
        <c:crossBetween val="midCat"/>
      </c:valAx>
      <c:valAx>
        <c:axId val="15625489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885737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74.509999999999977</c:v>
                </c:pt>
                <c:pt idx="4">
                  <c:v>74.519999999999982</c:v>
                </c:pt>
                <c:pt idx="5">
                  <c:v>139.00999999999996</c:v>
                </c:pt>
                <c:pt idx="6">
                  <c:v>139.01999999999995</c:v>
                </c:pt>
                <c:pt idx="7">
                  <c:v>149.01999999999995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0.30697674418604654</c:v>
                </c:pt>
                <c:pt idx="3">
                  <c:v>0.30697674418604654</c:v>
                </c:pt>
                <c:pt idx="4">
                  <c:v>0.30697674418604654</c:v>
                </c:pt>
                <c:pt idx="5">
                  <c:v>0.30697674418604654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55968"/>
        <c:axId val="157750128"/>
      </c:scatterChart>
      <c:valAx>
        <c:axId val="157755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50128"/>
        <c:crosses val="autoZero"/>
        <c:crossBetween val="midCat"/>
      </c:valAx>
      <c:valAx>
        <c:axId val="15775012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7755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74.509999999999977</c:v>
                </c:pt>
                <c:pt idx="4">
                  <c:v>74.519999999999982</c:v>
                </c:pt>
                <c:pt idx="5">
                  <c:v>139.00999999999996</c:v>
                </c:pt>
                <c:pt idx="6">
                  <c:v>139.01999999999995</c:v>
                </c:pt>
                <c:pt idx="7">
                  <c:v>149.01999999999995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18.418604651162791</c:v>
                </c:pt>
                <c:pt idx="3">
                  <c:v>9.2093023255813957</c:v>
                </c:pt>
                <c:pt idx="4">
                  <c:v>9.2093023255813957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74.509999999999977</c:v>
                </c:pt>
                <c:pt idx="4">
                  <c:v>74.519999999999982</c:v>
                </c:pt>
                <c:pt idx="5">
                  <c:v>139.00999999999996</c:v>
                </c:pt>
                <c:pt idx="6">
                  <c:v>139.01999999999995</c:v>
                </c:pt>
                <c:pt idx="7">
                  <c:v>149.01999999999995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18.418604651162791</c:v>
                </c:pt>
                <c:pt idx="3">
                  <c:v>18.418604651162791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66680"/>
        <c:axId val="352867072"/>
      </c:scatterChart>
      <c:valAx>
        <c:axId val="352866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2867072"/>
        <c:crosses val="autoZero"/>
        <c:crossBetween val="midCat"/>
      </c:valAx>
      <c:valAx>
        <c:axId val="352867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528666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18.5</c:v>
                </c:pt>
                <c:pt idx="2">
                  <c:v>18.510000000000002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13.888888888888889</c:v>
                </c:pt>
                <c:pt idx="1">
                  <c:v>13.888888888888889</c:v>
                </c:pt>
                <c:pt idx="2">
                  <c:v>1.6666666666666665</c:v>
                </c:pt>
                <c:pt idx="3">
                  <c:v>1.6666666666666665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69424"/>
        <c:axId val="352869816"/>
      </c:scatterChart>
      <c:valAx>
        <c:axId val="352869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2869816"/>
        <c:crosses val="autoZero"/>
        <c:crossBetween val="midCat"/>
      </c:valAx>
      <c:valAx>
        <c:axId val="352869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52869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6</c:v>
                </c:pt>
                <c:pt idx="1">
                  <c:v>1.5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3.4337950138504159</c:v>
                </c:pt>
                <c:pt idx="1">
                  <c:v>0.85844875346260396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1.1178173621828713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0.30697674418604654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70992"/>
        <c:axId val="352871384"/>
      </c:scatterChart>
      <c:valAx>
        <c:axId val="352870992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52871384"/>
        <c:crossesAt val="0.1"/>
        <c:crossBetween val="midCat"/>
      </c:valAx>
      <c:valAx>
        <c:axId val="35287138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5287099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4.5406595143029991</c:v>
                </c:pt>
                <c:pt idx="10" formatCode="0.00">
                  <c:v>5.1900408218589398</c:v>
                </c:pt>
                <c:pt idx="11" formatCode="0.00">
                  <c:v>5.7436476373360508</c:v>
                </c:pt>
                <c:pt idx="12" formatCode="0.00">
                  <c:v>6.2377116169258295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4.5406595143029991</c:v>
                </c:pt>
                <c:pt idx="10" formatCode="0.00">
                  <c:v>5.1900408218589398</c:v>
                </c:pt>
                <c:pt idx="11" formatCode="0.00">
                  <c:v>5.7436476373360508</c:v>
                </c:pt>
                <c:pt idx="12" formatCode="0.00">
                  <c:v>6.2377116169258295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51.087565942598928</c:v>
                </c:pt>
                <c:pt idx="4" formatCode="0.00">
                  <c:v>47.99873735713043</c:v>
                </c:pt>
                <c:pt idx="5" formatCode="0.00">
                  <c:v>44.696959424754859</c:v>
                </c:pt>
                <c:pt idx="6" formatCode="0.00">
                  <c:v>41.130980729342888</c:v>
                </c:pt>
                <c:pt idx="7" formatCode="0.00">
                  <c:v>41.116095793902097</c:v>
                </c:pt>
                <c:pt idx="8" formatCode="0.00">
                  <c:v>38.022162596107663</c:v>
                </c:pt>
                <c:pt idx="9" formatCode="0.00">
                  <c:v>43.01662194708075</c:v>
                </c:pt>
                <c:pt idx="10" formatCode="0.00">
                  <c:v>48.011081298053838</c:v>
                </c:pt>
                <c:pt idx="11" formatCode="0.00">
                  <c:v>53.005540649026926</c:v>
                </c:pt>
                <c:pt idx="12">
                  <c:v>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70600"/>
        <c:axId val="352869032"/>
      </c:scatterChart>
      <c:valAx>
        <c:axId val="35287060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52869032"/>
        <c:crosses val="autoZero"/>
        <c:crossBetween val="midCat"/>
      </c:valAx>
      <c:valAx>
        <c:axId val="352869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52870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4.5406595143029991</c:v>
                </c:pt>
                <c:pt idx="10" formatCode="0.00">
                  <c:v>5.1900408218589398</c:v>
                </c:pt>
                <c:pt idx="11" formatCode="0.00">
                  <c:v>5.7436476373360508</c:v>
                </c:pt>
                <c:pt idx="12" formatCode="0.00">
                  <c:v>6.2377116169258295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7.4074074074074074</c:v>
                </c:pt>
                <c:pt idx="1">
                  <c:v>7.4074074074074074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13.888888888888889</c:v>
                </c:pt>
                <c:pt idx="9">
                  <c:v>13.888888888888889</c:v>
                </c:pt>
                <c:pt idx="10">
                  <c:v>13.888888888888889</c:v>
                </c:pt>
                <c:pt idx="11">
                  <c:v>13.888888888888889</c:v>
                </c:pt>
                <c:pt idx="12">
                  <c:v>6.8965517241379306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4.5406595143029991</c:v>
                </c:pt>
                <c:pt idx="10" formatCode="0.00">
                  <c:v>5.1900408218589398</c:v>
                </c:pt>
                <c:pt idx="11" formatCode="0.00">
                  <c:v>5.7436476373360508</c:v>
                </c:pt>
                <c:pt idx="12" formatCode="0.00">
                  <c:v>6.2377116169258295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7.4074074074074074</c:v>
                </c:pt>
                <c:pt idx="1">
                  <c:v>7.4074074074074074</c:v>
                </c:pt>
                <c:pt idx="2">
                  <c:v>7.4074074074074074</c:v>
                </c:pt>
                <c:pt idx="3">
                  <c:v>7.8296938329266421</c:v>
                </c:pt>
                <c:pt idx="4">
                  <c:v>8.3335525479313084</c:v>
                </c:pt>
                <c:pt idx="5">
                  <c:v>8.9491545990590353</c:v>
                </c:pt>
                <c:pt idx="6">
                  <c:v>9.7250294767379462</c:v>
                </c:pt>
                <c:pt idx="7">
                  <c:v>9.7285501523547797</c:v>
                </c:pt>
                <c:pt idx="8">
                  <c:v>10.520180144644064</c:v>
                </c:pt>
                <c:pt idx="9">
                  <c:v>9.2987310926479037</c:v>
                </c:pt>
                <c:pt idx="10">
                  <c:v>8.3314099409007536</c:v>
                </c:pt>
                <c:pt idx="11">
                  <c:v>7.5463809085275919</c:v>
                </c:pt>
                <c:pt idx="12">
                  <c:v>6.8965517241379306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68248"/>
        <c:axId val="352867856"/>
      </c:scatterChart>
      <c:valAx>
        <c:axId val="35286824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52867856"/>
        <c:crosses val="autoZero"/>
        <c:crossBetween val="midCat"/>
      </c:valAx>
      <c:valAx>
        <c:axId val="35286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52868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72560"/>
        <c:axId val="352872952"/>
      </c:scatterChart>
      <c:valAx>
        <c:axId val="35287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2872952"/>
        <c:crosses val="autoZero"/>
        <c:crossBetween val="midCat"/>
      </c:valAx>
      <c:valAx>
        <c:axId val="352872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872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72" zoomScaleNormal="100" workbookViewId="0">
      <selection activeCell="E90" sqref="E90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25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75" x14ac:dyDescent="0.25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x14ac:dyDescent="0.25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x14ac:dyDescent="0.25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x14ac:dyDescent="0.25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25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25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25">
      <c r="C8" s="57"/>
      <c r="D8" s="58" t="s">
        <v>128</v>
      </c>
      <c r="E8" s="59"/>
    </row>
    <row r="9" spans="2:40" x14ac:dyDescent="0.25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x14ac:dyDescent="0.25">
      <c r="C12" s="1"/>
    </row>
    <row r="13" spans="2:40" x14ac:dyDescent="0.25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x14ac:dyDescent="0.25">
      <c r="C14" s="52" t="s">
        <v>18</v>
      </c>
      <c r="D14" s="30"/>
      <c r="E14" s="130">
        <v>400</v>
      </c>
      <c r="F14" s="131">
        <v>500</v>
      </c>
      <c r="G14" s="23" t="s">
        <v>20</v>
      </c>
    </row>
    <row r="15" spans="2:40" x14ac:dyDescent="0.25">
      <c r="C15" s="52" t="s">
        <v>19</v>
      </c>
      <c r="D15" s="129">
        <v>38</v>
      </c>
      <c r="E15" s="130">
        <v>54</v>
      </c>
      <c r="F15" s="131">
        <v>60</v>
      </c>
      <c r="G15" s="23" t="s">
        <v>4</v>
      </c>
    </row>
    <row r="16" spans="2:40" x14ac:dyDescent="0.25">
      <c r="C16" s="52" t="s">
        <v>22</v>
      </c>
      <c r="D16" s="30"/>
      <c r="E16" s="130">
        <v>470</v>
      </c>
      <c r="F16" s="131">
        <v>660</v>
      </c>
      <c r="G16" s="23" t="s">
        <v>23</v>
      </c>
    </row>
    <row r="17" spans="3:21" x14ac:dyDescent="0.25">
      <c r="C17" s="52" t="s">
        <v>99</v>
      </c>
      <c r="D17" s="30"/>
      <c r="E17" s="25"/>
      <c r="F17" s="131">
        <v>85</v>
      </c>
      <c r="G17" s="20" t="s">
        <v>24</v>
      </c>
    </row>
    <row r="18" spans="3:21" x14ac:dyDescent="0.25">
      <c r="C18" s="37" t="s">
        <v>98</v>
      </c>
      <c r="D18" s="26"/>
      <c r="E18" s="26"/>
      <c r="F18" s="31"/>
      <c r="G18" s="54"/>
    </row>
    <row r="19" spans="3:21" ht="18" x14ac:dyDescent="0.35">
      <c r="C19" s="52" t="s">
        <v>257</v>
      </c>
      <c r="D19" s="30"/>
      <c r="E19" s="146">
        <v>25</v>
      </c>
      <c r="F19" s="32"/>
      <c r="G19" s="148" t="s">
        <v>17</v>
      </c>
    </row>
    <row r="20" spans="3:21" x14ac:dyDescent="0.25">
      <c r="C20" s="52" t="s">
        <v>25</v>
      </c>
      <c r="D20" s="30"/>
      <c r="E20" s="138">
        <f>E14/E15</f>
        <v>7.4074074074074074</v>
      </c>
      <c r="F20" s="139">
        <f>F14/D15</f>
        <v>13.157894736842104</v>
      </c>
      <c r="G20" s="23" t="s">
        <v>26</v>
      </c>
    </row>
    <row r="21" spans="3:21" x14ac:dyDescent="0.25">
      <c r="C21" s="52" t="s">
        <v>28</v>
      </c>
      <c r="D21" s="30"/>
      <c r="E21" s="130">
        <v>14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1.7857142857142858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1.8</v>
      </c>
      <c r="F23" s="32"/>
      <c r="G23" s="22" t="s">
        <v>30</v>
      </c>
    </row>
    <row r="24" spans="3:21" x14ac:dyDescent="0.25">
      <c r="C24" s="52" t="s">
        <v>32</v>
      </c>
      <c r="D24" s="30"/>
      <c r="E24" s="138">
        <f>Error_Calculation!H2/E23</f>
        <v>13.888888888888889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1.6666666666666665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0.83333333333333326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v>4.8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5" t="s">
        <v>264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4.8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20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6.5789473684210522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0.20775623268698057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0.41551246537396114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89.155124653739605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38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36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61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58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0.91300907078430382</v>
      </c>
      <c r="F55" s="30"/>
      <c r="G55" s="22" t="s">
        <v>55</v>
      </c>
    </row>
    <row r="56" spans="1:7" hidden="1" x14ac:dyDescent="0.25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2.7046757374509705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t="15.75" hidden="1" thickBot="1" x14ac:dyDescent="0.3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0.1ms and 60V</v>
      </c>
      <c r="D59" s="102"/>
      <c r="E59" s="146">
        <v>36</v>
      </c>
      <c r="F59" s="102"/>
      <c r="G59" s="101" t="s">
        <v>26</v>
      </c>
    </row>
    <row r="60" spans="1:7" x14ac:dyDescent="0.25">
      <c r="C60" s="52" t="str">
        <f>SOA_Checks!D48</f>
        <v>Q1 Current handling at 1ms and 60V</v>
      </c>
      <c r="D60" s="103"/>
      <c r="E60" s="146">
        <v>6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36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6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6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1.5</v>
      </c>
      <c r="F64" s="103"/>
      <c r="G64" s="101" t="s">
        <v>26</v>
      </c>
    </row>
    <row r="65" spans="3:21" x14ac:dyDescent="0.25">
      <c r="C65" s="52" t="str">
        <f>SOA_Checks!D53</f>
        <v>Q1 Current handling at 1ms and 18.5V</v>
      </c>
      <c r="D65" s="103"/>
      <c r="E65" s="146">
        <v>100</v>
      </c>
      <c r="F65" s="103"/>
      <c r="G65" s="101" t="s">
        <v>26</v>
      </c>
    </row>
    <row r="66" spans="3:21" x14ac:dyDescent="0.25">
      <c r="C66" s="50" t="str">
        <f>SOA_Checks!D54</f>
        <v>Q1 Current handling at 10ms and 18.5V</v>
      </c>
      <c r="D66" s="103"/>
      <c r="E66" s="146">
        <v>40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2.2114746854320093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idden="1" x14ac:dyDescent="0.25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5.6993572333051681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3.6413747404442018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18.5V)</v>
      </c>
      <c r="D70" s="104"/>
      <c r="E70" s="74">
        <f>SOA_Checks!E89</f>
        <v>3.9318774802353551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128.99999999999997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200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5.4054054054054053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300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5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33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99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19.696969696969695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2.5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5.6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324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5.49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340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18.5V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100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20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9.5876894374382342</v>
      </c>
      <c r="E95" s="46">
        <f>IF(Component_Selection!$D$94="Worst Case", Error_Calculation!E6, Error_Calculation!E20)</f>
        <v>10</v>
      </c>
      <c r="F95" s="46">
        <f>IF(Component_Selection!$D$94="Worst Case", Error_Calculation!F6, Error_Calculation!F20)</f>
        <v>10.412310562561766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0.79982004048178523</v>
      </c>
      <c r="E96" s="46">
        <f>IF(Component_Selection!$D$94="Worst Case", Error_Calculation!E7, Error_Calculation!E21)</f>
        <v>1.2</v>
      </c>
      <c r="F96" s="46">
        <f>IF(Component_Selection!$D$94="Worst Case", Error_Calculation!F7, Error_Calculation!F21)</f>
        <v>1.6001799595182149</v>
      </c>
      <c r="G96" s="143" t="s">
        <v>26</v>
      </c>
      <c r="H96" s="53">
        <f t="shared" si="0"/>
        <v>0.33348329959851247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36.16112922463671</v>
      </c>
      <c r="E97" s="46">
        <f>IF(Component_Selection!$D$94="Worst Case", Error_Calculation!E8, Error_Calculation!E22)</f>
        <v>36.714285714285715</v>
      </c>
      <c r="F97" s="46">
        <f>IF(Component_Selection!$D$94="Worst Case", Error_Calculation!F8, Error_Calculation!F22)</f>
        <v>37.267442203934721</v>
      </c>
      <c r="G97" s="143" t="s">
        <v>4</v>
      </c>
      <c r="H97" s="53">
        <f t="shared" si="0"/>
        <v>1.506651917331921E-2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33.921120891448048</v>
      </c>
      <c r="E99" s="46">
        <f>IF(Component_Selection!$D$94="Worst Case", Error_Calculation!E10, Error_Calculation!E24)</f>
        <v>34.714285714285715</v>
      </c>
      <c r="F99" s="46">
        <f>IF(Component_Selection!$D$94="Worst Case", Error_Calculation!F10, Error_Calculation!F24)</f>
        <v>35.507450537123383</v>
      </c>
      <c r="G99" s="143" t="s">
        <v>4</v>
      </c>
      <c r="H99" s="53">
        <f t="shared" si="0"/>
        <v>2.2848369382155023E-2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58.813068495774587</v>
      </c>
      <c r="E100" s="46">
        <f>IF(Component_Selection!$D$94="Worst Case", Error_Calculation!E11, Error_Calculation!E25)</f>
        <v>60.016393442622949</v>
      </c>
      <c r="F100" s="46">
        <f>IF(Component_Selection!$D$94="Worst Case", Error_Calculation!F11, Error_Calculation!F25)</f>
        <v>61.219718389471311</v>
      </c>
      <c r="G100" s="143" t="s">
        <v>4</v>
      </c>
      <c r="H100" s="53">
        <f t="shared" si="0"/>
        <v>2.0049937655763472E-2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2.8511865002343675</v>
      </c>
      <c r="E101" s="46">
        <f>IF(Component_Selection!$D$94="Worst Case", Error_Calculation!E12, Error_Calculation!E26)</f>
        <v>3.24</v>
      </c>
      <c r="F101" s="46">
        <f>IF(Component_Selection!$D$94="Worst Case", Error_Calculation!F12, Error_Calculation!F26)</f>
        <v>3.6288134997656334</v>
      </c>
      <c r="G101" s="143" t="s">
        <v>4</v>
      </c>
      <c r="H101" s="53">
        <f t="shared" si="0"/>
        <v>0.12000416659433122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55.184254996008953</v>
      </c>
      <c r="E102" s="46">
        <f>IF(Component_Selection!$D$94="Worst Case", Error_Calculation!E13, Error_Calculation!E27)</f>
        <v>56.776393442622947</v>
      </c>
      <c r="F102" s="46">
        <f>IF(Component_Selection!$D$94="Worst Case", Error_Calculation!F13, Error_Calculation!F27)</f>
        <v>58.368531889236941</v>
      </c>
      <c r="G102" s="143" t="s">
        <v>4</v>
      </c>
      <c r="H102" s="53">
        <f t="shared" si="0"/>
        <v>2.8042261053847606E-2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17.503744510680118</v>
      </c>
      <c r="E103" s="46">
        <f>IF(Component_Selection!$D$94="Worst Case", Error_Calculation!E14, Error_Calculation!E28)</f>
        <v>18.5</v>
      </c>
      <c r="F103" s="46">
        <f>IF(Component_Selection!$D$94="Worst Case", Error_Calculation!F14, Error_Calculation!F28)</f>
        <v>19.496255489319886</v>
      </c>
      <c r="G103" s="144" t="s">
        <v>4</v>
      </c>
      <c r="H103" s="53">
        <f t="shared" si="0"/>
        <v>5.3851648071345168E-2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0.18709849334654907</v>
      </c>
      <c r="E104" s="46">
        <f>IF(Component_Selection!$D$94="Worst Case", Error_Calculation!E15, Error_Calculation!E29)</f>
        <v>0.30697674418604654</v>
      </c>
      <c r="F104" s="46">
        <f>IF(Component_Selection!$D$94="Worst Case", Error_Calculation!F15, Error_Calculation!F29)</f>
        <v>0.42685499502554403</v>
      </c>
      <c r="G104" s="143" t="s">
        <v>26</v>
      </c>
      <c r="H104" s="53">
        <f t="shared" si="0"/>
        <v>0.39051248379533271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106.65</v>
      </c>
      <c r="F108" s="80">
        <f>F15*(F15-Error_Calculation!$N$26)/$E$92</f>
        <v>136.5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11" sqref="C11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x14ac:dyDescent="0.25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x14ac:dyDescent="0.25">
      <c r="B3" s="52" t="s">
        <v>74</v>
      </c>
      <c r="C3" s="131">
        <v>54</v>
      </c>
      <c r="D3" s="68" t="s">
        <v>4</v>
      </c>
    </row>
    <row r="4" spans="1:11" x14ac:dyDescent="0.25">
      <c r="B4" s="52" t="s">
        <v>256</v>
      </c>
      <c r="C4" s="131">
        <v>35</v>
      </c>
      <c r="D4" s="68" t="s">
        <v>4</v>
      </c>
    </row>
    <row r="5" spans="1:11" x14ac:dyDescent="0.25">
      <c r="B5" s="72" t="s">
        <v>214</v>
      </c>
      <c r="C5" s="130">
        <v>1</v>
      </c>
      <c r="D5" s="68" t="s">
        <v>55</v>
      </c>
    </row>
    <row r="6" spans="1:11" x14ac:dyDescent="0.25">
      <c r="B6" s="52" t="s">
        <v>75</v>
      </c>
      <c r="C6" s="131">
        <v>58</v>
      </c>
      <c r="D6" s="68" t="s">
        <v>4</v>
      </c>
    </row>
    <row r="7" spans="1:11" x14ac:dyDescent="0.25">
      <c r="B7" s="170" t="s">
        <v>134</v>
      </c>
      <c r="C7" s="171"/>
      <c r="D7" s="172"/>
    </row>
    <row r="8" spans="1:11" x14ac:dyDescent="0.25">
      <c r="B8" s="92" t="s">
        <v>208</v>
      </c>
      <c r="C8" s="131">
        <v>1</v>
      </c>
      <c r="D8" s="56" t="s">
        <v>4</v>
      </c>
      <c r="I8" s="24"/>
    </row>
    <row r="9" spans="1:11" x14ac:dyDescent="0.25">
      <c r="B9" s="52" t="s">
        <v>79</v>
      </c>
      <c r="C9" s="131">
        <v>0</v>
      </c>
      <c r="D9" s="68" t="s">
        <v>255</v>
      </c>
      <c r="I9" s="24"/>
    </row>
    <row r="10" spans="1:11" x14ac:dyDescent="0.25">
      <c r="B10" s="52" t="s">
        <v>209</v>
      </c>
      <c r="C10" s="131">
        <v>0.66</v>
      </c>
      <c r="D10" s="68" t="s">
        <v>255</v>
      </c>
    </row>
    <row r="11" spans="1:11" x14ac:dyDescent="0.25">
      <c r="B11" s="52" t="s">
        <v>133</v>
      </c>
      <c r="C11" s="131">
        <f>Component_Selection!E14</f>
        <v>400</v>
      </c>
      <c r="D11" s="68" t="s">
        <v>20</v>
      </c>
    </row>
    <row r="12" spans="1:11" x14ac:dyDescent="0.25">
      <c r="B12" s="52" t="s">
        <v>210</v>
      </c>
      <c r="C12" s="136">
        <v>0.01</v>
      </c>
      <c r="D12" s="68"/>
    </row>
    <row r="13" spans="1:11" x14ac:dyDescent="0.25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x14ac:dyDescent="0.25">
      <c r="B15" s="52" t="s">
        <v>135</v>
      </c>
      <c r="C15" s="74">
        <f>Component_Selection!E24</f>
        <v>13.888888888888889</v>
      </c>
      <c r="D15" s="106" t="s">
        <v>26</v>
      </c>
    </row>
    <row r="16" spans="1:11" x14ac:dyDescent="0.25">
      <c r="A16" t="s">
        <v>136</v>
      </c>
      <c r="B16" s="108" t="s">
        <v>139</v>
      </c>
      <c r="C16" s="109"/>
      <c r="D16" s="110"/>
    </row>
    <row r="17" spans="2:16" x14ac:dyDescent="0.25">
      <c r="B17" s="75" t="s">
        <v>140</v>
      </c>
      <c r="C17" s="74">
        <f>ATIS_Calculations!E17</f>
        <v>41.130980729342888</v>
      </c>
      <c r="D17" s="68" t="s">
        <v>4</v>
      </c>
    </row>
    <row r="18" spans="2:16" x14ac:dyDescent="0.25">
      <c r="B18" s="75" t="s">
        <v>141</v>
      </c>
      <c r="C18" s="74">
        <f>C6-C17</f>
        <v>16.869019270657112</v>
      </c>
      <c r="D18" s="106" t="s">
        <v>4</v>
      </c>
      <c r="O18" s="28"/>
      <c r="P18" s="24"/>
    </row>
    <row r="19" spans="2:16" x14ac:dyDescent="0.25">
      <c r="B19" s="75" t="s">
        <v>142</v>
      </c>
      <c r="C19" s="74">
        <f>ATIS_Calculations!D5</f>
        <v>1.9814020126326248</v>
      </c>
      <c r="D19" s="106" t="s">
        <v>55</v>
      </c>
    </row>
    <row r="20" spans="2:16" x14ac:dyDescent="0.25">
      <c r="B20" s="75" t="s">
        <v>143</v>
      </c>
      <c r="C20" s="74">
        <f>ATIS_Calculations!D7</f>
        <v>1.1140791045081526</v>
      </c>
      <c r="D20" s="106" t="s">
        <v>55</v>
      </c>
      <c r="G20" s="47"/>
    </row>
    <row r="21" spans="2:16" x14ac:dyDescent="0.25">
      <c r="B21" s="108" t="s">
        <v>144</v>
      </c>
      <c r="C21" s="109"/>
      <c r="D21" s="110"/>
    </row>
    <row r="22" spans="2:16" x14ac:dyDescent="0.25">
      <c r="B22" s="75" t="s">
        <v>145</v>
      </c>
      <c r="C22" s="74">
        <f>C20*2*1.2</f>
        <v>2.6737898508195661</v>
      </c>
      <c r="D22" s="106" t="s">
        <v>55</v>
      </c>
    </row>
    <row r="23" spans="2:16" ht="30" x14ac:dyDescent="0.25">
      <c r="B23" s="76" t="s">
        <v>146</v>
      </c>
      <c r="C23" s="74">
        <f>C18*1.05</f>
        <v>17.712470234189968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x14ac:dyDescent="0.25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1.6666666666666665</v>
      </c>
      <c r="Q4" t="s">
        <v>26</v>
      </c>
      <c r="T4" t="s">
        <v>152</v>
      </c>
    </row>
    <row r="5" spans="4:26" x14ac:dyDescent="0.25">
      <c r="D5" s="52" t="s">
        <v>217</v>
      </c>
      <c r="E5" s="46">
        <f>IF($E$2="Programmed", I5, H5)</f>
        <v>18.5</v>
      </c>
      <c r="F5" s="52" t="s">
        <v>4</v>
      </c>
      <c r="G5" s="52"/>
      <c r="H5" s="52">
        <f>Component_Selection!E50</f>
        <v>20</v>
      </c>
      <c r="I5" s="46">
        <f>Component_Selection!E103</f>
        <v>18.5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x14ac:dyDescent="0.25">
      <c r="D6" s="52" t="s">
        <v>218</v>
      </c>
      <c r="E6" s="46">
        <f>IF($E$2="Programmed", I6, H6)</f>
        <v>0.30697674418604654</v>
      </c>
      <c r="F6" s="52" t="s">
        <v>26</v>
      </c>
      <c r="G6" s="52"/>
      <c r="H6" s="52">
        <f>Component_Selection!E51</f>
        <v>0.4</v>
      </c>
      <c r="I6" s="46">
        <f>Component_Selection!E104</f>
        <v>0.30697674418604654</v>
      </c>
      <c r="O6" t="s">
        <v>184</v>
      </c>
      <c r="P6">
        <f>Component_Selection!E79</f>
        <v>99</v>
      </c>
      <c r="Q6" t="s">
        <v>50</v>
      </c>
      <c r="T6" t="s">
        <v>154</v>
      </c>
    </row>
    <row r="7" spans="4:26" x14ac:dyDescent="0.25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33</v>
      </c>
      <c r="I7" s="52">
        <f>Component_Selection!E89</f>
        <v>43</v>
      </c>
      <c r="O7" t="s">
        <v>185</v>
      </c>
      <c r="P7">
        <f>Component_Selection!E90</f>
        <v>100</v>
      </c>
      <c r="Q7" t="s">
        <v>50</v>
      </c>
    </row>
    <row r="8" spans="4:26" x14ac:dyDescent="0.25">
      <c r="D8" s="52" t="s">
        <v>179</v>
      </c>
      <c r="E8" s="46">
        <f>IF($E$2="Programmed", I8, H8)</f>
        <v>100</v>
      </c>
      <c r="F8" s="52" t="s">
        <v>50</v>
      </c>
      <c r="G8" s="52"/>
      <c r="H8" s="52">
        <f>Component_Selection!E79</f>
        <v>99</v>
      </c>
      <c r="I8" s="52">
        <f>Component_Selection!E90</f>
        <v>100</v>
      </c>
      <c r="O8" t="s">
        <v>181</v>
      </c>
      <c r="P8">
        <f>Component_Selection!E78</f>
        <v>33</v>
      </c>
      <c r="Q8" t="s">
        <v>50</v>
      </c>
      <c r="T8" t="s">
        <v>155</v>
      </c>
    </row>
    <row r="9" spans="4:26" x14ac:dyDescent="0.25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x14ac:dyDescent="0.25">
      <c r="D10" s="75" t="s">
        <v>219</v>
      </c>
      <c r="E10" s="46">
        <f>Component_Selection!E24</f>
        <v>13.888888888888889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x14ac:dyDescent="0.25">
      <c r="D11" s="75" t="s">
        <v>220</v>
      </c>
      <c r="E11" s="46">
        <f>Component_Selection!E25</f>
        <v>1.6666666666666665</v>
      </c>
      <c r="F11" s="75" t="s">
        <v>26</v>
      </c>
      <c r="G11" s="52"/>
      <c r="H11" s="52"/>
      <c r="I11" s="46"/>
    </row>
    <row r="12" spans="4:26" x14ac:dyDescent="0.25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x14ac:dyDescent="0.25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x14ac:dyDescent="0.25">
      <c r="O14" t="s">
        <v>159</v>
      </c>
      <c r="P14" s="28">
        <f>E8</f>
        <v>100</v>
      </c>
      <c r="Q14" t="s">
        <v>50</v>
      </c>
    </row>
    <row r="15" spans="4:26" x14ac:dyDescent="0.25">
      <c r="O15" t="s">
        <v>160</v>
      </c>
      <c r="P15">
        <f>Error_Calculation!N22</f>
        <v>20</v>
      </c>
      <c r="Q15" t="s">
        <v>7</v>
      </c>
    </row>
    <row r="16" spans="4:26" x14ac:dyDescent="0.25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x14ac:dyDescent="0.25">
      <c r="D17" s="52" t="s">
        <v>102</v>
      </c>
      <c r="E17" s="52">
        <f>Component_Selection!F15</f>
        <v>60</v>
      </c>
      <c r="F17" s="52" t="s">
        <v>4</v>
      </c>
    </row>
    <row r="18" spans="3:18" x14ac:dyDescent="0.25">
      <c r="O18" s="174" t="s">
        <v>186</v>
      </c>
      <c r="P18" s="174"/>
      <c r="Q18" s="174"/>
    </row>
    <row r="19" spans="3:18" x14ac:dyDescent="0.25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0.13986013986013987</v>
      </c>
      <c r="Q19" s="52" t="s">
        <v>163</v>
      </c>
    </row>
    <row r="20" spans="3:18" x14ac:dyDescent="0.25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0.68800907078430384</v>
      </c>
      <c r="Q20" s="93" t="s">
        <v>55</v>
      </c>
    </row>
    <row r="21" spans="3:18" x14ac:dyDescent="0.25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x14ac:dyDescent="0.25">
      <c r="D22" s="52" t="s">
        <v>196</v>
      </c>
      <c r="E22" s="46">
        <f>IF(I22="TBD", H22, I22)</f>
        <v>0.91300907078430382</v>
      </c>
      <c r="F22" s="52" t="s">
        <v>55</v>
      </c>
      <c r="H22" s="46">
        <f>SOA_Checks!P20+E19</f>
        <v>0.91300907078430382</v>
      </c>
      <c r="I22" s="52" t="str">
        <f>Component_Selection!E57</f>
        <v>TBD</v>
      </c>
    </row>
    <row r="23" spans="3:18" x14ac:dyDescent="0.25">
      <c r="D23" s="52" t="s">
        <v>197</v>
      </c>
      <c r="E23" s="46">
        <f>IF(I23="TBD", H23, I23)</f>
        <v>2.7046757374509705</v>
      </c>
      <c r="F23" s="52" t="s">
        <v>55</v>
      </c>
      <c r="H23" s="46">
        <f>SOA_Checks!P26+E19</f>
        <v>2.7046757374509705</v>
      </c>
      <c r="I23" s="52" t="str">
        <f>Component_Selection!E58</f>
        <v>TBD</v>
      </c>
    </row>
    <row r="24" spans="3:18" x14ac:dyDescent="0.25">
      <c r="E24" s="28"/>
      <c r="O24" s="175" t="s">
        <v>189</v>
      </c>
      <c r="P24" s="175"/>
      <c r="Q24" s="175"/>
      <c r="R24" t="s">
        <v>192</v>
      </c>
    </row>
    <row r="25" spans="3:18" x14ac:dyDescent="0.25">
      <c r="O25" s="52" t="s">
        <v>190</v>
      </c>
      <c r="P25" s="46">
        <f>P4*P16*P13/P15/2</f>
        <v>1.7916666666666665</v>
      </c>
      <c r="Q25" s="52" t="s">
        <v>55</v>
      </c>
      <c r="R25" t="s">
        <v>191</v>
      </c>
    </row>
    <row r="26" spans="3:18" x14ac:dyDescent="0.25">
      <c r="O26" s="93" t="s">
        <v>193</v>
      </c>
      <c r="P26" s="94">
        <f>P25+P20</f>
        <v>2.4796757374509704</v>
      </c>
      <c r="Q26" s="93" t="s">
        <v>55</v>
      </c>
      <c r="R26" t="s">
        <v>194</v>
      </c>
    </row>
    <row r="27" spans="3:18" x14ac:dyDescent="0.25">
      <c r="C27" t="s">
        <v>203</v>
      </c>
      <c r="D27">
        <f>IF(Component_Selection!D54="Target", Component_Selection!E51, Component_Selection!E104)</f>
        <v>0.30697674418604654</v>
      </c>
    </row>
    <row r="28" spans="3:18" x14ac:dyDescent="0.25">
      <c r="C28" s="28"/>
      <c r="K28">
        <f>1.12*(175-96.3)/150</f>
        <v>0.58762666666666674</v>
      </c>
    </row>
    <row r="30" spans="3:18" x14ac:dyDescent="0.25">
      <c r="C30" s="28">
        <f>E13</f>
        <v>0.22500000000000001</v>
      </c>
      <c r="D30" t="s">
        <v>198</v>
      </c>
    </row>
    <row r="31" spans="3:18" x14ac:dyDescent="0.25">
      <c r="C31" s="28">
        <f>E22</f>
        <v>0.91300907078430382</v>
      </c>
      <c r="D31" t="s">
        <v>199</v>
      </c>
    </row>
    <row r="32" spans="3:18" x14ac:dyDescent="0.25">
      <c r="C32" s="28">
        <f>E23</f>
        <v>2.7046757374509705</v>
      </c>
      <c r="D32" t="s">
        <v>200</v>
      </c>
    </row>
    <row r="33" spans="2:6" x14ac:dyDescent="0.25">
      <c r="C33" s="28">
        <f>E20</f>
        <v>1.125</v>
      </c>
      <c r="D33" t="s">
        <v>114</v>
      </c>
    </row>
    <row r="34" spans="2:6" x14ac:dyDescent="0.25">
      <c r="C34">
        <f>Component_Selection!F16*Component_Selection!F15/D27/1000</f>
        <v>128.99999999999997</v>
      </c>
      <c r="D34" t="s">
        <v>107</v>
      </c>
      <c r="E34" t="s">
        <v>225</v>
      </c>
    </row>
    <row r="35" spans="2:6" x14ac:dyDescent="0.25">
      <c r="C35">
        <f>ROUND(SOA_Checks!C34/2,1)</f>
        <v>64.5</v>
      </c>
      <c r="D35" t="s">
        <v>110</v>
      </c>
    </row>
    <row r="37" spans="2:6" x14ac:dyDescent="0.25">
      <c r="C37" s="28">
        <f>10^(FLOOR(LOG(C31),1))</f>
        <v>0.1</v>
      </c>
      <c r="D37" t="s">
        <v>105</v>
      </c>
    </row>
    <row r="38" spans="2:6" x14ac:dyDescent="0.25">
      <c r="C38">
        <f>C37*10</f>
        <v>1</v>
      </c>
      <c r="D38" t="s">
        <v>106</v>
      </c>
    </row>
    <row r="39" spans="2:6" x14ac:dyDescent="0.25">
      <c r="B39" s="28"/>
      <c r="C39" s="28">
        <f>10^(FLOOR(LOG(C32),1))</f>
        <v>1</v>
      </c>
      <c r="D39" t="s">
        <v>201</v>
      </c>
    </row>
    <row r="40" spans="2:6" x14ac:dyDescent="0.25">
      <c r="C40">
        <f>C39*10</f>
        <v>10</v>
      </c>
      <c r="D40" t="s">
        <v>202</v>
      </c>
    </row>
    <row r="41" spans="2:6" x14ac:dyDescent="0.25">
      <c r="C41" s="28">
        <f>10^(FLOOR(LOG(C33),1))</f>
        <v>1</v>
      </c>
      <c r="D41" t="s">
        <v>103</v>
      </c>
    </row>
    <row r="42" spans="2:6" x14ac:dyDescent="0.25">
      <c r="C42">
        <f>C41*10</f>
        <v>10</v>
      </c>
      <c r="D42" t="s">
        <v>104</v>
      </c>
    </row>
    <row r="43" spans="2:6" x14ac:dyDescent="0.25">
      <c r="C43" s="28">
        <f>10^(FLOOR(LOG(C35),1))</f>
        <v>10</v>
      </c>
      <c r="D43" t="s">
        <v>108</v>
      </c>
    </row>
    <row r="44" spans="2:6" x14ac:dyDescent="0.25">
      <c r="C44">
        <f>C43*10</f>
        <v>100</v>
      </c>
      <c r="D44" t="s">
        <v>109</v>
      </c>
    </row>
    <row r="46" spans="2:6" x14ac:dyDescent="0.25">
      <c r="C46" t="s">
        <v>82</v>
      </c>
      <c r="D46" s="170" t="s">
        <v>111</v>
      </c>
      <c r="E46" s="170"/>
      <c r="F46" s="170"/>
    </row>
    <row r="47" spans="2:6" x14ac:dyDescent="0.25">
      <c r="C47" s="28">
        <f>C37</f>
        <v>0.1</v>
      </c>
      <c r="D47" s="52" t="str">
        <f>"Q1 Current handling at "&amp;C37&amp;"ms and "&amp; E17 &amp;"V"</f>
        <v>Q1 Current handling at 0.1ms and 60V</v>
      </c>
      <c r="E47" s="52">
        <f>Component_Selection!E59</f>
        <v>36</v>
      </c>
      <c r="F47" s="52" t="s">
        <v>26</v>
      </c>
    </row>
    <row r="48" spans="2:6" x14ac:dyDescent="0.25">
      <c r="C48" s="28">
        <f t="shared" ref="C48:C50" si="0">C38</f>
        <v>1</v>
      </c>
      <c r="D48" s="52" t="str">
        <f>"Q1 Current handling at "&amp;C38&amp;"ms and "&amp; E17 &amp;"V"</f>
        <v>Q1 Current handling at 1ms and 60V</v>
      </c>
      <c r="E48" s="52">
        <f>Component_Selection!E60</f>
        <v>6</v>
      </c>
      <c r="F48" s="52" t="s">
        <v>26</v>
      </c>
    </row>
    <row r="49" spans="3:6" x14ac:dyDescent="0.25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36</v>
      </c>
      <c r="F49" s="52" t="s">
        <v>26</v>
      </c>
    </row>
    <row r="50" spans="3:6" x14ac:dyDescent="0.25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6</v>
      </c>
      <c r="F50" s="52" t="s">
        <v>26</v>
      </c>
    </row>
    <row r="51" spans="3:6" x14ac:dyDescent="0.25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6</v>
      </c>
      <c r="F51" s="52" t="s">
        <v>26</v>
      </c>
    </row>
    <row r="52" spans="3:6" x14ac:dyDescent="0.25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1.5</v>
      </c>
      <c r="F52" s="52" t="s">
        <v>26</v>
      </c>
    </row>
    <row r="53" spans="3:6" x14ac:dyDescent="0.25">
      <c r="C53" s="28">
        <f>C41</f>
        <v>1</v>
      </c>
      <c r="D53" s="52" t="str">
        <f>"Q1 Current handling at "&amp;C41&amp;"ms and "&amp; E5 &amp;"V"</f>
        <v>Q1 Current handling at 1ms and 18.5V</v>
      </c>
      <c r="E53" s="52">
        <f>Component_Selection!E65</f>
        <v>100</v>
      </c>
      <c r="F53" s="52" t="s">
        <v>26</v>
      </c>
    </row>
    <row r="54" spans="3:6" x14ac:dyDescent="0.25">
      <c r="C54" s="28">
        <f>C42</f>
        <v>10</v>
      </c>
      <c r="D54" s="52" t="str">
        <f>"Q1 Current handling at "&amp;C42&amp;"ms and "&amp; E5 &amp;"V"</f>
        <v>Q1 Current handling at 10ms and 18.5V</v>
      </c>
      <c r="E54" s="52">
        <f>Component_Selection!E66</f>
        <v>40</v>
      </c>
      <c r="F54" s="52" t="s">
        <v>26</v>
      </c>
    </row>
    <row r="55" spans="3:6" x14ac:dyDescent="0.25">
      <c r="D55" s="1"/>
      <c r="E55" s="1"/>
      <c r="F55" s="1"/>
    </row>
    <row r="56" spans="3:6" x14ac:dyDescent="0.25">
      <c r="D56" s="1" t="s">
        <v>115</v>
      </c>
      <c r="E56" s="1"/>
      <c r="F56" s="1"/>
    </row>
    <row r="58" spans="3:6" x14ac:dyDescent="0.25">
      <c r="C58" t="s">
        <v>82</v>
      </c>
      <c r="D58" s="170" t="str">
        <f>" Temp Derated SOA (Tj ="&amp;ROUND(Component_Selection!F39,0)&amp;"C)"</f>
        <v xml:space="preserve"> Temp Derated SOA (Tj =89C)</v>
      </c>
      <c r="E58" s="170"/>
      <c r="F58" s="170"/>
    </row>
    <row r="59" spans="3:6" x14ac:dyDescent="0.25">
      <c r="D59" s="52" t="s">
        <v>253</v>
      </c>
      <c r="E59" s="46">
        <f>Component_Selection!F39</f>
        <v>89.155124653739605</v>
      </c>
      <c r="F59" s="52" t="s">
        <v>24</v>
      </c>
    </row>
    <row r="60" spans="3:6" x14ac:dyDescent="0.25">
      <c r="D60" s="52" t="s">
        <v>115</v>
      </c>
      <c r="E60" s="46">
        <f>(Component_Selection!F29-E59)/(Component_Selection!F29-25)</f>
        <v>0.57229916897506927</v>
      </c>
      <c r="F60" s="52"/>
    </row>
    <row r="61" spans="3:6" x14ac:dyDescent="0.25">
      <c r="C61" s="28">
        <f t="shared" ref="C61:D68" si="1">C47</f>
        <v>0.1</v>
      </c>
      <c r="D61" s="52" t="str">
        <f t="shared" si="1"/>
        <v>Q1 Current handling at 0.1ms and 60V</v>
      </c>
      <c r="E61" s="46">
        <f t="shared" ref="E61:E68" si="2">E47*$E$60</f>
        <v>20.602770083102495</v>
      </c>
      <c r="F61" s="52" t="s">
        <v>26</v>
      </c>
    </row>
    <row r="62" spans="3:6" x14ac:dyDescent="0.25">
      <c r="C62" s="28">
        <f t="shared" si="1"/>
        <v>1</v>
      </c>
      <c r="D62" s="52" t="str">
        <f t="shared" si="1"/>
        <v>Q1 Current handling at 1ms and 60V</v>
      </c>
      <c r="E62" s="46">
        <f t="shared" si="2"/>
        <v>3.4337950138504159</v>
      </c>
      <c r="F62" s="52" t="s">
        <v>26</v>
      </c>
    </row>
    <row r="63" spans="3:6" x14ac:dyDescent="0.25">
      <c r="C63" s="28">
        <f t="shared" si="1"/>
        <v>1</v>
      </c>
      <c r="D63" s="52" t="str">
        <f t="shared" si="1"/>
        <v>Q1 Current handling at 1ms and 60V</v>
      </c>
      <c r="E63" s="46">
        <f t="shared" si="2"/>
        <v>20.602770083102495</v>
      </c>
      <c r="F63" s="52" t="s">
        <v>26</v>
      </c>
    </row>
    <row r="64" spans="3:6" x14ac:dyDescent="0.25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3.4337950138504159</v>
      </c>
      <c r="F64" s="52" t="s">
        <v>26</v>
      </c>
    </row>
    <row r="65" spans="3:8" x14ac:dyDescent="0.25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3.4337950138504159</v>
      </c>
      <c r="F65" s="52" t="s">
        <v>26</v>
      </c>
    </row>
    <row r="66" spans="3:8" x14ac:dyDescent="0.25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0.85844875346260396</v>
      </c>
      <c r="F66" s="52" t="s">
        <v>26</v>
      </c>
    </row>
    <row r="67" spans="3:8" x14ac:dyDescent="0.25">
      <c r="C67" s="28">
        <f t="shared" si="1"/>
        <v>1</v>
      </c>
      <c r="D67" s="52" t="str">
        <f t="shared" si="1"/>
        <v>Q1 Current handling at 1ms and 18.5V</v>
      </c>
      <c r="E67" s="46">
        <f t="shared" si="2"/>
        <v>57.229916897506925</v>
      </c>
      <c r="F67" s="52" t="s">
        <v>26</v>
      </c>
    </row>
    <row r="68" spans="3:8" x14ac:dyDescent="0.25">
      <c r="C68" s="28">
        <f t="shared" si="1"/>
        <v>10</v>
      </c>
      <c r="D68" s="52" t="str">
        <f t="shared" si="1"/>
        <v>Q1 Current handling at 10ms and 18.5V</v>
      </c>
      <c r="E68" s="46">
        <f t="shared" si="2"/>
        <v>22.89196675900277</v>
      </c>
      <c r="F68" s="52" t="s">
        <v>26</v>
      </c>
    </row>
    <row r="69" spans="3:8" x14ac:dyDescent="0.25">
      <c r="D69" s="1"/>
      <c r="E69" s="1"/>
      <c r="F69" s="1"/>
    </row>
    <row r="70" spans="3:8" x14ac:dyDescent="0.25">
      <c r="D70" s="1"/>
      <c r="E70" s="1"/>
      <c r="F70" s="1"/>
    </row>
    <row r="71" spans="3:8" x14ac:dyDescent="0.25">
      <c r="G71" s="175" t="s">
        <v>230</v>
      </c>
      <c r="H71" s="175"/>
    </row>
    <row r="72" spans="3:8" x14ac:dyDescent="0.25">
      <c r="C72" t="s">
        <v>82</v>
      </c>
      <c r="D72" s="178" t="str">
        <f>" Extrapoloated SOA (Tj ="&amp;ROUND(Component_Selection!F39,0)&amp;"C)"</f>
        <v xml:space="preserve"> Extrapoloated SOA (Tj =89C)</v>
      </c>
      <c r="E72" s="178"/>
      <c r="F72" s="178"/>
      <c r="G72" t="s">
        <v>112</v>
      </c>
      <c r="H72" t="s">
        <v>113</v>
      </c>
    </row>
    <row r="73" spans="3:8" x14ac:dyDescent="0.25">
      <c r="C73" s="28">
        <f>C31</f>
        <v>0.91300907078430382</v>
      </c>
      <c r="D73" s="52" t="str">
        <f>"Short Circuit; Vds = "&amp;E17&amp;"V, t= " &amp;C31 &amp; "ms"</f>
        <v>Short Circuit; Vds = 60V, t= 0.913009070784304ms</v>
      </c>
      <c r="E73" s="46">
        <f>H73*C31^G73*$E$60</f>
        <v>3.6857911423866816</v>
      </c>
      <c r="F73" s="52" t="s">
        <v>26</v>
      </c>
      <c r="G73">
        <f>LN(E47/E48)/LN(C37/C38)</f>
        <v>-0.77815125038364374</v>
      </c>
      <c r="H73">
        <f>E47/C37^G73</f>
        <v>5.9999999999999982</v>
      </c>
    </row>
    <row r="74" spans="3:8" x14ac:dyDescent="0.25">
      <c r="C74" s="28">
        <f>C32</f>
        <v>2.7046757374509705</v>
      </c>
      <c r="D74" s="52" t="str">
        <f>"Short Circuit with resistor; Vds = "&amp;E17&amp;"V, t= " &amp;C32 &amp; "ms"</f>
        <v>Short Circuit with resistor; Vds = 60V, t= 2.70467573745097ms</v>
      </c>
      <c r="E74" s="46">
        <f t="shared" ref="E74" si="3">H74*C32^G74*$E$60</f>
        <v>9.4989287221752789</v>
      </c>
      <c r="F74" s="52" t="s">
        <v>26</v>
      </c>
      <c r="G74">
        <f>LN(E49/E50)/LN(C39/C40)</f>
        <v>-0.77815125038364374</v>
      </c>
      <c r="H74">
        <f>E49/C39^G74</f>
        <v>36</v>
      </c>
    </row>
    <row r="75" spans="3:8" x14ac:dyDescent="0.25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1.1178173621828713</v>
      </c>
      <c r="F75" s="52" t="s">
        <v>26</v>
      </c>
      <c r="G75">
        <f>LN(E51/E52)/LN(C43/C44)</f>
        <v>-0.6020599913279624</v>
      </c>
      <c r="H75">
        <f>E51/C43^G75</f>
        <v>24.000000000000007</v>
      </c>
    </row>
    <row r="76" spans="3:8" x14ac:dyDescent="0.25">
      <c r="C76" s="28">
        <f>C33</f>
        <v>1.125</v>
      </c>
      <c r="D76" s="52" t="str">
        <f>"Vd = 1.5V; Vds = "&amp;E5&amp;"V, t_eq= " &amp;C33 &amp; "ms"</f>
        <v>Vd = 1.5V; Vds = 18.5V, t_eq= 1.125ms</v>
      </c>
      <c r="E76" s="46">
        <f>H76*C33^G76*$E$60</f>
        <v>54.609409447713269</v>
      </c>
      <c r="F76" s="52" t="s">
        <v>26</v>
      </c>
      <c r="G76">
        <f>LN(E53/E54)/LN(C41/C42)</f>
        <v>-0.39794000867203766</v>
      </c>
      <c r="H76">
        <f>E53/C41^G76</f>
        <v>100</v>
      </c>
    </row>
    <row r="79" spans="3:8" x14ac:dyDescent="0.25">
      <c r="C79" t="s">
        <v>82</v>
      </c>
      <c r="D79" s="178" t="s">
        <v>231</v>
      </c>
      <c r="E79" s="178"/>
      <c r="F79" s="178"/>
    </row>
    <row r="80" spans="3:8" x14ac:dyDescent="0.25">
      <c r="C80" s="28">
        <f>C73</f>
        <v>0.91300907078430382</v>
      </c>
      <c r="D80" s="52" t="str">
        <f>D73</f>
        <v>Short Circuit; Vds = 60V, t= 0.913009070784304ms</v>
      </c>
      <c r="E80" s="46">
        <f>E11</f>
        <v>1.6666666666666665</v>
      </c>
      <c r="F80" s="52" t="s">
        <v>26</v>
      </c>
    </row>
    <row r="81" spans="3:6" x14ac:dyDescent="0.25">
      <c r="C81" s="28">
        <f t="shared" ref="C81:D83" si="4">C74</f>
        <v>2.7046757374509705</v>
      </c>
      <c r="D81" s="52" t="str">
        <f t="shared" si="4"/>
        <v>Short Circuit with resistor; Vds = 60V, t= 2.70467573745097ms</v>
      </c>
      <c r="E81" s="46">
        <f>E11</f>
        <v>1.6666666666666665</v>
      </c>
      <c r="F81" s="52" t="s">
        <v>26</v>
      </c>
    </row>
    <row r="82" spans="3:6" x14ac:dyDescent="0.25">
      <c r="C82" s="28">
        <f t="shared" si="4"/>
        <v>64.5</v>
      </c>
      <c r="D82" s="52" t="str">
        <f t="shared" si="4"/>
        <v>Start-up ; Vds = 60V, t_eq= 64.5ms</v>
      </c>
      <c r="E82" s="46">
        <f>E6</f>
        <v>0.30697674418604654</v>
      </c>
      <c r="F82" s="52" t="s">
        <v>26</v>
      </c>
    </row>
    <row r="83" spans="3:6" x14ac:dyDescent="0.25">
      <c r="C83" s="28">
        <f t="shared" si="4"/>
        <v>1.125</v>
      </c>
      <c r="D83" s="52" t="str">
        <f t="shared" si="4"/>
        <v>Vd = 1.5V; Vds = 18.5V, t_eq= 1.125ms</v>
      </c>
      <c r="E83" s="46">
        <f>E10</f>
        <v>13.888888888888889</v>
      </c>
      <c r="F83" s="52" t="s">
        <v>26</v>
      </c>
    </row>
    <row r="84" spans="3:6" x14ac:dyDescent="0.25">
      <c r="C84" s="28"/>
      <c r="D84" s="52"/>
      <c r="E84" s="46"/>
      <c r="F84" s="52"/>
    </row>
    <row r="85" spans="3:6" x14ac:dyDescent="0.25">
      <c r="D85" s="178" t="s">
        <v>116</v>
      </c>
      <c r="E85" s="178"/>
      <c r="F85" s="178"/>
    </row>
    <row r="86" spans="3:6" x14ac:dyDescent="0.25">
      <c r="D86" s="52" t="str">
        <f>D80</f>
        <v>Short Circuit; Vds = 60V, t= 0.913009070784304ms</v>
      </c>
      <c r="E86" s="46">
        <f>E73/E80</f>
        <v>2.2114746854320093</v>
      </c>
      <c r="F86" s="52"/>
    </row>
    <row r="87" spans="3:6" x14ac:dyDescent="0.25">
      <c r="D87" s="52" t="str">
        <f>D81</f>
        <v>Short Circuit with resistor; Vds = 60V, t= 2.70467573745097ms</v>
      </c>
      <c r="E87" s="46">
        <f>E74/E81</f>
        <v>5.6993572333051681</v>
      </c>
      <c r="F87" s="52"/>
    </row>
    <row r="88" spans="3:6" x14ac:dyDescent="0.25">
      <c r="D88" s="52" t="str">
        <f>D82</f>
        <v>Start-up ; Vds = 60V, t_eq= 64.5ms</v>
      </c>
      <c r="E88" s="46">
        <f>E75/E82</f>
        <v>3.6413747404442018</v>
      </c>
      <c r="F88" s="52"/>
    </row>
    <row r="89" spans="3:6" x14ac:dyDescent="0.25">
      <c r="D89" s="52" t="str">
        <f>D83</f>
        <v>Vd = 1.5V; Vds = 18.5V, t_eq= 1.125ms</v>
      </c>
      <c r="E89" s="46">
        <f>E76/E83</f>
        <v>3.9318774802353551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x14ac:dyDescent="0.25">
      <c r="D2" t="s">
        <v>119</v>
      </c>
      <c r="G2" t="s">
        <v>15</v>
      </c>
      <c r="H2">
        <f>Component_Selection!E19</f>
        <v>25</v>
      </c>
    </row>
    <row r="3" spans="3:17" x14ac:dyDescent="0.25">
      <c r="D3" t="s">
        <v>120</v>
      </c>
    </row>
    <row r="5" spans="3:17" x14ac:dyDescent="0.25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x14ac:dyDescent="0.25">
      <c r="C6" s="29" t="s">
        <v>76</v>
      </c>
      <c r="D6" s="28">
        <f>E6*(1-H6)</f>
        <v>9.5</v>
      </c>
      <c r="E6" s="28">
        <f>H2/Component_Selection!E83</f>
        <v>10</v>
      </c>
      <c r="F6" s="28">
        <f>E6*(1+H6)</f>
        <v>10.5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x14ac:dyDescent="0.25">
      <c r="C7" s="29" t="s">
        <v>77</v>
      </c>
      <c r="D7" s="28">
        <f>E7*(1-H7)</f>
        <v>0.78800000000000003</v>
      </c>
      <c r="E7" s="28">
        <f>Error_Calculation!N19/Component_Selection!E83</f>
        <v>1.2</v>
      </c>
      <c r="F7" s="28">
        <f>E7*(1+H7)</f>
        <v>1.6119999999999999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x14ac:dyDescent="0.25">
      <c r="C8" s="29" t="s">
        <v>40</v>
      </c>
      <c r="D8" s="28">
        <f>E8*(1-H8)</f>
        <v>36.090142857142858</v>
      </c>
      <c r="E8" s="28">
        <f>(Component_Selection!E84+Component_Selection!E85)/Component_Selection!E85*Error_Calculation!$N$7</f>
        <v>36.714285714285715</v>
      </c>
      <c r="F8" s="28">
        <f>E8*(1+H8)</f>
        <v>37.338428571428572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x14ac:dyDescent="0.25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x14ac:dyDescent="0.25">
      <c r="C10" s="29" t="s">
        <v>59</v>
      </c>
      <c r="D10" s="28">
        <f>D8-F9</f>
        <v>33.848142857142861</v>
      </c>
      <c r="E10" s="28">
        <f>E8-E9</f>
        <v>34.714285714285715</v>
      </c>
      <c r="F10" s="28">
        <f>F8-D9</f>
        <v>35.58042857142857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x14ac:dyDescent="0.25">
      <c r="C11" s="29" t="s">
        <v>42</v>
      </c>
      <c r="D11" s="28">
        <f>E11*(1-H11)</f>
        <v>58.69603278688524</v>
      </c>
      <c r="E11" s="28">
        <f>(Component_Selection!E86+Component_Selection!E87)/Component_Selection!E87*Error_Calculation!$N$7</f>
        <v>60.016393442622949</v>
      </c>
      <c r="F11" s="28">
        <f>E11*(1+H11)</f>
        <v>61.336754098360657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x14ac:dyDescent="0.25">
      <c r="C12" s="29" t="s">
        <v>72</v>
      </c>
      <c r="D12" s="28">
        <f>E12*(1-H12)</f>
        <v>2.8479600000000005</v>
      </c>
      <c r="E12" s="28">
        <f>Error_Calculation!$N$9*Component_Selection!E86*0.001</f>
        <v>3.24</v>
      </c>
      <c r="F12" s="28">
        <f>E12*(1+H12)</f>
        <v>3.6320400000000004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x14ac:dyDescent="0.25">
      <c r="C13" s="29" t="s">
        <v>41</v>
      </c>
      <c r="D13" s="28">
        <f>D11-F12</f>
        <v>55.063992786885237</v>
      </c>
      <c r="E13" s="28">
        <f>E11-E12</f>
        <v>56.776393442622947</v>
      </c>
      <c r="F13" s="28">
        <f>F11-D12</f>
        <v>58.488794098360657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x14ac:dyDescent="0.25">
      <c r="C14" s="29" t="s">
        <v>60</v>
      </c>
      <c r="D14" s="28">
        <f>E14*(1-H14)</f>
        <v>17.204999999999998</v>
      </c>
      <c r="E14" s="28">
        <f>(Component_Selection!E88+Error_Calculation!N17)/Error_Calculation!N17*Error_Calculation!N16</f>
        <v>18.5</v>
      </c>
      <c r="F14" s="28">
        <f>E14*(1+H14)</f>
        <v>19.795000000000002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x14ac:dyDescent="0.25">
      <c r="C15" s="29" t="s">
        <v>67</v>
      </c>
      <c r="D15" s="28">
        <f>E15*(1-H15)</f>
        <v>0.13813953488372094</v>
      </c>
      <c r="E15" s="28">
        <f>Component_Selection!F16*Error_Calculation!N22/Component_Selection!E89*0.001</f>
        <v>0.30697674418604654</v>
      </c>
      <c r="F15" s="28">
        <f>E15*(1+H15)</f>
        <v>0.47581395348837213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x14ac:dyDescent="0.25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x14ac:dyDescent="0.25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x14ac:dyDescent="0.25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x14ac:dyDescent="0.25">
      <c r="C20" s="29" t="s">
        <v>76</v>
      </c>
      <c r="D20" s="28">
        <f>E20*(1-H20)</f>
        <v>9.5876894374382342</v>
      </c>
      <c r="E20" s="28">
        <f>H2/Component_Selection!E83</f>
        <v>10</v>
      </c>
      <c r="F20" s="28">
        <f>E20*(1+H20)</f>
        <v>10.412310562561766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x14ac:dyDescent="0.25">
      <c r="C21" s="29" t="s">
        <v>77</v>
      </c>
      <c r="D21" s="28">
        <f>E21*(1-H21)</f>
        <v>0.79982004048178523</v>
      </c>
      <c r="E21" s="28">
        <f>Error_Calculation!N19/Component_Selection!E83</f>
        <v>1.2</v>
      </c>
      <c r="F21" s="28">
        <f>E21*(1+H21)</f>
        <v>1.6001799595182149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x14ac:dyDescent="0.25">
      <c r="C22" s="29" t="s">
        <v>40</v>
      </c>
      <c r="D22" s="28">
        <f>E22*(1-H22)</f>
        <v>36.16112922463671</v>
      </c>
      <c r="E22" s="28">
        <f>(Component_Selection!E84+Component_Selection!E85)/Component_Selection!E85*Error_Calculation!$N$7</f>
        <v>36.714285714285715</v>
      </c>
      <c r="F22" s="28">
        <f>E22*(1+H22)</f>
        <v>37.267442203934721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25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25">
      <c r="C24" s="29" t="s">
        <v>59</v>
      </c>
      <c r="D24" s="28">
        <f>D22-F23</f>
        <v>33.921120891448048</v>
      </c>
      <c r="E24" s="28">
        <f>E22-E23</f>
        <v>34.714285714285715</v>
      </c>
      <c r="F24" s="28">
        <f>F22-D23</f>
        <v>35.507450537123383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25">
      <c r="C25" s="29" t="s">
        <v>42</v>
      </c>
      <c r="D25" s="28">
        <f>E25*(1-H25)</f>
        <v>58.813068495774587</v>
      </c>
      <c r="E25" s="28">
        <f>(Component_Selection!E86+Component_Selection!E87)/Component_Selection!E87*Error_Calculation!$N$7</f>
        <v>60.016393442622949</v>
      </c>
      <c r="F25" s="28">
        <f>E25*(1+H25)</f>
        <v>61.219718389471311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25">
      <c r="C26" s="29" t="s">
        <v>72</v>
      </c>
      <c r="D26" s="28">
        <f>E26*(1-H26)</f>
        <v>2.8511865002343675</v>
      </c>
      <c r="E26" s="28">
        <f>Error_Calculation!$N$9*Component_Selection!E86*0.001</f>
        <v>3.24</v>
      </c>
      <c r="F26" s="28">
        <f>E26*(1+H26)</f>
        <v>3.6288134997656334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25">
      <c r="C27" s="29" t="s">
        <v>41</v>
      </c>
      <c r="D27" s="28">
        <f>D25-F26</f>
        <v>55.184254996008953</v>
      </c>
      <c r="E27" s="28">
        <f>E25-E26</f>
        <v>56.776393442622947</v>
      </c>
      <c r="F27" s="28">
        <f>F25-D26</f>
        <v>58.368531889236941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25">
      <c r="C28" s="29" t="s">
        <v>60</v>
      </c>
      <c r="D28" s="28">
        <f>E28*(1-H28)</f>
        <v>17.503744510680118</v>
      </c>
      <c r="E28" s="28">
        <f>(Component_Selection!E88+Error_Calculation!N17)/Error_Calculation!N17*Error_Calculation!N16</f>
        <v>18.5</v>
      </c>
      <c r="F28" s="28">
        <f>E28*(1+H28)</f>
        <v>19.496255489319886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0.18709849334654907</v>
      </c>
      <c r="E29" s="28">
        <f>Component_Selection!F16*Error_Calculation!N22/Component_Selection!E89*0.001</f>
        <v>0.30697674418604654</v>
      </c>
      <c r="F29" s="28">
        <f>E29*(1+H29)</f>
        <v>0.42685499502554403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x14ac:dyDescent="0.25">
      <c r="C6" t="s">
        <v>26</v>
      </c>
      <c r="D6">
        <v>20</v>
      </c>
      <c r="E6" t="s">
        <v>162</v>
      </c>
    </row>
    <row r="7" spans="2:22" x14ac:dyDescent="0.25">
      <c r="C7" t="s">
        <v>158</v>
      </c>
      <c r="D7">
        <v>30</v>
      </c>
      <c r="E7" t="s">
        <v>50</v>
      </c>
    </row>
    <row r="8" spans="2:22" x14ac:dyDescent="0.25">
      <c r="C8" t="s">
        <v>159</v>
      </c>
      <c r="D8">
        <v>130</v>
      </c>
      <c r="E8" t="s">
        <v>50</v>
      </c>
    </row>
    <row r="9" spans="2:22" x14ac:dyDescent="0.25">
      <c r="C9" t="s">
        <v>160</v>
      </c>
      <c r="D9">
        <v>20</v>
      </c>
      <c r="E9" t="s">
        <v>7</v>
      </c>
    </row>
    <row r="10" spans="2:22" x14ac:dyDescent="0.25">
      <c r="C10" t="s">
        <v>161</v>
      </c>
      <c r="D10">
        <v>1.5</v>
      </c>
      <c r="E10" t="s">
        <v>26</v>
      </c>
    </row>
    <row r="11" spans="2:22" x14ac:dyDescent="0.25">
      <c r="C11" t="s">
        <v>166</v>
      </c>
      <c r="D11">
        <v>1</v>
      </c>
      <c r="E11" t="s">
        <v>167</v>
      </c>
    </row>
    <row r="12" spans="2:22" x14ac:dyDescent="0.25">
      <c r="C12" t="s">
        <v>80</v>
      </c>
      <c r="D12">
        <v>60</v>
      </c>
      <c r="E12" t="s">
        <v>4</v>
      </c>
    </row>
    <row r="14" spans="2:22" x14ac:dyDescent="0.25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x14ac:dyDescent="0.25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25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x14ac:dyDescent="0.25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x14ac:dyDescent="0.25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x14ac:dyDescent="0.25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x14ac:dyDescent="0.25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x14ac:dyDescent="0.25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x14ac:dyDescent="0.25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x14ac:dyDescent="0.25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x14ac:dyDescent="0.25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x14ac:dyDescent="0.25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x14ac:dyDescent="0.25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x14ac:dyDescent="0.25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x14ac:dyDescent="0.25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x14ac:dyDescent="0.25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x14ac:dyDescent="0.25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x14ac:dyDescent="0.25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x14ac:dyDescent="0.25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x14ac:dyDescent="0.25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2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2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25">
      <c r="K37" t="s">
        <v>173</v>
      </c>
      <c r="L37">
        <f>SUM(L16:L35)</f>
        <v>164.73573026068942</v>
      </c>
      <c r="M37" t="s">
        <v>176</v>
      </c>
    </row>
    <row r="38" spans="2:13" x14ac:dyDescent="0.2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25">
      <c r="E2" t="s">
        <v>235</v>
      </c>
      <c r="F2">
        <f>Component_Selection!F15</f>
        <v>60</v>
      </c>
      <c r="G2" t="s">
        <v>4</v>
      </c>
    </row>
    <row r="3" spans="5:9" x14ac:dyDescent="0.25">
      <c r="E3" t="s">
        <v>236</v>
      </c>
      <c r="F3">
        <f>Component_Selection!F16</f>
        <v>660</v>
      </c>
      <c r="G3" t="s">
        <v>23</v>
      </c>
    </row>
    <row r="4" spans="5:9" x14ac:dyDescent="0.25">
      <c r="E4" t="s">
        <v>237</v>
      </c>
      <c r="F4">
        <f>SOA_Checks!D27</f>
        <v>0.30697674418604654</v>
      </c>
      <c r="G4" t="s">
        <v>26</v>
      </c>
      <c r="H4" t="s">
        <v>238</v>
      </c>
    </row>
    <row r="6" spans="5:9" x14ac:dyDescent="0.25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25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25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25">
      <c r="E9">
        <f>E8+0.01</f>
        <v>10.01</v>
      </c>
      <c r="F9">
        <f>$F$4</f>
        <v>0.30697674418604654</v>
      </c>
      <c r="G9">
        <f>G8</f>
        <v>60</v>
      </c>
      <c r="H9">
        <f t="shared" si="0"/>
        <v>18.418604651162791</v>
      </c>
      <c r="I9">
        <f>H9</f>
        <v>18.418604651162791</v>
      </c>
    </row>
    <row r="10" spans="5:9" x14ac:dyDescent="0.25">
      <c r="E10">
        <f>AVERAGE(E9,E12)</f>
        <v>74.509999999999977</v>
      </c>
      <c r="F10">
        <f>F9</f>
        <v>0.30697674418604654</v>
      </c>
      <c r="G10">
        <v>30</v>
      </c>
      <c r="H10">
        <f t="shared" si="0"/>
        <v>9.2093023255813957</v>
      </c>
      <c r="I10">
        <f>I9</f>
        <v>18.418604651162791</v>
      </c>
    </row>
    <row r="11" spans="5:9" x14ac:dyDescent="0.25">
      <c r="E11">
        <f>E10+0.01</f>
        <v>74.519999999999982</v>
      </c>
      <c r="F11">
        <f>F10</f>
        <v>0.30697674418604654</v>
      </c>
      <c r="G11">
        <f>G10</f>
        <v>30</v>
      </c>
      <c r="H11">
        <f t="shared" si="0"/>
        <v>9.2093023255813957</v>
      </c>
      <c r="I11">
        <v>0</v>
      </c>
    </row>
    <row r="12" spans="5:9" x14ac:dyDescent="0.25">
      <c r="E12">
        <f>E9+F3*F2/F12/1000</f>
        <v>139.00999999999996</v>
      </c>
      <c r="F12">
        <f>F10</f>
        <v>0.30697674418604654</v>
      </c>
      <c r="G12">
        <v>0</v>
      </c>
      <c r="H12">
        <f>G12*F12</f>
        <v>0</v>
      </c>
      <c r="I12">
        <v>0</v>
      </c>
    </row>
    <row r="13" spans="5:9" x14ac:dyDescent="0.25">
      <c r="E13">
        <f>E12+0.01</f>
        <v>139.01999999999995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25">
      <c r="E14">
        <f>E13+10</f>
        <v>149.01999999999995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25">
      <c r="G18" t="s">
        <v>170</v>
      </c>
      <c r="H18" t="s">
        <v>161</v>
      </c>
    </row>
    <row r="19" spans="7:8" x14ac:dyDescent="0.25">
      <c r="G19">
        <v>1</v>
      </c>
      <c r="H19" s="28">
        <f>SOA_Checks!E10</f>
        <v>13.888888888888889</v>
      </c>
    </row>
    <row r="20" spans="7:8" x14ac:dyDescent="0.25">
      <c r="G20" s="28">
        <f>SOA_Checks!E5</f>
        <v>18.5</v>
      </c>
      <c r="H20" s="28">
        <f>H19</f>
        <v>13.888888888888889</v>
      </c>
    </row>
    <row r="21" spans="7:8" x14ac:dyDescent="0.25">
      <c r="G21" s="28">
        <f>G20+0.01</f>
        <v>18.510000000000002</v>
      </c>
      <c r="H21" s="28">
        <f>SOA_Checks!E11</f>
        <v>1.6666666666666665</v>
      </c>
    </row>
    <row r="22" spans="7:8" x14ac:dyDescent="0.25">
      <c r="G22">
        <v>100</v>
      </c>
      <c r="H22" s="28">
        <f>H21</f>
        <v>1.6666666666666665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25">
      <c r="C3" t="s">
        <v>26</v>
      </c>
      <c r="D3" s="28">
        <f>BrownOut!C10/BrownOut!C15</f>
        <v>4.752E-2</v>
      </c>
      <c r="E3" s="24" t="s">
        <v>89</v>
      </c>
      <c r="F3" t="s">
        <v>85</v>
      </c>
    </row>
    <row r="4" spans="2:9" x14ac:dyDescent="0.25">
      <c r="C4" t="s">
        <v>84</v>
      </c>
      <c r="D4" s="28">
        <f>BrownOut!C11/BrownOut!C15</f>
        <v>28.8</v>
      </c>
      <c r="E4" s="24" t="s">
        <v>4</v>
      </c>
      <c r="F4" t="s">
        <v>86</v>
      </c>
    </row>
    <row r="5" spans="2:9" x14ac:dyDescent="0.25">
      <c r="C5" t="s">
        <v>87</v>
      </c>
      <c r="D5" s="28">
        <f>D3*(BrownOut!C6-BrownOut!C17)+D3*D4*LN((BrownOut!C6-D4)/(BrownOut!C17-D4))</f>
        <v>1.9814020126326248</v>
      </c>
      <c r="E5" s="24" t="s">
        <v>55</v>
      </c>
      <c r="F5" t="s">
        <v>88</v>
      </c>
    </row>
    <row r="6" spans="2:9" x14ac:dyDescent="0.25">
      <c r="C6" t="s">
        <v>97</v>
      </c>
      <c r="D6" s="28">
        <f>AVERAGE(BrownOut!C17,BrownOut!C6)</f>
        <v>49.565490364671447</v>
      </c>
      <c r="E6" s="24" t="s">
        <v>4</v>
      </c>
    </row>
    <row r="7" spans="2:9" x14ac:dyDescent="0.25">
      <c r="C7" t="s">
        <v>96</v>
      </c>
      <c r="D7" s="28">
        <f>D3*(D6-BrownOut!C17)+D3*D4*LN((D6-D4)/(BrownOut!C17-D4))</f>
        <v>1.1140791045081526</v>
      </c>
      <c r="E7" s="24" t="s">
        <v>55</v>
      </c>
    </row>
    <row r="8" spans="2:9" x14ac:dyDescent="0.25">
      <c r="E8" s="56"/>
    </row>
    <row r="9" spans="2:9" x14ac:dyDescent="0.25">
      <c r="E9" s="56"/>
    </row>
    <row r="10" spans="2:9" x14ac:dyDescent="0.25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25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7.4074074074074074</v>
      </c>
      <c r="G11" s="28">
        <f>BrownOut!$C$11/E11</f>
        <v>7.4074074074074074</v>
      </c>
    </row>
    <row r="12" spans="2:9" x14ac:dyDescent="0.25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7.4074074074074074</v>
      </c>
      <c r="G12" s="28">
        <f>BrownOut!$C$11/E12</f>
        <v>7.4074074074074074</v>
      </c>
    </row>
    <row r="13" spans="2:9" x14ac:dyDescent="0.25">
      <c r="B13" s="48" t="s">
        <v>90</v>
      </c>
      <c r="C13">
        <f>C12+0.01</f>
        <v>2.5099999999999998</v>
      </c>
      <c r="D13" s="50">
        <f>BrownOut!$C$4</f>
        <v>35</v>
      </c>
      <c r="E13" s="56">
        <f>BrownOut!$C$3</f>
        <v>54</v>
      </c>
      <c r="F13">
        <f>IF(D13=E13,G13,IF(E13&gt;D13,0,BrownOut!$C$15))</f>
        <v>0</v>
      </c>
      <c r="G13" s="28">
        <f>BrownOut!$C$11/E13</f>
        <v>7.4074074074074074</v>
      </c>
    </row>
    <row r="14" spans="2:9" x14ac:dyDescent="0.25">
      <c r="C14">
        <f>C13+BrownOut!$C$5/4</f>
        <v>2.76</v>
      </c>
      <c r="D14" s="50">
        <f>BrownOut!$C$4</f>
        <v>35</v>
      </c>
      <c r="E14" s="71">
        <f>SQRT(E13^2-2*(C14-C13)*BrownOut!$C$11*(1+BrownOut!$C$12)/BrownOut!$C$14)-BrownOut!$C$8*BrownOut!$C$9/BrownOut!$C$14</f>
        <v>51.087565942598928</v>
      </c>
      <c r="F14">
        <f>IF(D14=E14,G14,IF(E14&gt;D14,0,BrownOut!$C$15))</f>
        <v>0</v>
      </c>
      <c r="G14" s="28">
        <f>BrownOut!$C$11/E14</f>
        <v>7.8296938329266421</v>
      </c>
      <c r="I14" t="s">
        <v>213</v>
      </c>
    </row>
    <row r="15" spans="2:9" x14ac:dyDescent="0.25">
      <c r="C15">
        <f>C14+BrownOut!$C$5/4</f>
        <v>3.01</v>
      </c>
      <c r="D15" s="50">
        <f>BrownOut!$C$4</f>
        <v>35</v>
      </c>
      <c r="E15" s="71">
        <f>SQRT(E14^2-2*(C15-C14)*BrownOut!$C$11*(1+BrownOut!$C$12)/BrownOut!$C$14)</f>
        <v>47.99873735713043</v>
      </c>
      <c r="F15">
        <f>IF(D15=E15,G15,IF(E15&gt;D15,0,BrownOut!$C$15))</f>
        <v>0</v>
      </c>
      <c r="G15" s="28">
        <f>BrownOut!$C$11/E15</f>
        <v>8.3335525479313084</v>
      </c>
    </row>
    <row r="16" spans="2:9" x14ac:dyDescent="0.25">
      <c r="C16">
        <f>C15+BrownOut!$C$5/4</f>
        <v>3.26</v>
      </c>
      <c r="D16" s="50">
        <f>BrownOut!$C$4</f>
        <v>35</v>
      </c>
      <c r="E16" s="71">
        <f>SQRT(E15^2-2*(C16-C15)*BrownOut!$C$11*(1+BrownOut!$C$12)/BrownOut!$C$14)</f>
        <v>44.696959424754859</v>
      </c>
      <c r="F16">
        <f>IF(D16=E16,G16,IF(E16&gt;D16,0,BrownOut!$C$15))</f>
        <v>0</v>
      </c>
      <c r="G16" s="28">
        <f>BrownOut!$C$11/E16</f>
        <v>8.9491545990590353</v>
      </c>
    </row>
    <row r="17" spans="2:7" x14ac:dyDescent="0.25">
      <c r="B17" s="48" t="s">
        <v>91</v>
      </c>
      <c r="C17">
        <f>C13+BrownOut!C5</f>
        <v>3.51</v>
      </c>
      <c r="D17" s="50">
        <f>BrownOut!$C$4</f>
        <v>35</v>
      </c>
      <c r="E17" s="71">
        <f>SQRT(E16^2-2*(C17-C16)*BrownOut!$C$11*(1+BrownOut!$C$12)/BrownOut!$C$14)</f>
        <v>41.130980729342888</v>
      </c>
      <c r="F17">
        <f>IF(D17=E17,G17,IF(E17&gt;D17,0,BrownOut!$C$15))</f>
        <v>0</v>
      </c>
      <c r="G17" s="28">
        <f>BrownOut!$C$11/E17</f>
        <v>9.7250294767379462</v>
      </c>
    </row>
    <row r="18" spans="2:7" x14ac:dyDescent="0.25">
      <c r="B18" s="48" t="s">
        <v>92</v>
      </c>
      <c r="C18">
        <f>C17+0.001</f>
        <v>3.5109999999999997</v>
      </c>
      <c r="D18" s="50">
        <f>BrownOut!$C$6</f>
        <v>58</v>
      </c>
      <c r="E18" s="71">
        <f>SQRT(E17^2-2*(C18-C17)*BrownOut!$C$11*(1+BrownOut!$C$12)/BrownOut!$C$14)</f>
        <v>41.116095793902097</v>
      </c>
      <c r="F18">
        <v>0</v>
      </c>
      <c r="G18" s="28">
        <f>BrownOut!$C$11/E18</f>
        <v>9.7285501523547797</v>
      </c>
    </row>
    <row r="19" spans="2:7" x14ac:dyDescent="0.25">
      <c r="B19" t="s">
        <v>212</v>
      </c>
      <c r="C19">
        <f>C18+BrownOut!C13</f>
        <v>3.7109999999999999</v>
      </c>
      <c r="D19" s="50">
        <f>BrownOut!$C$6</f>
        <v>58</v>
      </c>
      <c r="E19" s="71">
        <f>SQRT(E18^2-2*(C19-C18)*BrownOut!$C$11*(1+BrownOut!$C$12)/BrownOut!$C$14)</f>
        <v>38.022162596107663</v>
      </c>
      <c r="F19">
        <f>IF(D19=E19,G19,IF(E19&gt;D19,0,BrownOut!$C$15))</f>
        <v>13.888888888888889</v>
      </c>
      <c r="G19" s="28">
        <f>BrownOut!$C$11/E19</f>
        <v>10.520180144644064</v>
      </c>
    </row>
    <row r="20" spans="2:7" x14ac:dyDescent="0.25">
      <c r="C20" s="28">
        <f>C19+$D$3*(E20-E19)+$D$3*$D$4*LN((E20-$D$4)/(E19-$D$4))</f>
        <v>4.5406595143029991</v>
      </c>
      <c r="D20" s="50">
        <f>BrownOut!$C$6</f>
        <v>58</v>
      </c>
      <c r="E20" s="71">
        <f>E19+($E$23-$E$19)*1/4</f>
        <v>43.01662194708075</v>
      </c>
      <c r="F20">
        <f>IF(D20=E20,G20,IF(E20&gt;D20,0,BrownOut!$C$15))</f>
        <v>13.888888888888889</v>
      </c>
      <c r="G20" s="28">
        <f>BrownOut!$C$11/E20</f>
        <v>9.2987310926479037</v>
      </c>
    </row>
    <row r="21" spans="2:7" x14ac:dyDescent="0.25">
      <c r="C21" s="28">
        <f>C20+$D$3*(E21-E20)+$D$3*$D$4*LN((E21-$D$4)/(E20-$D$4))</f>
        <v>5.1900408218589398</v>
      </c>
      <c r="D21" s="50">
        <f>BrownOut!$C$6</f>
        <v>58</v>
      </c>
      <c r="E21" s="71">
        <f>E20+($E$23-$E$19)*1/4</f>
        <v>48.011081298053838</v>
      </c>
      <c r="F21">
        <f>IF(D21=E21,G21,IF(E21&gt;D21,0,BrownOut!$C$15))</f>
        <v>13.888888888888889</v>
      </c>
      <c r="G21" s="28">
        <f>BrownOut!$C$11/E21</f>
        <v>8.3314099409007536</v>
      </c>
    </row>
    <row r="22" spans="2:7" x14ac:dyDescent="0.25">
      <c r="B22" s="48" t="s">
        <v>95</v>
      </c>
      <c r="C22" s="28">
        <f>C21+$D$3*(E22-E21)+$D$3*$D$4*LN((E22-$D$4)/(E21-$D$4))</f>
        <v>5.7436476373360508</v>
      </c>
      <c r="D22" s="50">
        <f>BrownOut!$C$6</f>
        <v>58</v>
      </c>
      <c r="E22" s="71">
        <f>E21+($E$23-$E$19)*1/4</f>
        <v>53.005540649026926</v>
      </c>
      <c r="F22">
        <f>IF(D22=E22,G22,IF(E22&gt;D22,0,BrownOut!$C$15))</f>
        <v>13.888888888888889</v>
      </c>
      <c r="G22" s="28">
        <f>BrownOut!$C$11/E22</f>
        <v>7.5463809085275919</v>
      </c>
    </row>
    <row r="23" spans="2:7" x14ac:dyDescent="0.25">
      <c r="C23" s="28">
        <f>C22+$D$3*(E23-E22)+$D$3*$D$4*LN((E23-$D$4)/(E22-$D$4))</f>
        <v>6.2377116169258295</v>
      </c>
      <c r="D23" s="50">
        <f>BrownOut!$C$6</f>
        <v>58</v>
      </c>
      <c r="E23" s="107">
        <f>D23</f>
        <v>58</v>
      </c>
      <c r="F23">
        <f>IF(D23=E23,G23,IF(E23&gt;D23,0,BrownOut!$C$15))</f>
        <v>6.8965517241379306</v>
      </c>
      <c r="G23" s="28">
        <f>BrownOut!$C$11/E23</f>
        <v>6.8965517241379306</v>
      </c>
    </row>
    <row r="24" spans="2:7" x14ac:dyDescent="0.25">
      <c r="C24" s="28">
        <f>C23+2.5</f>
        <v>8.7377116169258287</v>
      </c>
      <c r="D24" s="50">
        <f>BrownOut!$C$6</f>
        <v>58</v>
      </c>
      <c r="E24" s="107">
        <f>D24</f>
        <v>58</v>
      </c>
      <c r="F24">
        <f>IF(D24=E24,G24,IF(E24&gt;D24,0,BrownOut!$C$15))</f>
        <v>6.8965517241379306</v>
      </c>
      <c r="G24" s="28">
        <f>BrownOut!$C$11/E24</f>
        <v>6.8965517241379306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2018-03-29T10:07:37Z</dcterms:modified>
</cp:coreProperties>
</file>