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8433" lockStructure="1"/>
  <bookViews>
    <workbookView xWindow="1695" yWindow="1575" windowWidth="14805" windowHeight="7470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45621"/>
</workbook>
</file>

<file path=xl/calcChain.xml><?xml version="1.0" encoding="utf-8"?>
<calcChain xmlns="http://schemas.openxmlformats.org/spreadsheetml/2006/main">
  <c r="F28" i="1" l="1"/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H14" i="7"/>
  <c r="G14" i="7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<sst xmlns="http://schemas.openxmlformats.org/spreadsheetml/2006/main" count="540" uniqueCount="266">
  <si>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</si>
  <si>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</si>
  <si>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</si>
  <si>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</si>
  <si>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</si>
  <si>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</si>
  <si>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</si>
  <si>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</si>
  <si>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</si>
  <si>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</si>
  <si>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</si>
  <si>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</si>
  <si>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</si>
  <si>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</si>
  <si>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</si>
  <si>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</si>
  <si>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</si>
  <si>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</si>
  <si>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</si>
  <si>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</si>
  <si>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</si>
  <si>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</si>
  <si>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</si>
  <si>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</si>
  <si>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</si>
  <si>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</si>
  <si>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</si>
  <si>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</si>
  <si>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</si>
  <si>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</si>
  <si>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</si>
  <si>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</si>
  <si>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</si>
  <si>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</si>
  <si>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</si>
  <si>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</si>
  <si>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</si>
  <si>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</si>
  <si>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</si>
  <si>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</si>
  <si>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</si>
  <si>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</si>
  <si>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</si>
  <si>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</si>
  <si>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</si>
  <si>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</si>
  <si>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</si>
  <si>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</si>
  <si>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</si>
  <si>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</si>
  <si>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</si>
  <si>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</si>
  <si>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</si>
  <si>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</si>
  <si>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</si>
  <si>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</si>
  <si>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</si>
  <si>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</si>
  <si>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</si>
  <si>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</si>
  <si>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</si>
  <si>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</si>
  <si>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</si>
  <si>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</si>
  <si>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</si>
  <si>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</si>
  <si>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</si>
  <si>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</si>
  <si>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</si>
  <si>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</si>
  <si>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</si>
  <si>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</si>
  <si>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</si>
  <si>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</si>
  <si>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</si>
  <si>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</si>
  <si>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</si>
  <si>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</si>
  <si>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</si>
  <si>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</si>
  <si>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</si>
  <si>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</si>
  <si>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</si>
  <si>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</si>
  <si>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</si>
  <si>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</si>
  <si>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</si>
  <si>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</si>
  <si>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</si>
  <si>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</si>
  <si>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</si>
  <si>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</si>
  <si>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</si>
  <si>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</si>
  <si>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</si>
  <si>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</si>
  <si>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</si>
  <si>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</si>
  <si>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</si>
  <si>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</si>
  <si>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</si>
  <si>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</si>
  <si>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</si>
  <si>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</si>
  <si>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</si>
  <si>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</si>
  <si>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</si>
  <si>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</si>
  <si>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</si>
  <si>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</si>
  <si>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</si>
  <si>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</si>
  <si>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</si>
  <si>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</si>
  <si>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</si>
  <si>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</si>
  <si>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</si>
  <si>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</si>
  <si>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</si>
  <si>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</si>
  <si>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</si>
  <si>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</si>
  <si>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</si>
  <si>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</si>
  <si>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</si>
  <si>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</si>
  <si>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</si>
  <si>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</si>
  <si>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</si>
  <si>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</si>
  <si>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</si>
  <si>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</si>
  <si>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</si>
  <si>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</si>
  <si>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</si>
  <si>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</si>
  <si>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</si>
  <si>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</si>
  <si>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</si>
  <si>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</si>
  <si>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</si>
  <si>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</si>
  <si>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</si>
  <si>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</si>
  <si>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</si>
  <si>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</si>
  <si>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</si>
  <si>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</si>
  <si>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</si>
  <si>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</si>
  <si>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</si>
  <si>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</si>
  <si>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</si>
  <si>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</si>
  <si>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</si>
  <si>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</si>
  <si>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</si>
  <si>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</si>
  <si>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</si>
  <si>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</si>
  <si>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</si>
  <si>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</si>
  <si>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</si>
  <si>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</si>
  <si>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</si>
  <si>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</si>
  <si>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</si>
  <si>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</si>
  <si>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</si>
  <si>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</si>
  <si>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</si>
  <si>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</si>
  <si>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</si>
  <si>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</si>
  <si>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</si>
  <si>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</si>
  <si>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</si>
  <si>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</si>
  <si>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</si>
  <si>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</si>
  <si>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</si>
  <si>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</si>
  <si>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</si>
  <si>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</si>
  <si>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</si>
  <si>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</si>
  <si>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</si>
  <si>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</si>
  <si>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</si>
  <si>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</si>
  <si>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</si>
  <si>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</si>
  <si>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</si>
  <si>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</si>
  <si>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</si>
  <si>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</si>
  <si>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</si>
  <si>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</si>
  <si>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</si>
  <si>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</si>
  <si>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</si>
  <si>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</si>
  <si>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</si>
  <si>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</si>
  <si>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</si>
  <si>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</si>
  <si>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</si>
  <si>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</si>
  <si>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</si>
  <si>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</si>
  <si>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</si>
  <si>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</si>
  <si>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</si>
  <si>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</si>
  <si>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</si>
  <si>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</si>
  <si>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</si>
  <si>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</si>
  <si>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</si>
  <si>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</si>
  <si>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</si>
  <si>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</si>
  <si>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</si>
  <si>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</si>
  <si>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</si>
  <si>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</si>
  <si>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</si>
  <si>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</si>
  <si>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</si>
  <si>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</si>
  <si>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</si>
  <si>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</si>
  <si>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</si>
  <si>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</si>
  <si>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</si>
  <si>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</si>
  <si>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</si>
  <si>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</si>
  <si>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</si>
  <si>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</si>
  <si>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</si>
  <si>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</si>
  <si>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</si>
  <si>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</si>
  <si>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</si>
  <si>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</si>
  <si>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</si>
  <si>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</si>
  <si>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</si>
  <si>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</si>
  <si>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</si>
  <si>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</si>
  <si>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</si>
  <si>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</si>
  <si>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</si>
  <si>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</si>
  <si>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</si>
  <si>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</si>
  <si>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</si>
  <si>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</si>
  <si>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</si>
  <si>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</si>
  <si>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</si>
  <si>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</si>
  <si>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CSD19536KTT</t>
  </si>
  <si>
    <t>CSD19532Q5B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</si>
</sst>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6</c:v>
                </c:pt>
                <c:pt idx="1">
                  <c:v>1.8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2.0614929238095057</c:v>
                </c:pt>
                <c:pt idx="1">
                  <c:v>0.61844787714285165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0.92249377590681914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0.6450939564343855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0.92249377590681914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75392"/>
        <c:axId val="116477312"/>
      </c:scatterChart>
      <c:valAx>
        <c:axId val="116475392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6477312"/>
        <c:crossesAt val="0.1"/>
        <c:crossBetween val="midCat"/>
      </c:valAx>
      <c:valAx>
        <c:axId val="11647731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647539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78496"/>
        <c:axId val="127580032"/>
      </c:scatterChart>
      <c:valAx>
        <c:axId val="1275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580032"/>
        <c:crosses val="autoZero"/>
        <c:crossBetween val="midCat"/>
      </c:valAx>
      <c:valAx>
        <c:axId val="12758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578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12416"/>
        <c:axId val="127614336"/>
      </c:scatterChart>
      <c:valAx>
        <c:axId val="127612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614336"/>
        <c:crosses val="autoZero"/>
        <c:crossBetween val="midCat"/>
      </c:valAx>
      <c:valAx>
        <c:axId val="127614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27612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</c:v>
                </c:pt>
                <c:pt idx="1">
                  <c:v>10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10.307464619047527</c:v>
                </c:pt>
                <c:pt idx="1">
                  <c:v>3.4358215396825091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0.99750000000000016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3.4399273810782347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0.99750000000000016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93280"/>
        <c:axId val="117399552"/>
      </c:scatterChart>
      <c:valAx>
        <c:axId val="11739328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7399552"/>
        <c:crossesAt val="0.1"/>
        <c:crossBetween val="midCat"/>
      </c:valAx>
      <c:valAx>
        <c:axId val="11739955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39328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69.41</c:v>
                </c:pt>
                <c:pt idx="4">
                  <c:v>69.42</c:v>
                </c:pt>
                <c:pt idx="5">
                  <c:v>128.81</c:v>
                </c:pt>
                <c:pt idx="6">
                  <c:v>128.82</c:v>
                </c:pt>
                <c:pt idx="7">
                  <c:v>138.82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20032"/>
        <c:axId val="117421952"/>
      </c:scatterChart>
      <c:valAx>
        <c:axId val="117420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421952"/>
        <c:crosses val="autoZero"/>
        <c:crossBetween val="midCat"/>
      </c:valAx>
      <c:valAx>
        <c:axId val="11742195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420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69.41</c:v>
                </c:pt>
                <c:pt idx="4">
                  <c:v>69.42</c:v>
                </c:pt>
                <c:pt idx="5">
                  <c:v>128.81</c:v>
                </c:pt>
                <c:pt idx="6">
                  <c:v>128.82</c:v>
                </c:pt>
                <c:pt idx="7">
                  <c:v>138.82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69.41</c:v>
                </c:pt>
                <c:pt idx="4">
                  <c:v>69.42</c:v>
                </c:pt>
                <c:pt idx="5">
                  <c:v>128.81</c:v>
                </c:pt>
                <c:pt idx="6">
                  <c:v>128.82</c:v>
                </c:pt>
                <c:pt idx="7">
                  <c:v>138.82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48704"/>
        <c:axId val="117450624"/>
      </c:scatterChart>
      <c:valAx>
        <c:axId val="117448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450624"/>
        <c:crosses val="autoZero"/>
        <c:crossBetween val="midCat"/>
      </c:valAx>
      <c:valAx>
        <c:axId val="117450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448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79296"/>
        <c:axId val="117481472"/>
      </c:scatterChart>
      <c:valAx>
        <c:axId val="117479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481472"/>
        <c:crosses val="autoZero"/>
        <c:crossBetween val="midCat"/>
      </c:valAx>
      <c:valAx>
        <c:axId val="11748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7479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1.8</c:v>
                </c:pt>
                <c:pt idx="1">
                  <c:v>1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0.61844787714285165</c:v>
                </c:pt>
                <c:pt idx="1">
                  <c:v>0.34358215396825093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59.4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0.39244310112551201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59.4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94752"/>
        <c:axId val="117605120"/>
      </c:scatterChart>
      <c:valAx>
        <c:axId val="117594752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17605120"/>
        <c:crossesAt val="0.1"/>
        <c:crossBetween val="midCat"/>
      </c:valAx>
      <c:valAx>
        <c:axId val="117605120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759475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43.446937333215601</c:v>
                </c:pt>
                <c:pt idx="4" formatCode="0.00">
                  <c:v>29.313354077497294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25600"/>
        <c:axId val="117627520"/>
      </c:scatterChart>
      <c:valAx>
        <c:axId val="11762560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7627520"/>
        <c:crosses val="autoZero"/>
        <c:crossBetween val="midCat"/>
      </c:valAx>
      <c:valAx>
        <c:axId val="117627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7625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24.888888888888889</c:v>
                </c:pt>
                <c:pt idx="1">
                  <c:v>24.888888888888889</c:v>
                </c:pt>
                <c:pt idx="2">
                  <c:v>24.888888888888889</c:v>
                </c:pt>
                <c:pt idx="3">
                  <c:v>30.934286338579245</c:v>
                </c:pt>
                <c:pt idx="4">
                  <c:v>45.849410355662293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24.888888888888889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97920"/>
        <c:axId val="118756864"/>
      </c:scatterChart>
      <c:valAx>
        <c:axId val="11769792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8756864"/>
        <c:crosses val="autoZero"/>
        <c:crossBetween val="midCat"/>
      </c:valAx>
      <c:valAx>
        <c:axId val="11875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17697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48032"/>
        <c:axId val="127553920"/>
      </c:scatterChart>
      <c:valAx>
        <c:axId val="1275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553920"/>
        <c:crosses val="autoZero"/>
        <c:crossBetween val="midCat"/>
      </c:valAx>
      <c:valAx>
        <c:axId val="12755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548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1" zoomScale="115" zoomScaleNormal="115" workbookViewId="0">
      <selection activeCell="D94" sqref="D94:F94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1344</v>
      </c>
      <c r="F14" s="131">
        <v>1344</v>
      </c>
      <c r="G14" s="23" t="s">
        <v>20</v>
      </c>
    </row>
    <row r="15" spans="2:40" ht="14.45" x14ac:dyDescent="0.3">
      <c r="C15" s="52" t="s">
        <v>19</v>
      </c>
      <c r="D15" s="129">
        <v>38</v>
      </c>
      <c r="E15" s="130">
        <v>48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60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40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28</v>
      </c>
      <c r="F20" s="139">
        <f>F14/D15</f>
        <v>35.368421052631582</v>
      </c>
      <c r="G20" s="23" t="s">
        <v>26</v>
      </c>
    </row>
    <row r="21" spans="3:21" ht="14.45" x14ac:dyDescent="0.3">
      <c r="C21" s="52" t="s">
        <v>28</v>
      </c>
      <c r="D21" s="30"/>
      <c r="E21" s="130">
        <v>28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1.4285714285714286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2</v>
      </c>
      <c r="F23" s="32"/>
      <c r="G23" s="22" t="s">
        <v>30</v>
      </c>
    </row>
    <row r="24" spans="3:21" ht="14.45" x14ac:dyDescent="0.3">
      <c r="C24" s="52" t="s">
        <v>32</v>
      </c>
      <c r="D24" s="30"/>
      <c r="E24" s="138">
        <f>Error_Calculation!H2/E23</f>
        <v>20</v>
      </c>
      <c r="F24" s="32"/>
      <c r="G24" s="23" t="s">
        <v>26</v>
      </c>
    </row>
    <row r="25" spans="3:21" ht="14.45" x14ac:dyDescent="0.3">
      <c r="C25" s="52" t="s">
        <v>33</v>
      </c>
      <c r="D25" s="30"/>
      <c r="E25" s="138">
        <f>Error_Calculation!N19/E23</f>
        <v>1.5</v>
      </c>
      <c r="F25" s="32"/>
      <c r="G25" s="23" t="s">
        <v>26</v>
      </c>
    </row>
    <row r="26" spans="3:21" ht="14.45" x14ac:dyDescent="0.3">
      <c r="C26" s="52" t="s">
        <v>34</v>
      </c>
      <c r="D26" s="78">
        <f>Error_Calculation!M13/E23</f>
        <v>0.75</v>
      </c>
      <c r="E26" s="25"/>
      <c r="F26" s="33"/>
      <c r="G26" s="55" t="s">
        <v>26</v>
      </c>
    </row>
    <row r="27" spans="3:21" ht="14.45" x14ac:dyDescent="0.3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f>1.5*1.5</f>
        <v>2.25</v>
      </c>
      <c r="G28" s="22" t="s">
        <v>30</v>
      </c>
    </row>
    <row r="29" spans="3:21" ht="14.45" x14ac:dyDescent="0.3">
      <c r="C29" s="52" t="s">
        <v>247</v>
      </c>
      <c r="D29" s="30"/>
      <c r="E29" s="30"/>
      <c r="F29" s="132">
        <v>175</v>
      </c>
      <c r="G29" s="22" t="s">
        <v>24</v>
      </c>
    </row>
    <row r="30" spans="3:21" thickBot="1" x14ac:dyDescent="0.35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4.5999999999999996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ht="14.45" x14ac:dyDescent="0.3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ht="14.45" x14ac:dyDescent="0.3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23.751056473300039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1.2692535380952472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1.8900840730331403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123.46267690476236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41.12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40.119999999999997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60.45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59.05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0.92249377590681914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2.4074937759068193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0.1ms and 60V</v>
      </c>
      <c r="D59" s="102"/>
      <c r="E59" s="146">
        <v>6</v>
      </c>
      <c r="F59" s="102"/>
      <c r="G59" s="101" t="s">
        <v>26</v>
      </c>
    </row>
    <row r="60" spans="1:7" x14ac:dyDescent="0.25">
      <c r="C60" s="52" t="str">
        <f>SOA_Checks!D48</f>
        <v>Q1 Current handling at 1ms and 60V</v>
      </c>
      <c r="D60" s="103"/>
      <c r="E60" s="146">
        <v>1.8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6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1.8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1.8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25">
      <c r="C65" s="52" t="str">
        <f>SOA_Checks!D53</f>
        <v>Q1 Current handling at 0.1ms and 20V</v>
      </c>
      <c r="D65" s="103"/>
      <c r="E65" s="146">
        <v>30</v>
      </c>
      <c r="F65" s="103"/>
      <c r="G65" s="101" t="s">
        <v>26</v>
      </c>
    </row>
    <row r="66" spans="3:21" x14ac:dyDescent="0.25">
      <c r="C66" s="50" t="str">
        <f>SOA_Checks!D54</f>
        <v>Q1 Current handling at 1ms and 20V</v>
      </c>
      <c r="D66" s="103"/>
      <c r="E66" s="146">
        <v>10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0.43006263762292368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0.86811701900754112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0.98110775281377993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20V)</v>
      </c>
      <c r="D70" s="104"/>
      <c r="E70" s="74">
        <f>SOA_Checks!E89</f>
        <v>0.17199636905391175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118.8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2.4925224327018944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140.00000000000057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2.3549201009251566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22.818181818181817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2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2.4900000000000002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140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2.355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39.6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118.8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13.3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22.8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19.175378874876468</v>
      </c>
      <c r="E95" s="46">
        <f>IF(Component_Selection!$D$94="Worst Case", Error_Calculation!E6, Error_Calculation!E20)</f>
        <v>20</v>
      </c>
      <c r="F95" s="46">
        <f>IF(Component_Selection!$D$94="Worst Case", Error_Calculation!F6, Error_Calculation!F20)</f>
        <v>20.824621125123532</v>
      </c>
      <c r="G95" s="143" t="s">
        <v>26</v>
      </c>
      <c r="H95" s="53">
        <f t="shared" ref="H95:H107" si="0">MAX(F95-E95, E95-D95)/E95</f>
        <v>4.1231056256176582E-2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0.9997750506022316</v>
      </c>
      <c r="E96" s="46">
        <f>IF(Component_Selection!$D$94="Worst Case", Error_Calculation!E7, Error_Calculation!E21)</f>
        <v>1.5</v>
      </c>
      <c r="F96" s="46">
        <f>IF(Component_Selection!$D$94="Worst Case", Error_Calculation!F7, Error_Calculation!F21)</f>
        <v>2.0002249493977686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40.540494959809841</v>
      </c>
      <c r="E97" s="46">
        <f>IF(Component_Selection!$D$94="Worst Case", Error_Calculation!E8, Error_Calculation!E22)</f>
        <v>41.160642570281119</v>
      </c>
      <c r="F97" s="46">
        <f>IF(Component_Selection!$D$94="Worst Case", Error_Calculation!F8, Error_Calculation!F22)</f>
        <v>41.780790180752398</v>
      </c>
      <c r="G97" s="143" t="s">
        <v>4</v>
      </c>
      <c r="H97" s="53">
        <f t="shared" si="0"/>
        <v>1.5066519173319181E-2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39.420490793215507</v>
      </c>
      <c r="E99" s="46">
        <f>IF(Component_Selection!$D$94="Worst Case", Error_Calculation!E10, Error_Calculation!E24)</f>
        <v>40.160642570281119</v>
      </c>
      <c r="F99" s="46">
        <f>IF(Component_Selection!$D$94="Worst Case", Error_Calculation!F10, Error_Calculation!F24)</f>
        <v>40.900794347346732</v>
      </c>
      <c r="G99" s="143" t="s">
        <v>4</v>
      </c>
      <c r="H99" s="53">
        <f t="shared" si="0"/>
        <v>1.8429779248933759E-2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59.236004723997361</v>
      </c>
      <c r="E100" s="46">
        <f>IF(Component_Selection!$D$94="Worst Case", Error_Calculation!E11, Error_Calculation!E25)</f>
        <v>60.44798301486199</v>
      </c>
      <c r="F100" s="46">
        <f>IF(Component_Selection!$D$94="Worst Case", Error_Calculation!F11, Error_Calculation!F25)</f>
        <v>61.659961305726618</v>
      </c>
      <c r="G100" s="143" t="s">
        <v>4</v>
      </c>
      <c r="H100" s="53">
        <f t="shared" si="0"/>
        <v>2.0049937655763413E-2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1.2319941667679366</v>
      </c>
      <c r="E101" s="46">
        <f>IF(Component_Selection!$D$94="Worst Case", Error_Calculation!E12, Error_Calculation!E26)</f>
        <v>1.4000000000000001</v>
      </c>
      <c r="F101" s="46">
        <f>IF(Component_Selection!$D$94="Worst Case", Error_Calculation!F12, Error_Calculation!F26)</f>
        <v>1.5680058332320639</v>
      </c>
      <c r="G101" s="143" t="s">
        <v>4</v>
      </c>
      <c r="H101" s="53">
        <f t="shared" si="0"/>
        <v>0.12000416659433123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57.667998890765297</v>
      </c>
      <c r="E102" s="46">
        <f>IF(Component_Selection!$D$94="Worst Case", Error_Calculation!E13, Error_Calculation!E27)</f>
        <v>59.047983014861991</v>
      </c>
      <c r="F102" s="46">
        <f>IF(Component_Selection!$D$94="Worst Case", Error_Calculation!F13, Error_Calculation!F27)</f>
        <v>60.427967138958678</v>
      </c>
      <c r="G102" s="143" t="s">
        <v>4</v>
      </c>
      <c r="H102" s="53">
        <f t="shared" si="0"/>
        <v>2.3370554820633944E-2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18.922967038573098</v>
      </c>
      <c r="E103" s="46">
        <f>IF(Component_Selection!$D$94="Worst Case", Error_Calculation!E14, Error_Calculation!E28)</f>
        <v>20</v>
      </c>
      <c r="F103" s="46">
        <f>IF(Component_Selection!$D$94="Worst Case", Error_Calculation!F14, Error_Calculation!F28)</f>
        <v>21.077032961426902</v>
      </c>
      <c r="G103" s="144" t="s">
        <v>4</v>
      </c>
      <c r="H103" s="53">
        <f t="shared" si="0"/>
        <v>5.3851648071345085E-2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0.24379500648186694</v>
      </c>
      <c r="E104" s="46">
        <f>IF(Component_Selection!$D$94="Worst Case", Error_Calculation!E15, Error_Calculation!E29)</f>
        <v>0.4</v>
      </c>
      <c r="F104" s="46">
        <f>IF(Component_Selection!$D$94="Worst Case", Error_Calculation!F15, Error_Calculation!F29)</f>
        <v>0.55620499351813313</v>
      </c>
      <c r="G104" s="143" t="s">
        <v>26</v>
      </c>
      <c r="H104" s="53">
        <f t="shared" si="0"/>
        <v>0.39051248379533277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1.7100570057011406</v>
      </c>
      <c r="E105" s="46">
        <f>IF(Component_Selection!$D$94="Worst Case", Error_Calculation!E16, Error_Calculation!E30)</f>
        <v>1.9950000000000003</v>
      </c>
      <c r="F105" s="46">
        <f>IF(Component_Selection!$D$94="Worst Case", Error_Calculation!F16, Error_Calculation!F30)</f>
        <v>2.2799429942988603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0.8550285028505703</v>
      </c>
      <c r="E106" s="46">
        <f>IF(Component_Selection!$D$94="Worst Case", Error_Calculation!E17, Error_Calculation!E31)</f>
        <v>0.99750000000000016</v>
      </c>
      <c r="F106" s="46">
        <f>IF(Component_Selection!$D$94="Worst Case", Error_Calculation!F17, Error_Calculation!F31)</f>
        <v>1.1399714971494301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0.17100570057011405</v>
      </c>
      <c r="E107" s="46">
        <f>IF(Component_Selection!$D$94="Worst Case", Error_Calculation!E18, Error_Calculation!E32)</f>
        <v>0.19950000000000004</v>
      </c>
      <c r="F107" s="46">
        <f>IF(Component_Selection!$D$94="Worst Case", Error_Calculation!F18, Error_Calculation!F32)</f>
        <v>0.22799429942988603</v>
      </c>
      <c r="G107" s="144" t="s">
        <v>55</v>
      </c>
      <c r="H107" s="53">
        <f t="shared" si="0"/>
        <v>0.14282856857085705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70.526315789473685</v>
      </c>
      <c r="F108" s="80">
        <f>F15*(F15-Error_Calculation!$N$26)/$E$92</f>
        <v>119.73684210526315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1344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20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ht="14.45" x14ac:dyDescent="0.3">
      <c r="B21" s="108" t="s">
        <v>144</v>
      </c>
      <c r="C21" s="109"/>
      <c r="D21" s="110"/>
    </row>
    <row r="22" spans="2:16" ht="14.45" x14ac:dyDescent="0.3">
      <c r="B22" s="75" t="s">
        <v>145</v>
      </c>
      <c r="C22" s="74" t="e">
        <f>C20*2*1.2</f>
        <v>#NUM!</v>
      </c>
      <c r="D22" s="106" t="s">
        <v>55</v>
      </c>
    </row>
    <row r="23" spans="2:16" ht="28.9" x14ac:dyDescent="0.3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</v>
      </c>
      <c r="F5" s="52" t="s">
        <v>4</v>
      </c>
      <c r="G5" s="52"/>
      <c r="H5" s="52">
        <f>Component_Selection!E50</f>
        <v>20</v>
      </c>
      <c r="I5" s="46">
        <f>Component_Selection!E103</f>
        <v>20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0.4</v>
      </c>
      <c r="F6" s="52" t="s">
        <v>26</v>
      </c>
      <c r="G6" s="52"/>
      <c r="H6" s="52">
        <f>Component_Selection!E51</f>
        <v>0.4</v>
      </c>
      <c r="I6" s="46">
        <f>Component_Selection!E104</f>
        <v>0.4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39.6</v>
      </c>
      <c r="F7" s="52" t="s">
        <v>50</v>
      </c>
      <c r="G7" s="52"/>
      <c r="H7" s="52">
        <f>Component_Selection!E78</f>
        <v>39.6</v>
      </c>
      <c r="I7" s="52">
        <f>Component_Selection!E89</f>
        <v>39.6</v>
      </c>
      <c r="O7" t="s">
        <v>185</v>
      </c>
      <c r="P7">
        <f>Component_Selection!E90</f>
        <v>118.8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118.8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118.8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1.9950000000000003</v>
      </c>
      <c r="F9" s="75" t="s">
        <v>55</v>
      </c>
      <c r="G9" s="52"/>
      <c r="H9" s="52">
        <f>Component_Selection!E52</f>
        <v>2</v>
      </c>
      <c r="I9" s="46">
        <f>Component_Selection!E105</f>
        <v>1.9950000000000003</v>
      </c>
      <c r="O9" t="s">
        <v>182</v>
      </c>
      <c r="P9">
        <f>Component_Selection!E89</f>
        <v>39.6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20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1.5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0.99750000000000016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0.19950000000000004</v>
      </c>
      <c r="F13" s="52" t="s">
        <v>55</v>
      </c>
      <c r="G13" s="52"/>
      <c r="H13" s="52"/>
      <c r="I13" s="52"/>
      <c r="O13" t="s">
        <v>158</v>
      </c>
      <c r="P13" s="28">
        <f>E7</f>
        <v>39.6</v>
      </c>
      <c r="Q13" t="s">
        <v>50</v>
      </c>
    </row>
    <row r="14" spans="4:26" ht="14.45" x14ac:dyDescent="0.3">
      <c r="O14" t="s">
        <v>159</v>
      </c>
      <c r="P14" s="28">
        <f>E8</f>
        <v>118.8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0.19950000000000004</v>
      </c>
      <c r="F19" s="52" t="s">
        <v>55</v>
      </c>
      <c r="O19" s="52" t="s">
        <v>112</v>
      </c>
      <c r="P19" s="52">
        <f>P15/(P13+P14)</f>
        <v>0.12626262626262627</v>
      </c>
      <c r="Q19" s="52" t="s">
        <v>163</v>
      </c>
    </row>
    <row r="20" spans="3:18" ht="14.45" x14ac:dyDescent="0.3">
      <c r="D20" s="52" t="s">
        <v>150</v>
      </c>
      <c r="E20" s="52">
        <f>E21/2</f>
        <v>0.99750000000000016</v>
      </c>
      <c r="F20" s="52" t="s">
        <v>55</v>
      </c>
      <c r="O20" s="93" t="s">
        <v>187</v>
      </c>
      <c r="P20" s="93">
        <f>1/3/P19*SQRT(P4/P10)</f>
        <v>0.72299377590681912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1.9950000000000003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0.92249377590681914</v>
      </c>
      <c r="F22" s="52" t="s">
        <v>55</v>
      </c>
      <c r="H22" s="46">
        <f>SOA_Checks!P20+E19</f>
        <v>0.92249377590681914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2.4074937759068193</v>
      </c>
      <c r="F23" s="52" t="s">
        <v>55</v>
      </c>
      <c r="H23" s="46">
        <f>SOA_Checks!P26+E19</f>
        <v>2.4074937759068193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1.4850000000000001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2.2079937759068193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0.4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0.19950000000000004</v>
      </c>
      <c r="D30" t="s">
        <v>198</v>
      </c>
    </row>
    <row r="31" spans="3:18" ht="14.45" x14ac:dyDescent="0.3">
      <c r="C31" s="28">
        <f>E22</f>
        <v>0.92249377590681914</v>
      </c>
      <c r="D31" t="s">
        <v>199</v>
      </c>
    </row>
    <row r="32" spans="3:18" ht="14.45" x14ac:dyDescent="0.3">
      <c r="C32" s="28">
        <f>E23</f>
        <v>2.4074937759068193</v>
      </c>
      <c r="D32" t="s">
        <v>200</v>
      </c>
    </row>
    <row r="33" spans="2:6" ht="14.45" x14ac:dyDescent="0.3">
      <c r="C33" s="28">
        <f>E20</f>
        <v>0.99750000000000016</v>
      </c>
      <c r="D33" t="s">
        <v>114</v>
      </c>
    </row>
    <row r="34" spans="2:6" ht="14.45" x14ac:dyDescent="0.3">
      <c r="C34">
        <f>Component_Selection!F16*Component_Selection!F15/D27/1000</f>
        <v>118.8</v>
      </c>
      <c r="D34" t="s">
        <v>107</v>
      </c>
      <c r="E34" t="s">
        <v>225</v>
      </c>
    </row>
    <row r="35" spans="2:6" ht="14.45" x14ac:dyDescent="0.3">
      <c r="C35">
        <f>ROUND(SOA_Checks!C34/2,1)</f>
        <v>59.4</v>
      </c>
      <c r="D35" t="s">
        <v>110</v>
      </c>
    </row>
    <row r="37" spans="2:6" ht="14.45" x14ac:dyDescent="0.3">
      <c r="C37" s="28">
        <f>10^(FLOOR(LOG(C31),1))</f>
        <v>0.1</v>
      </c>
      <c r="D37" t="s">
        <v>105</v>
      </c>
    </row>
    <row r="38" spans="2:6" ht="14.45" x14ac:dyDescent="0.3">
      <c r="C38">
        <f>C37*10</f>
        <v>1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0.1</v>
      </c>
      <c r="D41" t="s">
        <v>103</v>
      </c>
    </row>
    <row r="42" spans="2:6" ht="14.45" x14ac:dyDescent="0.3">
      <c r="C42">
        <f>C41*10</f>
        <v>1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0.1</v>
      </c>
      <c r="D47" s="52" t="str">
        <f>"Q1 Current handling at "&amp;C37&amp;"ms and "&amp; E17 &amp;"V"</f>
        <v>Q1 Current handling at 0.1ms and 60V</v>
      </c>
      <c r="E47" s="52">
        <f>Component_Selection!E59</f>
        <v>6</v>
      </c>
      <c r="F47" s="52" t="s">
        <v>26</v>
      </c>
    </row>
    <row r="48" spans="2:6" ht="14.45" x14ac:dyDescent="0.3">
      <c r="C48" s="28">
        <f t="shared" ref="C48:C50" si="0">C38</f>
        <v>1</v>
      </c>
      <c r="D48" s="52" t="str">
        <f>"Q1 Current handling at "&amp;C38&amp;"ms and "&amp; E17 &amp;"V"</f>
        <v>Q1 Current handling at 1ms and 60V</v>
      </c>
      <c r="E48" s="52">
        <f>Component_Selection!E60</f>
        <v>1.8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6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1.8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1.8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ht="14.45" x14ac:dyDescent="0.3">
      <c r="C53" s="28">
        <f>C41</f>
        <v>0.1</v>
      </c>
      <c r="D53" s="52" t="str">
        <f>"Q1 Current handling at "&amp;C41&amp;"ms and "&amp; E5 &amp;"V"</f>
        <v>Q1 Current handling at 0.1ms and 20V</v>
      </c>
      <c r="E53" s="52">
        <f>Component_Selection!E65</f>
        <v>30</v>
      </c>
      <c r="F53" s="52" t="s">
        <v>26</v>
      </c>
    </row>
    <row r="54" spans="3:6" ht="14.45" x14ac:dyDescent="0.3">
      <c r="C54" s="28">
        <f>C42</f>
        <v>1</v>
      </c>
      <c r="D54" s="52" t="str">
        <f>"Q1 Current handling at "&amp;C42&amp;"ms and "&amp; E5 &amp;"V"</f>
        <v>Q1 Current handling at 1ms and 20V</v>
      </c>
      <c r="E54" s="52">
        <f>Component_Selection!E66</f>
        <v>10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=123C)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123.46267690476236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0.34358215396825093</v>
      </c>
      <c r="F60" s="52"/>
    </row>
    <row r="61" spans="3:6" ht="14.45" x14ac:dyDescent="0.3">
      <c r="C61" s="28">
        <f t="shared" ref="C61:D68" si="1">C47</f>
        <v>0.1</v>
      </c>
      <c r="D61" s="52" t="str">
        <f t="shared" si="1"/>
        <v>Q1 Current handling at 0.1ms and 60V</v>
      </c>
      <c r="E61" s="46">
        <f t="shared" ref="E61:E68" si="2">E47*$E$60</f>
        <v>2.0614929238095057</v>
      </c>
      <c r="F61" s="52" t="s">
        <v>26</v>
      </c>
    </row>
    <row r="62" spans="3:6" ht="14.45" x14ac:dyDescent="0.3">
      <c r="C62" s="28">
        <f t="shared" si="1"/>
        <v>1</v>
      </c>
      <c r="D62" s="52" t="str">
        <f t="shared" si="1"/>
        <v>Q1 Current handling at 1ms and 60V</v>
      </c>
      <c r="E62" s="46">
        <f t="shared" si="2"/>
        <v>0.61844787714285165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2.0614929238095057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0.61844787714285165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0.61844787714285165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0.34358215396825093</v>
      </c>
      <c r="F66" s="52" t="s">
        <v>26</v>
      </c>
    </row>
    <row r="67" spans="3:8" ht="14.45" x14ac:dyDescent="0.3">
      <c r="C67" s="28">
        <f t="shared" si="1"/>
        <v>0.1</v>
      </c>
      <c r="D67" s="52" t="str">
        <f t="shared" si="1"/>
        <v>Q1 Current handling at 0.1ms and 20V</v>
      </c>
      <c r="E67" s="46">
        <f t="shared" si="2"/>
        <v>10.307464619047527</v>
      </c>
      <c r="F67" s="52" t="s">
        <v>26</v>
      </c>
    </row>
    <row r="68" spans="3:8" ht="14.45" x14ac:dyDescent="0.3">
      <c r="C68" s="28">
        <f t="shared" si="1"/>
        <v>1</v>
      </c>
      <c r="D68" s="52" t="str">
        <f t="shared" si="1"/>
        <v>Q1 Current handling at 1ms and 20V</v>
      </c>
      <c r="E68" s="46">
        <f t="shared" si="2"/>
        <v>3.4358215396825091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=123C)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0.92249377590681914</v>
      </c>
      <c r="D73" s="52" t="str">
        <f>"Short Circuit; Vds = "&amp;E17&amp;"V, t= " &amp;C31 &amp; "ms"</f>
        <v>Short Circuit; Vds = 60V, t= 0.922493775906819ms</v>
      </c>
      <c r="E73" s="46">
        <f>H73*C31^G73*$E$60</f>
        <v>0.6450939564343855</v>
      </c>
      <c r="F73" s="52" t="s">
        <v>26</v>
      </c>
      <c r="G73">
        <f>LN(E47/E48)/LN(C37/C38)</f>
        <v>-0.52287874528033762</v>
      </c>
      <c r="H73">
        <f>E47/C37^G73</f>
        <v>1.8000000000000003</v>
      </c>
    </row>
    <row r="74" spans="3:8" ht="14.45" x14ac:dyDescent="0.3">
      <c r="C74" s="28">
        <f>C32</f>
        <v>2.4074937759068193</v>
      </c>
      <c r="D74" s="52" t="str">
        <f>"Short Circuit with resistor; Vds = "&amp;E17&amp;"V, t= " &amp;C32 &amp; "ms"</f>
        <v>Short Circuit with resistor; Vds = 60V, t= 2.40749377590682ms</v>
      </c>
      <c r="E74" s="46">
        <f t="shared" ref="E74" si="3">H74*C32^G74*$E$60</f>
        <v>1.3021755285113117</v>
      </c>
      <c r="F74" s="52" t="s">
        <v>26</v>
      </c>
      <c r="G74">
        <f>LN(E49/E50)/LN(C39/C40)</f>
        <v>-0.52287874528033762</v>
      </c>
      <c r="H74">
        <f>E49/C39^G74</f>
        <v>6</v>
      </c>
    </row>
    <row r="75" spans="3:8" ht="14.45" x14ac:dyDescent="0.3">
      <c r="C75">
        <f>C35</f>
        <v>59.4</v>
      </c>
      <c r="D75" s="52" t="str">
        <f>"Start-up ; Vds = "&amp;E17&amp;"V, t_eq= " &amp;C35 &amp; "ms"</f>
        <v>Start-up ; Vds = 60V, t_eq= 59.4ms</v>
      </c>
      <c r="E75" s="46">
        <f>H75*C35^G75*$E$60</f>
        <v>0.39244310112551201</v>
      </c>
      <c r="F75" s="52" t="s">
        <v>26</v>
      </c>
      <c r="G75">
        <f>LN(E51/E52)/LN(C43/C44)</f>
        <v>-0.25527250510330612</v>
      </c>
      <c r="H75">
        <f>E51/C43^G75</f>
        <v>3.2400000000000007</v>
      </c>
    </row>
    <row r="76" spans="3:8" ht="14.45" x14ac:dyDescent="0.3">
      <c r="C76" s="28">
        <f>C33</f>
        <v>0.99750000000000016</v>
      </c>
      <c r="D76" s="52" t="str">
        <f>"Vd = 1.5V; Vds = "&amp;E5&amp;"V, t_eq= " &amp;C33 &amp; "ms"</f>
        <v>Vd = 1.5V; Vds = 20V, t_eq= 0.9975ms</v>
      </c>
      <c r="E76" s="46">
        <f>H76*C33^G76*$E$60</f>
        <v>3.4399273810782347</v>
      </c>
      <c r="F76" s="52" t="s">
        <v>26</v>
      </c>
      <c r="G76">
        <f>LN(E53/E54)/LN(C41/C42)</f>
        <v>-0.47712125471966255</v>
      </c>
      <c r="H76">
        <f>E53/C41^G76</f>
        <v>10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0.92249377590681914</v>
      </c>
      <c r="D80" s="52" t="str">
        <f>D73</f>
        <v>Short Circuit; Vds = 60V, t= 0.922493775906819ms</v>
      </c>
      <c r="E80" s="46">
        <f>E11</f>
        <v>1.5</v>
      </c>
      <c r="F80" s="52" t="s">
        <v>26</v>
      </c>
    </row>
    <row r="81" spans="3:6" ht="14.45" x14ac:dyDescent="0.3">
      <c r="C81" s="28">
        <f t="shared" ref="C81:D83" si="4">C74</f>
        <v>2.4074937759068193</v>
      </c>
      <c r="D81" s="52" t="str">
        <f t="shared" si="4"/>
        <v>Short Circuit with resistor; Vds = 60V, t= 2.40749377590682ms</v>
      </c>
      <c r="E81" s="46">
        <f>E11</f>
        <v>1.5</v>
      </c>
      <c r="F81" s="52" t="s">
        <v>26</v>
      </c>
    </row>
    <row r="82" spans="3:6" ht="14.45" x14ac:dyDescent="0.3">
      <c r="C82" s="28">
        <f t="shared" si="4"/>
        <v>59.4</v>
      </c>
      <c r="D82" s="52" t="str">
        <f t="shared" si="4"/>
        <v>Start-up ; Vds = 60V, t_eq= 59.4ms</v>
      </c>
      <c r="E82" s="46">
        <f>E6</f>
        <v>0.4</v>
      </c>
      <c r="F82" s="52" t="s">
        <v>26</v>
      </c>
    </row>
    <row r="83" spans="3:6" ht="14.45" x14ac:dyDescent="0.3">
      <c r="C83" s="28">
        <f t="shared" si="4"/>
        <v>0.99750000000000016</v>
      </c>
      <c r="D83" s="52" t="str">
        <f t="shared" si="4"/>
        <v>Vd = 1.5V; Vds = 20V, t_eq= 0.9975ms</v>
      </c>
      <c r="E83" s="46">
        <f>E10</f>
        <v>20</v>
      </c>
      <c r="F83" s="52" t="s">
        <v>26</v>
      </c>
    </row>
    <row r="84" spans="3:6" ht="14.45" x14ac:dyDescent="0.3">
      <c r="C84" s="28"/>
      <c r="D84" s="52"/>
      <c r="E84" s="46"/>
      <c r="F84" s="52"/>
    </row>
    <row r="85" spans="3:6" ht="14.45" x14ac:dyDescent="0.3">
      <c r="D85" s="178" t="s">
        <v>116</v>
      </c>
      <c r="E85" s="178"/>
      <c r="F85" s="178"/>
    </row>
    <row r="86" spans="3:6" ht="14.45" x14ac:dyDescent="0.3">
      <c r="D86" s="52" t="str">
        <f>D80</f>
        <v>Short Circuit; Vds = 60V, t= 0.922493775906819ms</v>
      </c>
      <c r="E86" s="46">
        <f>E73/E80</f>
        <v>0.43006263762292368</v>
      </c>
      <c r="F86" s="52"/>
    </row>
    <row r="87" spans="3:6" ht="14.45" x14ac:dyDescent="0.3">
      <c r="D87" s="52" t="str">
        <f>D81</f>
        <v>Short Circuit with resistor; Vds = 60V, t= 2.40749377590682ms</v>
      </c>
      <c r="E87" s="46">
        <f>E74/E81</f>
        <v>0.86811701900754112</v>
      </c>
      <c r="F87" s="52"/>
    </row>
    <row r="88" spans="3:6" ht="14.45" x14ac:dyDescent="0.3">
      <c r="D88" s="52" t="str">
        <f>D82</f>
        <v>Start-up ; Vds = 60V, t_eq= 59.4ms</v>
      </c>
      <c r="E88" s="46">
        <f>E75/E82</f>
        <v>0.98110775281377993</v>
      </c>
      <c r="F88" s="52"/>
    </row>
    <row r="89" spans="3:6" ht="14.45" x14ac:dyDescent="0.3">
      <c r="D89" s="52" t="str">
        <f>D83</f>
        <v>Vd = 1.5V; Vds = 20V, t_eq= 0.9975ms</v>
      </c>
      <c r="E89" s="46">
        <f>E76/E83</f>
        <v>0.17199636905391175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40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19</v>
      </c>
      <c r="E6" s="28">
        <f>H2/Component_Selection!E83</f>
        <v>20</v>
      </c>
      <c r="F6" s="28">
        <f>E6*(1+H6)</f>
        <v>21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0.9850000000000001</v>
      </c>
      <c r="E7" s="28">
        <f>Error_Calculation!N19/Component_Selection!E83</f>
        <v>1.5</v>
      </c>
      <c r="F7" s="28">
        <f>E7*(1+H7)</f>
        <v>2.0149999999999997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40.460911646586347</v>
      </c>
      <c r="E8" s="28">
        <f>(Component_Selection!E84+Component_Selection!E85)/Component_Selection!E85*Error_Calculation!$N$7</f>
        <v>41.160642570281119</v>
      </c>
      <c r="F8" s="28">
        <f>E8*(1+H8)</f>
        <v>41.860373493975892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39.339911646586344</v>
      </c>
      <c r="E10" s="28">
        <f>E8-E9</f>
        <v>40.160642570281119</v>
      </c>
      <c r="F10" s="28">
        <f>F8-D9</f>
        <v>40.981373493975894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59.118127388535022</v>
      </c>
      <c r="E11" s="28">
        <f>(Component_Selection!E86+Component_Selection!E87)/Component_Selection!E87*Error_Calculation!$N$7</f>
        <v>60.44798301486199</v>
      </c>
      <c r="F11" s="28">
        <f>E11*(1+H11)</f>
        <v>61.777838641188957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1.2306000000000004</v>
      </c>
      <c r="E12" s="28">
        <f>Error_Calculation!$N$9*Component_Selection!E86*0.001</f>
        <v>1.4000000000000001</v>
      </c>
      <c r="F12" s="28">
        <f>E12*(1+H12)</f>
        <v>1.5694000000000001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57.548727388535021</v>
      </c>
      <c r="E13" s="28">
        <f>E11-E12</f>
        <v>59.047983014861991</v>
      </c>
      <c r="F13" s="28">
        <f>F11-D12</f>
        <v>60.547238641188954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18.599999999999998</v>
      </c>
      <c r="E14" s="28">
        <f>(Component_Selection!E88+Error_Calculation!N17)/Error_Calculation!N17*Error_Calculation!N16</f>
        <v>20</v>
      </c>
      <c r="F14" s="28">
        <f>E14*(1+H14)</f>
        <v>21.400000000000002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0.18</v>
      </c>
      <c r="E15" s="28">
        <f>Component_Selection!F16*Error_Calculation!N22/Component_Selection!E89*0.001</f>
        <v>0.4</v>
      </c>
      <c r="F15" s="28">
        <f>E15*(1+H15)</f>
        <v>0.62000000000000011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1.5561000000000003</v>
      </c>
      <c r="E16" s="19">
        <f>Component_Selection!E91*Error_Calculation!N11/Error_Calculation!N14</f>
        <v>1.9950000000000003</v>
      </c>
      <c r="F16" s="28">
        <f>E16*(1+H16)</f>
        <v>2.4339000000000004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0.77805000000000013</v>
      </c>
      <c r="E17" s="19">
        <f>Error_Calculation!N12*Component_Selection!E91/Error_Calculation!N14</f>
        <v>0.99750000000000016</v>
      </c>
      <c r="F17" s="28">
        <f>E17*(1+H17)</f>
        <v>1.2169500000000002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0.15561000000000003</v>
      </c>
      <c r="E18" s="19">
        <f>Component_Selection!E91*Error_Calculation!N12/Error_Calculation!N15</f>
        <v>0.19950000000000004</v>
      </c>
      <c r="F18" s="28">
        <f>E18*(1+H18)</f>
        <v>0.24339000000000005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19.175378874876468</v>
      </c>
      <c r="E20" s="28">
        <f>H2/Component_Selection!E83</f>
        <v>20</v>
      </c>
      <c r="F20" s="28">
        <f>E20*(1+H20)</f>
        <v>20.824621125123532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0.9997750506022316</v>
      </c>
      <c r="E21" s="28">
        <f>Error_Calculation!N19/Component_Selection!E83</f>
        <v>1.5</v>
      </c>
      <c r="F21" s="28">
        <f>E21*(1+H21)</f>
        <v>2.0002249493977686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40.540494959809841</v>
      </c>
      <c r="E22" s="28">
        <f>(Component_Selection!E84+Component_Selection!E85)/Component_Selection!E85*Error_Calculation!$N$7</f>
        <v>41.160642570281119</v>
      </c>
      <c r="F22" s="28">
        <f>E22*(1+H22)</f>
        <v>41.780790180752398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ht="14.45" x14ac:dyDescent="0.3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ht="14.45" x14ac:dyDescent="0.3">
      <c r="C24" s="29" t="s">
        <v>59</v>
      </c>
      <c r="D24" s="28">
        <f>D22-F23</f>
        <v>39.420490793215507</v>
      </c>
      <c r="E24" s="28">
        <f>E22-E23</f>
        <v>40.160642570281119</v>
      </c>
      <c r="F24" s="28">
        <f>F22-D23</f>
        <v>40.900794347346732</v>
      </c>
      <c r="G24" s="6" t="s">
        <v>4</v>
      </c>
      <c r="H24" s="41" t="s">
        <v>70</v>
      </c>
      <c r="L24" s="17"/>
      <c r="N24" s="10"/>
      <c r="P24" s="11"/>
      <c r="Q24" s="36"/>
    </row>
    <row r="25" spans="3:18" ht="14.45" x14ac:dyDescent="0.3">
      <c r="C25" s="29" t="s">
        <v>42</v>
      </c>
      <c r="D25" s="28">
        <f>E25*(1-H25)</f>
        <v>59.236004723997361</v>
      </c>
      <c r="E25" s="28">
        <f>(Component_Selection!E86+Component_Selection!E87)/Component_Selection!E87*Error_Calculation!$N$7</f>
        <v>60.44798301486199</v>
      </c>
      <c r="F25" s="28">
        <f>E25*(1+H25)</f>
        <v>61.659961305726618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ht="14.45" x14ac:dyDescent="0.3">
      <c r="C26" s="29" t="s">
        <v>72</v>
      </c>
      <c r="D26" s="28">
        <f>E26*(1-H26)</f>
        <v>1.2319941667679366</v>
      </c>
      <c r="E26" s="28">
        <f>Error_Calculation!$N$9*Component_Selection!E86*0.001</f>
        <v>1.4000000000000001</v>
      </c>
      <c r="F26" s="28">
        <f>E26*(1+H26)</f>
        <v>1.5680058332320639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ht="14.45" x14ac:dyDescent="0.3">
      <c r="C27" s="29" t="s">
        <v>41</v>
      </c>
      <c r="D27" s="28">
        <f>D25-F26</f>
        <v>57.667998890765297</v>
      </c>
      <c r="E27" s="28">
        <f>E25-E26</f>
        <v>59.047983014861991</v>
      </c>
      <c r="F27" s="28">
        <f>F25-D26</f>
        <v>60.427967138958678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ht="14.45" x14ac:dyDescent="0.3">
      <c r="C28" s="29" t="s">
        <v>60</v>
      </c>
      <c r="D28" s="28">
        <f>E28*(1-H28)</f>
        <v>18.922967038573098</v>
      </c>
      <c r="E28" s="28">
        <f>(Component_Selection!E88+Error_Calculation!N17)/Error_Calculation!N17*Error_Calculation!N16</f>
        <v>20</v>
      </c>
      <c r="F28" s="28">
        <f>E28*(1+H28)</f>
        <v>21.077032961426902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ht="14.45" x14ac:dyDescent="0.3">
      <c r="C29" s="29" t="s">
        <v>67</v>
      </c>
      <c r="D29" s="28">
        <f>E29*(1-H29)</f>
        <v>0.24379500648186694</v>
      </c>
      <c r="E29" s="28">
        <f>Component_Selection!F16*Error_Calculation!N22/Component_Selection!E89*0.001</f>
        <v>0.4</v>
      </c>
      <c r="F29" s="28">
        <f>E29*(1+H29)</f>
        <v>0.55620499351813313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ht="14.45" x14ac:dyDescent="0.3">
      <c r="C30" s="29" t="s">
        <v>63</v>
      </c>
      <c r="D30" s="28">
        <f>E30*(1-H30)</f>
        <v>1.7100570057011406</v>
      </c>
      <c r="E30" s="19">
        <f>Component_Selection!E91*Error_Calculation!N11/Error_Calculation!N14</f>
        <v>1.9950000000000003</v>
      </c>
      <c r="F30" s="28">
        <f>E30*(1+H30)</f>
        <v>2.2799429942988603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ht="14.45" x14ac:dyDescent="0.3">
      <c r="C31" s="29" t="s">
        <v>62</v>
      </c>
      <c r="D31" s="28">
        <f>E31*(1-H31)</f>
        <v>0.8550285028505703</v>
      </c>
      <c r="E31" s="19">
        <f>Error_Calculation!N12*Component_Selection!E91/Error_Calculation!N14</f>
        <v>0.99750000000000016</v>
      </c>
      <c r="F31" s="28">
        <f>E31*(1+H31)</f>
        <v>1.1399714971494301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0.17100570057011405</v>
      </c>
      <c r="E32" s="44">
        <f>Component_Selection!E91*Error_Calculation!N12/Error_Calculation!N15</f>
        <v>0.19950000000000004</v>
      </c>
      <c r="F32" s="43">
        <f>E32*(1+H32)</f>
        <v>0.22799429942988603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ht="14.45" x14ac:dyDescent="0.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ht="14.45" x14ac:dyDescent="0.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ht="14.45" x14ac:dyDescent="0.3">
      <c r="K37" t="s">
        <v>173</v>
      </c>
      <c r="L37">
        <f>SUM(L16:L35)</f>
        <v>164.73573026068942</v>
      </c>
      <c r="M37" t="s">
        <v>176</v>
      </c>
    </row>
    <row r="38" spans="2:13" ht="14.45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0.4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0.4</v>
      </c>
      <c r="G9">
        <f>G8</f>
        <v>60</v>
      </c>
      <c r="H9">
        <f t="shared" si="0"/>
        <v>24</v>
      </c>
      <c r="I9">
        <f>H9</f>
        <v>24</v>
      </c>
    </row>
    <row r="10" spans="5:9" x14ac:dyDescent="0.3">
      <c r="E10">
        <f>AVERAGE(E9,E12)</f>
        <v>69.41</v>
      </c>
      <c r="F10">
        <f>F9</f>
        <v>0.4</v>
      </c>
      <c r="G10">
        <v>30</v>
      </c>
      <c r="H10">
        <f t="shared" si="0"/>
        <v>12</v>
      </c>
      <c r="I10">
        <f>I9</f>
        <v>24</v>
      </c>
    </row>
    <row r="11" spans="5:9" x14ac:dyDescent="0.3">
      <c r="E11">
        <f>E10+0.01</f>
        <v>69.42</v>
      </c>
      <c r="F11">
        <f>F10</f>
        <v>0.4</v>
      </c>
      <c r="G11">
        <f>G10</f>
        <v>30</v>
      </c>
      <c r="H11">
        <f t="shared" si="0"/>
        <v>12</v>
      </c>
      <c r="I11">
        <v>0</v>
      </c>
    </row>
    <row r="12" spans="5:9" x14ac:dyDescent="0.3">
      <c r="E12">
        <f>E9+F3*F2/F12/1000</f>
        <v>128.81</v>
      </c>
      <c r="F12">
        <f>F10</f>
        <v>0.4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128.82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138.82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20</v>
      </c>
    </row>
    <row r="20" spans="7:8" x14ac:dyDescent="0.3">
      <c r="G20" s="28">
        <f>SOA_Checks!E5</f>
        <v>20</v>
      </c>
      <c r="H20" s="28">
        <f>H19</f>
        <v>20</v>
      </c>
    </row>
    <row r="21" spans="7:8" x14ac:dyDescent="0.3">
      <c r="G21" s="28">
        <f>G20+0.01</f>
        <v>20.010000000000002</v>
      </c>
      <c r="H21" s="28">
        <f>SOA_Checks!E11</f>
        <v>1.5</v>
      </c>
    </row>
    <row r="22" spans="7:8" x14ac:dyDescent="0.3">
      <c r="G22">
        <v>100</v>
      </c>
      <c r="H22" s="28">
        <f>H21</f>
        <v>1.5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3.3000000000000002E-2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67.2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24.888888888888889</v>
      </c>
      <c r="G11" s="28">
        <f>BrownOut!$C$11/E11</f>
        <v>24.888888888888889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24.888888888888889</v>
      </c>
      <c r="G12" s="28">
        <f>BrownOut!$C$11/E12</f>
        <v>24.888888888888889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24.888888888888889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43.446937333215601</v>
      </c>
      <c r="F14">
        <f>IF(D14=E14,G14,IF(E14&gt;D14,0,BrownOut!$C$15))</f>
        <v>0</v>
      </c>
      <c r="G14" s="28">
        <f>BrownOut!$C$11/E14</f>
        <v>30.934286338579245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29.313354077497294</v>
      </c>
      <c r="F15">
        <f>IF(D15=E15,G15,IF(E15&gt;D15,0,BrownOut!$C$15))</f>
        <v>0</v>
      </c>
      <c r="G15" s="28">
        <f>BrownOut!$C$11/E15</f>
        <v>45.849410355662293</v>
      </c>
    </row>
    <row r="16" spans="2:9" x14ac:dyDescent="0.3">
      <c r="C16">
        <f>C15+BrownOut!$C$5/4</f>
        <v>3.26</v>
      </c>
      <c r="D16" s="50">
        <f>BrownOut!$C$4</f>
        <v>10</v>
      </c>
      <c r="E16" s="71" t="e">
        <f>SQRT(E15^2-2*(C16-C15)*BrownOut!$C$11*(1+BrownOut!$C$12)/BrownOut!$C$14)</f>
        <v>#NUM!</v>
      </c>
      <c r="F16" t="e">
        <f>IF(D16=E16,G16,IF(E16&gt;D16,0,BrownOut!$C$15))</f>
        <v>#NUM!</v>
      </c>
      <c r="G16" s="28" t="e">
        <f>BrownOut!$C$11/E16</f>
        <v>#NUM!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3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3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3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3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24.888888888888889</v>
      </c>
      <c r="G23" s="28">
        <f>BrownOut!$C$11/E23</f>
        <v>24.888888888888889</v>
      </c>
    </row>
    <row r="24" spans="2:7" x14ac:dyDescent="0.3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24.888888888888889</v>
      </c>
      <c r="G24" s="28">
        <f>BrownOut!$C$11/E24</f>
        <v>24.888888888888889</v>
      </c>
    </row>
    <row r="25" spans="2:7" x14ac:dyDescent="0.3">
      <c r="E25" s="56"/>
    </row>
    <row r="26" spans="2:7" x14ac:dyDescent="0.3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2018-08-08T08:38:04Z</dcterms:modified>
</cp:coreProperties>
</file>