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book.xml" ContentType="application/vnd.openxmlformats-officedocument.spreadsheetml.sheet.main+xml"/>
  <Override PartName="/xl/media/image12.png" ContentType="image/png"/>
  <Override PartName="/xl/media/image8.png" ContentType="image/png"/>
  <Override PartName="/xl/media/image13.png" ContentType="image/png"/>
  <Override PartName="/xl/media/image9.png" ContentType="image/png"/>
  <Override PartName="/xl/media/image10.png" ContentType="image/png"/>
  <Override PartName="/xl/media/image11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20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onent_Selection" sheetId="1" state="visible" r:id="rId2"/>
    <sheet name="BrownOut" sheetId="2" state="visible" r:id="rId3"/>
    <sheet name="SOA_Checks" sheetId="3" state="hidden" r:id="rId4"/>
    <sheet name="Error_Calculation" sheetId="4" state="hidden" r:id="rId5"/>
    <sheet name="T_eq_work_Derivations" sheetId="5" state="hidden" r:id="rId6"/>
    <sheet name="Graphs" sheetId="6" state="hidden" r:id="rId7"/>
    <sheet name="ATIS_Calculations" sheetId="7" state="hidden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E50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Author:
</t>
        </r>
        <r>
          <rPr>
            <sz val="9"/>
            <color rgb="FF000000"/>
            <rFont val="Tahoma"/>
            <family val="2"/>
            <charset val="1"/>
          </rPr>
          <t xml:space="preserve">Make sure that this value is higher than Min Recommended Ilim switch. </t>
        </r>
      </text>
    </comment>
    <comment ref="E51" authorId="0">
      <text>
        <r>
          <rPr>
            <sz val="9"/>
            <color rgb="FF000000"/>
            <rFont val="Tahoma"/>
            <family val="2"/>
            <charset val="1"/>
          </rPr>
          <t xml:space="preserve">Inrush Current must be sufficiently below Iin,tmr,min to ensure that timer doesn't run at start-up. 
</t>
        </r>
      </text>
    </comment>
  </commentList>
</comments>
</file>

<file path=xl/sharedStrings.xml><?xml version="1.0" encoding="utf-8"?>
<sst xmlns="http://schemas.openxmlformats.org/spreadsheetml/2006/main" count="540" uniqueCount="266">
  <si>
    <r>
      <rPr>
        <sz val="24"/>
        <color rgb="FFFFFFFF"/>
        <rFont val="Arial"/>
        <family val="2"/>
        <charset val="1"/>
      </rPr>
      <t xml:space="preserve">                                                          </t>
    </r>
    <r>
      <rPr>
        <sz val="22"/>
        <color rgb="FFFFFFFF"/>
        <rFont val="Arial"/>
        <family val="2"/>
        <charset val="1"/>
      </rPr>
      <t xml:space="preserve">TPS2352x Hot Swap Design Tool</t>
    </r>
  </si>
  <si>
    <t xml:space="preserve">www.ti.com/hotswap</t>
  </si>
  <si>
    <t xml:space="preserve">Enter Values in Green Shaded Cells</t>
  </si>
  <si>
    <t xml:space="preserve">Calculated Values are shown in White Cells</t>
  </si>
  <si>
    <t xml:space="preserve">Yellow and Red cells highlight potential issues with the design. Red highlights items that are higher risk. </t>
  </si>
  <si>
    <t xml:space="preserve">System Inputs:</t>
  </si>
  <si>
    <t xml:space="preserve">Min</t>
  </si>
  <si>
    <t xml:space="preserve">Typ</t>
  </si>
  <si>
    <t xml:space="preserve">Max</t>
  </si>
  <si>
    <t xml:space="preserve">Units</t>
  </si>
  <si>
    <t xml:space="preserve">Load Power</t>
  </si>
  <si>
    <t xml:space="preserve">W</t>
  </si>
  <si>
    <t xml:space="preserve">Bus Voltage</t>
  </si>
  <si>
    <t xml:space="preserve">V</t>
  </si>
  <si>
    <t xml:space="preserve">Output Capacitance</t>
  </si>
  <si>
    <t xml:space="preserve">uF</t>
  </si>
  <si>
    <t xml:space="preserve">Tamb (Or Tpcb)</t>
  </si>
  <si>
    <t xml:space="preserve">C</t>
  </si>
  <si>
    <t xml:space="preserve">Current Limit &amp; FET: </t>
  </si>
  <si>
    <r>
      <rPr>
        <sz val="11"/>
        <color rgb="FF000000"/>
        <rFont val="Calibri"/>
        <family val="2"/>
        <charset val="1"/>
      </rPr>
      <t xml:space="preserve">V</t>
    </r>
    <r>
      <rPr>
        <vertAlign val="subscript"/>
        <sz val="11"/>
        <color rgb="FF000000"/>
        <rFont val="Calibri"/>
        <family val="2"/>
        <charset val="1"/>
      </rPr>
      <t xml:space="preserve">SNS,CL1</t>
    </r>
    <r>
      <rPr>
        <sz val="11"/>
        <color rgb="FF000000"/>
        <rFont val="Calibri"/>
        <family val="2"/>
        <charset val="1"/>
      </rPr>
      <t xml:space="preserve"> setting (40mV, only availlabe for TPS23523/21)</t>
    </r>
  </si>
  <si>
    <t xml:space="preserve">mV</t>
  </si>
  <si>
    <t xml:space="preserve">Calculated Load Current</t>
  </si>
  <si>
    <t xml:space="preserve">A</t>
  </si>
  <si>
    <t xml:space="preserve">Target Current Limit</t>
  </si>
  <si>
    <t xml:space="preserve">Calculated Rsns</t>
  </si>
  <si>
    <t xml:space="preserve">mΩ</t>
  </si>
  <si>
    <t xml:space="preserve">Selected Rsns</t>
  </si>
  <si>
    <t xml:space="preserve">Ilim (high Vds)</t>
  </si>
  <si>
    <t xml:space="preserve">Ilim (low Vds)</t>
  </si>
  <si>
    <t xml:space="preserve">Iin,tmr (where timer trips)</t>
  </si>
  <si>
    <t xml:space="preserve">FET (Q1)</t>
  </si>
  <si>
    <t xml:space="preserve">CSD19535</t>
  </si>
  <si>
    <t xml:space="preserve">Q1 Ron @ Tj,op,max</t>
  </si>
  <si>
    <t xml:space="preserve">Q1 Tj,absmax</t>
  </si>
  <si>
    <t xml:space="preserve">Q1 Cgs (Gate to source capacitance)</t>
  </si>
  <si>
    <t xml:space="preserve">nF</t>
  </si>
  <si>
    <t xml:space="preserve"># FETs Q1 (driven by GATE)</t>
  </si>
  <si>
    <t xml:space="preserve">Start - Up</t>
  </si>
  <si>
    <t xml:space="preserve">Q2 (only TPS23521/23)</t>
  </si>
  <si>
    <t xml:space="preserve">Not Used</t>
  </si>
  <si>
    <t xml:space="preserve">Q2 Ron @ Tj,op,max (only TPS23521/23)</t>
  </si>
  <si>
    <t xml:space="preserve">Inrush Current During Start -up (@ max Vin and Cout)</t>
  </si>
  <si>
    <r>
      <rPr>
        <b val="true"/>
        <sz val="11"/>
        <color rgb="FF000000"/>
        <rFont val="Calibri"/>
        <family val="2"/>
        <charset val="1"/>
      </rPr>
      <t xml:space="preserve">Q</t>
    </r>
    <r>
      <rPr>
        <b val="true"/>
        <vertAlign val="subscript"/>
        <sz val="11"/>
        <color rgb="FF000000"/>
        <rFont val="Calibri"/>
        <family val="2"/>
        <charset val="1"/>
      </rPr>
      <t xml:space="preserve">1</t>
    </r>
    <r>
      <rPr>
        <b val="true"/>
        <sz val="11"/>
        <color rgb="FF000000"/>
        <rFont val="Calibri"/>
        <family val="2"/>
        <charset val="1"/>
      </rPr>
      <t xml:space="preserve"> Power Dissipation During Start-up</t>
    </r>
  </si>
  <si>
    <t xml:space="preserve"># FETs Q2 (driven by GATE2, only TPS23521/23)</t>
  </si>
  <si>
    <t xml:space="preserve">Rtheta,ja (OR Psi,j,pcb)</t>
  </si>
  <si>
    <t xml:space="preserve">C/W</t>
  </si>
  <si>
    <t xml:space="preserve">IQ1,max (max current through Q1 "FETs")</t>
  </si>
  <si>
    <t xml:space="preserve">Power Dissipation / FET (Q1)</t>
  </si>
  <si>
    <t xml:space="preserve">Yes</t>
  </si>
  <si>
    <t xml:space="preserve">Total FET Power Dissipation </t>
  </si>
  <si>
    <t xml:space="preserve">No</t>
  </si>
  <si>
    <t xml:space="preserve">Tj,op,max (Q1)</t>
  </si>
  <si>
    <t xml:space="preserve">Recommended Timer and Ilim switch</t>
  </si>
  <si>
    <t xml:space="preserve">Required to pass ATIS 06003.2013 "Fig 1" or other brown out test?</t>
  </si>
  <si>
    <t xml:space="preserve">ms</t>
  </si>
  <si>
    <t xml:space="preserve">Target Settings: </t>
  </si>
  <si>
    <t xml:space="preserve">Target</t>
  </si>
  <si>
    <t xml:space="preserve">Target UV, rising</t>
  </si>
  <si>
    <t xml:space="preserve">Target UV, falling</t>
  </si>
  <si>
    <t xml:space="preserve">Target OV, rising</t>
  </si>
  <si>
    <t xml:space="preserve">Target OV, falling</t>
  </si>
  <si>
    <t xml:space="preserve">Programmed</t>
  </si>
  <si>
    <t xml:space="preserve">Target Ilim, switch</t>
  </si>
  <si>
    <t xml:space="preserve">Target Inrush Current (at max Cout)</t>
  </si>
  <si>
    <t xml:space="preserve">Target Time out (low Vds)</t>
  </si>
  <si>
    <t xml:space="preserve">SOA Margin Check (Refer to SOA margin TAB for full details)</t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</si>
  <si>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</si>
  <si>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 xml:space="preserve">Estimated Teq for Start-into Short</t>
  </si>
  <si>
    <t xml:space="preserve">Measured Teq for Start-into Short (Enter TBD if not known)</t>
  </si>
  <si>
    <t xml:space="preserve">TBD</t>
  </si>
  <si>
    <t xml:space="preserve">Start-Time at Max Vin</t>
  </si>
  <si>
    <t xml:space="preserve">Computed Components: </t>
  </si>
  <si>
    <t xml:space="preserve">Ruv1</t>
  </si>
  <si>
    <t xml:space="preserve">kΩ</t>
  </si>
  <si>
    <t xml:space="preserve">Ruv2</t>
  </si>
  <si>
    <t xml:space="preserve">Rov1</t>
  </si>
  <si>
    <t xml:space="preserve">Rov2</t>
  </si>
  <si>
    <t xml:space="preserve">Rd</t>
  </si>
  <si>
    <t xml:space="preserve">Css</t>
  </si>
  <si>
    <t xml:space="preserve">Css,vee</t>
  </si>
  <si>
    <t xml:space="preserve">Ctmr</t>
  </si>
  <si>
    <t xml:space="preserve">Recommended Rcc (with 20% margin)</t>
  </si>
  <si>
    <t xml:space="preserve">Selected Components: </t>
  </si>
  <si>
    <t xml:space="preserve">Value</t>
  </si>
  <si>
    <t xml:space="preserve">Tol(%)</t>
  </si>
  <si>
    <t xml:space="preserve">Rsns</t>
  </si>
  <si>
    <t xml:space="preserve">Start - Up Using Equivalent Power Pulse (@ Vin,max &amp; Cout,max)</t>
  </si>
  <si>
    <t xml:space="preserve">Rcc</t>
  </si>
  <si>
    <t xml:space="preserve">Programmed Settings </t>
  </si>
  <si>
    <t xml:space="preserve">Error</t>
  </si>
  <si>
    <t xml:space="preserve">Error calculation</t>
  </si>
  <si>
    <t xml:space="preserve">RMS</t>
  </si>
  <si>
    <t xml:space="preserve">Ilim1</t>
  </si>
  <si>
    <t xml:space="preserve">Ilim2</t>
  </si>
  <si>
    <t xml:space="preserve">UV, rising</t>
  </si>
  <si>
    <t xml:space="preserve">UV, hyst</t>
  </si>
  <si>
    <t xml:space="preserve">UV, falling</t>
  </si>
  <si>
    <t xml:space="preserve">OV, rising</t>
  </si>
  <si>
    <t xml:space="preserve">OV, hyst</t>
  </si>
  <si>
    <t xml:space="preserve">OV, falling</t>
  </si>
  <si>
    <t xml:space="preserve">Ilim, switch</t>
  </si>
  <si>
    <t xml:space="preserve">Inrush Current (with max Cout)</t>
  </si>
  <si>
    <t xml:space="preserve">Time out (Vd =0V)</t>
  </si>
  <si>
    <t xml:space="preserve">Time out (0.75V&lt;Vd &lt; 1.5V)</t>
  </si>
  <si>
    <t xml:space="preserve">Time out (Vd &gt; 1.5V)</t>
  </si>
  <si>
    <t xml:space="preserve">Power Consumption Rcc</t>
  </si>
  <si>
    <t xml:space="preserve">mW</t>
  </si>
  <si>
    <t xml:space="preserve">ATIS / Brown Out Transient Inputs</t>
  </si>
  <si>
    <t xml:space="preserve">Simplified Diagram</t>
  </si>
  <si>
    <t xml:space="preserve">Vin,start</t>
  </si>
  <si>
    <t xml:space="preserve">Vin,low</t>
  </si>
  <si>
    <t xml:space="preserve">Tdrop </t>
  </si>
  <si>
    <t xml:space="preserve">Vhigh</t>
  </si>
  <si>
    <t xml:space="preserve">System Inputs</t>
  </si>
  <si>
    <t xml:space="preserve">D1 (Forward Drop)</t>
  </si>
  <si>
    <t xml:space="preserve">Cbulk</t>
  </si>
  <si>
    <t xml:space="preserve">mF</t>
  </si>
  <si>
    <t xml:space="preserve">Cout</t>
  </si>
  <si>
    <t xml:space="preserve">Load During Transient</t>
  </si>
  <si>
    <t xml:space="preserve">Other Losses (Cap ESR, etc)</t>
  </si>
  <si>
    <t xml:space="preserve">HS Gate Recovery time</t>
  </si>
  <si>
    <t xml:space="preserve">Ctotal</t>
  </si>
  <si>
    <t xml:space="preserve">µF</t>
  </si>
  <si>
    <t xml:space="preserve">Typical Ilim</t>
  </si>
  <si>
    <t xml:space="preserve"> </t>
  </si>
  <si>
    <t xml:space="preserve">Calculated Values</t>
  </si>
  <si>
    <t xml:space="preserve">Vout, min</t>
  </si>
  <si>
    <t xml:space="preserve">Vds,max</t>
  </si>
  <si>
    <t xml:space="preserve">Total Recovery Time</t>
  </si>
  <si>
    <t xml:space="preserve">Time to D (pin) &lt; 0.75V</t>
  </si>
  <si>
    <t xml:space="preserve">Recommended Sesttings</t>
  </si>
  <si>
    <t xml:space="preserve">Timer (20% margin)</t>
  </si>
  <si>
    <t xml:space="preserve">Ilim,sw (5% margin over Vds,max)</t>
  </si>
  <si>
    <t xml:space="preserve">Teq Calculations</t>
  </si>
  <si>
    <t xml:space="preserve">Using Programmed or target</t>
  </si>
  <si>
    <t xml:space="preserve">Used for calculations</t>
  </si>
  <si>
    <t xml:space="preserve">Ilim</t>
  </si>
  <si>
    <t xml:space="preserve">Assumptions: </t>
  </si>
  <si>
    <t xml:space="preserve">Vds,switch:</t>
  </si>
  <si>
    <t xml:space="preserve">Cgs,FET</t>
  </si>
  <si>
    <t xml:space="preserve">Ifet = A*Vgst^2</t>
  </si>
  <si>
    <t xml:space="preserve">Iinr</t>
  </si>
  <si>
    <t xml:space="preserve">Css,vee,tgt</t>
  </si>
  <si>
    <t xml:space="preserve">Ifet = Vout  / Rshort</t>
  </si>
  <si>
    <t xml:space="preserve">Css,vee,act</t>
  </si>
  <si>
    <t xml:space="preserve">Css,tgt</t>
  </si>
  <si>
    <t xml:space="preserve">Css,tot = Cgd,fet + Css_ext</t>
  </si>
  <si>
    <t xml:space="preserve">Time, out (Full)</t>
  </si>
  <si>
    <t xml:space="preserve">Css,act</t>
  </si>
  <si>
    <t xml:space="preserve">Cgs,tot = Cgs,fet + Css,vee</t>
  </si>
  <si>
    <t xml:space="preserve">Ilim, high</t>
  </si>
  <si>
    <t xml:space="preserve">A/V^2</t>
  </si>
  <si>
    <t xml:space="preserve">Ilim, low</t>
  </si>
  <si>
    <t xml:space="preserve">time, out (medium Vds)</t>
  </si>
  <si>
    <t xml:space="preserve">use:</t>
  </si>
  <si>
    <t xml:space="preserve">time, out, (high Vds)</t>
  </si>
  <si>
    <t xml:space="preserve">Css,tot</t>
  </si>
  <si>
    <t xml:space="preserve">Cgs,tot</t>
  </si>
  <si>
    <t xml:space="preserve">Igate</t>
  </si>
  <si>
    <t xml:space="preserve">uA</t>
  </si>
  <si>
    <t xml:space="preserve">Key Inputs</t>
  </si>
  <si>
    <t xml:space="preserve">Rshort</t>
  </si>
  <si>
    <t xml:space="preserve">ohm</t>
  </si>
  <si>
    <t xml:space="preserve">Vd2 = Max Vin</t>
  </si>
  <si>
    <t xml:space="preserve">Start-into Short</t>
  </si>
  <si>
    <t xml:space="preserve">short time-out</t>
  </si>
  <si>
    <t xml:space="preserve">m</t>
  </si>
  <si>
    <t xml:space="preserve">V/ms</t>
  </si>
  <si>
    <t xml:space="preserve">mid time-out</t>
  </si>
  <si>
    <t xml:space="preserve">teq1</t>
  </si>
  <si>
    <t xml:space="preserve">long time - out</t>
  </si>
  <si>
    <t xml:space="preserve">Computed</t>
  </si>
  <si>
    <t xml:space="preserve">Entered</t>
  </si>
  <si>
    <t xml:space="preserve">teq - hot short</t>
  </si>
  <si>
    <t xml:space="preserve">teq - resistive short</t>
  </si>
  <si>
    <t xml:space="preserve">Start-into Resistive Short</t>
  </si>
  <si>
    <t xml:space="preserve">Equation: teq,no,cgs = Ilim * Rshort * Css,tot / Igate/2</t>
  </si>
  <si>
    <t xml:space="preserve">teq, no, cgs</t>
  </si>
  <si>
    <t xml:space="preserve">&lt;= if FET was ideal and there was no Cgs. Basically just wait until Vout comes up. </t>
  </si>
  <si>
    <t xml:space="preserve">teq,total</t>
  </si>
  <si>
    <t xml:space="preserve">&lt;= As an approximation adding the two computed values seperately</t>
  </si>
  <si>
    <t xml:space="preserve">Inrush Current</t>
  </si>
  <si>
    <t xml:space="preserve">t1 = Timer </t>
  </si>
  <si>
    <t xml:space="preserve">t1' = t1 + Teq hot short</t>
  </si>
  <si>
    <t xml:space="preserve">t1'' = t1 + Teq Resistive Short</t>
  </si>
  <si>
    <t xml:space="preserve">t2 = Max timer at 0.75 &lt;Vd&lt;1.5V</t>
  </si>
  <si>
    <t xml:space="preserve">t3 = Vin,max. Time to start with max Iinr</t>
  </si>
  <si>
    <t xml:space="preserve">Start-up Time</t>
  </si>
  <si>
    <t xml:space="preserve">t3' = t3 / 2 (triangular power pulse)</t>
  </si>
  <si>
    <t xml:space="preserve">t1'-</t>
  </si>
  <si>
    <t xml:space="preserve">t1'+</t>
  </si>
  <si>
    <t xml:space="preserve">t1''-</t>
  </si>
  <si>
    <t xml:space="preserve">t1''+</t>
  </si>
  <si>
    <t xml:space="preserve">t2-</t>
  </si>
  <si>
    <t xml:space="preserve">t2+</t>
  </si>
  <si>
    <t xml:space="preserve">t3-</t>
  </si>
  <si>
    <t xml:space="preserve">t3+</t>
  </si>
  <si>
    <t xml:space="preserve">Time (ms)</t>
  </si>
  <si>
    <t xml:space="preserve">SOA look up (25C)</t>
  </si>
  <si>
    <t xml:space="preserve">Temp Derating</t>
  </si>
  <si>
    <t xml:space="preserve">Temp used for derating</t>
  </si>
  <si>
    <t xml:space="preserve">W/o Temp derating</t>
  </si>
  <si>
    <t xml:space="preserve">a</t>
  </si>
  <si>
    <t xml:space="preserve">Operating Point</t>
  </si>
  <si>
    <t xml:space="preserve">SOA Margin (Temp Derated SOA / Req'd SOA)</t>
  </si>
  <si>
    <t xml:space="preserve">Vsns,cl1</t>
  </si>
  <si>
    <t xml:space="preserve">Worst Case</t>
  </si>
  <si>
    <t xml:space="preserve">Programmed Settings (Worst Case)</t>
  </si>
  <si>
    <t xml:space="preserve">IC parameters</t>
  </si>
  <si>
    <t xml:space="preserve">Errror %</t>
  </si>
  <si>
    <t xml:space="preserve">Iuv</t>
  </si>
  <si>
    <t xml:space="preserve">NA</t>
  </si>
  <si>
    <t xml:space="preserve">Iov</t>
  </si>
  <si>
    <t xml:space="preserve">Vtmr1</t>
  </si>
  <si>
    <t xml:space="preserve">Vtmr2</t>
  </si>
  <si>
    <t xml:space="preserve">Vsns, tmr1</t>
  </si>
  <si>
    <t xml:space="preserve">Itmr1</t>
  </si>
  <si>
    <t xml:space="preserve">Itmr2</t>
  </si>
  <si>
    <t xml:space="preserve">Vd</t>
  </si>
  <si>
    <t xml:space="preserve">Programmed Settings (RMS, error)</t>
  </si>
  <si>
    <t xml:space="preserve">Vsns,cl2</t>
  </si>
  <si>
    <t xml:space="preserve">Igate,src,low</t>
  </si>
  <si>
    <t xml:space="preserve">Igate,src,high</t>
  </si>
  <si>
    <t xml:space="preserve">Iq</t>
  </si>
  <si>
    <t xml:space="preserve">mA</t>
  </si>
  <si>
    <t xml:space="preserve">VCC operating</t>
  </si>
  <si>
    <t xml:space="preserve">Discretizing Solution for Sanity Checks</t>
  </si>
  <si>
    <t xml:space="preserve">Vin</t>
  </si>
  <si>
    <t xml:space="preserve">time</t>
  </si>
  <si>
    <t xml:space="preserve">Ifet</t>
  </si>
  <si>
    <t xml:space="preserve">RTN-VOUTM</t>
  </si>
  <si>
    <t xml:space="preserve">Vgst</t>
  </si>
  <si>
    <t xml:space="preserve">Qss</t>
  </si>
  <si>
    <t xml:space="preserve">Qenh</t>
  </si>
  <si>
    <t xml:space="preserve">Qtot</t>
  </si>
  <si>
    <t xml:space="preserve">Vds</t>
  </si>
  <si>
    <t xml:space="preserve">PFET</t>
  </si>
  <si>
    <t xml:space="preserve">deltaE (mJ)</t>
  </si>
  <si>
    <t xml:space="preserve">Energy</t>
  </si>
  <si>
    <t xml:space="preserve">mJ</t>
  </si>
  <si>
    <t xml:space="preserve">teq</t>
  </si>
  <si>
    <t xml:space="preserve">Vin,max</t>
  </si>
  <si>
    <t xml:space="preserve">Cout,max</t>
  </si>
  <si>
    <t xml:space="preserve">I,inr</t>
  </si>
  <si>
    <t xml:space="preserve">&lt;= At max Cout</t>
  </si>
  <si>
    <t xml:space="preserve">Iin</t>
  </si>
  <si>
    <t xml:space="preserve">Pfet (W)</t>
  </si>
  <si>
    <t xml:space="preserve">Pfet,eq</t>
  </si>
  <si>
    <t xml:space="preserve">mF/A = ms/V</t>
  </si>
  <si>
    <t xml:space="preserve">&lt;=C/Ilim</t>
  </si>
  <si>
    <t xml:space="preserve">B</t>
  </si>
  <si>
    <t xml:space="preserve">&lt;= Pload / Ilim</t>
  </si>
  <si>
    <t xml:space="preserve">Trecharge</t>
  </si>
  <si>
    <t xml:space="preserve">&lt;= A* (Vhigh - Vend)+A*B*ln[(Vhigh-B)/(Vend-B)]</t>
  </si>
  <si>
    <t xml:space="preserve">Vhalf</t>
  </si>
  <si>
    <t xml:space="preserve">Trecharge (1/2)</t>
  </si>
  <si>
    <t xml:space="preserve">Vin(V)</t>
  </si>
  <si>
    <t xml:space="preserve">Vout (V)</t>
  </si>
  <si>
    <t xml:space="preserve">I_FET (A)</t>
  </si>
  <si>
    <t xml:space="preserve">I_load (A)</t>
  </si>
  <si>
    <t xml:space="preserve">Start Drop Out =&gt; </t>
  </si>
  <si>
    <t xml:space="preserve">Note: Adjusting for diode just once. </t>
  </si>
  <si>
    <t xml:space="preserve">Finish Drop Out =&gt; </t>
  </si>
  <si>
    <t xml:space="preserve">Spike =&gt;</t>
  </si>
  <si>
    <t xml:space="preserve">HS =&gt; Recovered</t>
  </si>
  <si>
    <t xml:space="preserve">Finish Recovery =&gt;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</si>
</sst>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.0"/>
    <numFmt numFmtId="167" formatCode="0.000"/>
    <numFmt numFmtId="168" formatCode="0%"/>
    <numFmt numFmtId="169" formatCode="0.0%"/>
    <numFmt numFmtId="170" formatCode="0.00%"/>
  </numFmts>
  <fonts count="4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24"/>
      <color rgb="FFFFFFFF"/>
      <name val="Arial"/>
      <family val="2"/>
      <charset val="1"/>
    </font>
    <font>
      <sz val="22"/>
      <color rgb="FFFFFFFF"/>
      <name val="Arial"/>
      <family val="2"/>
      <charset val="1"/>
    </font>
    <font>
      <sz val="10"/>
      <name val="Calibri"/>
      <family val="2"/>
      <charset val="1"/>
    </font>
    <font>
      <u val="single"/>
      <sz val="10"/>
      <color rgb="FFFFFFFF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vertAlign val="subscript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vertAlign val="subscript"/>
      <sz val="11"/>
      <color rgb="FF000000"/>
      <name val="Calibri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u val="single"/>
      <sz val="12"/>
      <color rgb="FFFF0000"/>
      <name val="Arial"/>
      <family val="0"/>
    </font>
    <font>
      <b val="true"/>
      <sz val="12"/>
      <color rgb="FFFF0000"/>
      <name val="Arial"/>
      <family val="0"/>
    </font>
    <font>
      <sz val="12"/>
      <color rgb="FFFF0000"/>
      <name val="Arial"/>
      <family val="0"/>
    </font>
    <font>
      <b val="true"/>
      <sz val="12"/>
      <color rgb="FF000000"/>
      <name val="Arial"/>
      <family val="0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name val="Arial"/>
      <family val="2"/>
    </font>
    <font>
      <b val="true"/>
      <sz val="18"/>
      <color rgb="FF000000"/>
      <name val="Calibri"/>
      <family val="2"/>
    </font>
    <font>
      <b val="true"/>
      <u val="single"/>
      <sz val="11"/>
      <color rgb="FF000000"/>
      <name val="Calibri"/>
      <family val="2"/>
      <charset val="1"/>
    </font>
    <font>
      <sz val="18"/>
      <color rgb="FF254061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878787"/>
      </patternFill>
    </fill>
    <fill>
      <patternFill patternType="solid">
        <fgColor rgb="FFDDDDDD"/>
        <bgColor rgb="FFFFCCCC"/>
      </patternFill>
    </fill>
    <fill>
      <patternFill patternType="solid">
        <fgColor rgb="FFFF0000"/>
        <bgColor rgb="FFCC0000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95B3D7"/>
      </patternFill>
    </fill>
    <fill>
      <patternFill patternType="solid">
        <fgColor rgb="FF558ED5"/>
        <bgColor rgb="FF4A7EBB"/>
      </patternFill>
    </fill>
    <fill>
      <patternFill patternType="solid">
        <fgColor rgb="FF95B3D7"/>
        <bgColor rgb="FF8EB4E3"/>
      </patternFill>
    </fill>
    <fill>
      <patternFill patternType="solid">
        <fgColor rgb="FFBFBFBF"/>
        <bgColor rgb="FFB7B7B7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1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11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1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1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1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11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2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1" builtinId="53" customBuiltin="true"/>
    <cellStyle name="Heading 1" xfId="22" builtinId="53" customBuiltin="true"/>
    <cellStyle name="Heading 2" xfId="23" builtinId="53" customBuiltin="true"/>
    <cellStyle name="Text" xfId="24" builtinId="53" customBuiltin="true"/>
    <cellStyle name="Note" xfId="25" builtinId="53" customBuiltin="true"/>
    <cellStyle name="Footnote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*unknown*" xfId="20" builtinId="8" customBuiltin="false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8EB4E3"/>
      <rgbColor rgb="FFBE4B48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3D69B"/>
      <rgbColor rgb="FF99CCFF"/>
      <rgbColor rgb="FFFF99CC"/>
      <rgbColor rgb="FFB7B7B7"/>
      <rgbColor rgb="FFFFCCCC"/>
      <rgbColor rgb="FF558ED5"/>
      <rgbColor rgb="FF95B3D7"/>
      <rgbColor rgb="FF99CC00"/>
      <rgbColor rgb="FFFFCC00"/>
      <rgbColor rgb="FFFF9900"/>
      <rgbColor rgb="FFFF6600"/>
      <rgbColor rgb="FF4A7EBB"/>
      <rgbColor rgb="FF878787"/>
      <rgbColor rgb="FF003366"/>
      <rgbColor rgb="FF339966"/>
      <rgbColor rgb="FF003300"/>
      <rgbColor rgb="FF333300"/>
      <rgbColor rgb="FF993300"/>
      <rgbColor rgb="FF993366"/>
      <rgbColor rgb="FF25406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03327495621716"/>
          <c:y val="0.114233022347581"/>
          <c:w val="0.807968476357268"/>
          <c:h val="0.809937079626817"/>
        </c:manualLayout>
      </c:layout>
      <c:scatterChart>
        <c:scatterStyle val="lineMarker"/>
        <c:varyColors val="0"/>
        <c:ser>
          <c:idx val="0"/>
          <c:order val="0"/>
          <c:tx>
            <c:strRef>
              <c:f>" Entered FET SOA @ 25C"</c:f>
              <c:strCache>
                <c:ptCount val="1"/>
                <c:pt idx="0">
                  <c:v> Entered FET SOA @ 25C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square"/>
            <c:size val="5"/>
            <c:spPr>
              <a:solidFill>
                <a:srgbClr val="4a7eb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SOA_Checks!$C$47:$C$48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6</c:v>
                </c:pt>
                <c:pt idx="1">
                  <c:v>1.8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"Temp Derated SOA"</c:f>
              <c:strCache>
                <c:ptCount val="1"/>
                <c:pt idx="0">
                  <c:v>Temp Derated SOA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square"/>
            <c:size val="5"/>
            <c:spPr>
              <a:solidFill>
                <a:srgbClr val="be4b4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SOA_Checks!$C$61:$C$62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General</c:formatCode>
                <c:ptCount val="2"/>
                <c:pt idx="0">
                  <c:v>-0.933333333333334</c:v>
                </c:pt>
                <c:pt idx="1">
                  <c:v>-0.28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"Extrapolated SOA"</c:f>
              <c:strCache>
                <c:ptCount val="1"/>
                <c:pt idx="0">
                  <c:v>Extrapolated SOA</c:v>
                </c:pt>
              </c:strCache>
            </c:strRef>
          </c:tx>
          <c:spPr>
            <a:solidFill>
              <a:srgbClr val="ffffff"/>
            </a:solidFill>
            <a:ln w="25560">
              <a:noFill/>
            </a:ln>
          </c:spPr>
          <c:marker>
            <c:symbol val="x"/>
            <c:size val="10"/>
            <c:spPr>
              <a:noFill/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SOA_Checks!$C$73</c:f>
              <c:numCache>
                <c:formatCode>General</c:formatCode>
                <c:ptCount val="1"/>
                <c:pt idx="0">
                  <c:v>1.05</c:v>
                </c:pt>
              </c:numCache>
            </c:numRef>
          </c:xVal>
          <c:yVal>
            <c:numRef>
              <c:f>SOA_Checks!$E$73</c:f>
              <c:numCache>
                <c:formatCode>General</c:formatCode>
                <c:ptCount val="1"/>
                <c:pt idx="0">
                  <c:v>-0.909823903067565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"FET Operating Point"</c:f>
              <c:strCache>
                <c:ptCount val="1"/>
                <c:pt idx="0">
                  <c:v>FET Operating Point</c:v>
                </c:pt>
              </c:strCache>
            </c:strRef>
          </c:tx>
          <c:spPr>
            <a:solidFill>
              <a:srgbClr val="99ccff"/>
            </a:solidFill>
            <a:ln w="28440">
              <a:noFill/>
            </a:ln>
          </c:spPr>
          <c:marker>
            <c:symbol val="triangle"/>
            <c:size val="9"/>
            <c:spPr>
              <a:solidFill>
                <a:srgbClr val="99cc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SOA_Checks!$C$80</c:f>
              <c:numCache>
                <c:formatCode>General</c:formatCode>
                <c:ptCount val="1"/>
                <c:pt idx="0">
                  <c:v>1.05</c:v>
                </c:pt>
              </c:numCache>
            </c:numRef>
          </c:xVal>
          <c:yVal>
            <c:numRef>
              <c:f>SOA_Checks!$E$80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axId val="3282241"/>
        <c:axId val="1069441"/>
      </c:scatterChart>
      <c:valAx>
        <c:axId val="3282241"/>
        <c:scaling>
          <c:logBase val="10"/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layout>
            <c:manualLayout>
              <c:xMode val="edge"/>
              <c:yMode val="edge"/>
              <c:x val="0.44045534150613"/>
              <c:y val="0.92590583640703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069441"/>
        <c:crossesAt val="0.1"/>
        <c:crossBetween val="midCat"/>
      </c:valAx>
      <c:valAx>
        <c:axId val="1069441"/>
        <c:scaling>
          <c:logBase val="10"/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282241"/>
        <c:crossesAt val="0.1"/>
        <c:crossBetween val="midCat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511406727432455"/>
          <c:y val="0.0499806839227583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961315728515173"/>
          <c:y val="0.0275347100688368"/>
          <c:w val="0.846884410470234"/>
          <c:h val="0.840275347100688"/>
        </c:manualLayout>
      </c:layout>
      <c:scatterChart>
        <c:scatterStyle val="lineMarker"/>
        <c:varyColors val="0"/>
        <c:ser>
          <c:idx val="0"/>
          <c:order val="0"/>
          <c:tx>
            <c:strRef>
              <c:f>" Entered FET SOA @ 25C"</c:f>
              <c:strCache>
                <c:ptCount val="1"/>
                <c:pt idx="0">
                  <c:v> Entered FET SOA @ 25C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square"/>
            <c:size val="5"/>
            <c:spPr>
              <a:solidFill>
                <a:srgbClr val="4a7eb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SOA_Checks!$C$53:$C$54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30</c:v>
                </c:pt>
                <c:pt idx="1">
                  <c:v>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"Temp Derated SOA"</c:f>
              <c:strCache>
                <c:ptCount val="1"/>
                <c:pt idx="0">
                  <c:v>Temp Derated SOA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square"/>
            <c:size val="5"/>
            <c:spPr>
              <a:solidFill>
                <a:srgbClr val="be4b4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SOA_Checks!$C$67:$C$68</c:f>
              <c:numCache>
                <c:formatCode>General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General</c:formatCode>
                <c:ptCount val="2"/>
                <c:pt idx="0">
                  <c:v>-4.66666666666667</c:v>
                </c:pt>
                <c:pt idx="1">
                  <c:v>-1.55555555555556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"Extrapolated SOA"</c:f>
              <c:strCache>
                <c:ptCount val="1"/>
                <c:pt idx="0">
                  <c:v>Extrapolated SOA</c:v>
                </c:pt>
              </c:strCache>
            </c:strRef>
          </c:tx>
          <c:spPr>
            <a:solidFill>
              <a:srgbClr val="ffffff"/>
            </a:solidFill>
            <a:ln w="25560">
              <a:noFill/>
            </a:ln>
          </c:spPr>
          <c:marker>
            <c:symbol val="x"/>
            <c:size val="10"/>
            <c:spPr>
              <a:noFill/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SOA_Checks!$C$76</c:f>
              <c:numCache>
                <c:formatCode>General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General</c:formatCode>
                <c:ptCount val="1"/>
                <c:pt idx="0">
                  <c:v>-4.41164771497764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"FET Operating Point"</c:f>
              <c:strCache>
                <c:ptCount val="1"/>
                <c:pt idx="0">
                  <c:v>FET Operating Point</c:v>
                </c:pt>
              </c:strCache>
            </c:strRef>
          </c:tx>
          <c:spPr>
            <a:solidFill>
              <a:srgbClr val="99ccff"/>
            </a:solidFill>
            <a:ln w="28440">
              <a:noFill/>
            </a:ln>
          </c:spPr>
          <c:marker>
            <c:symbol val="triangle"/>
            <c:size val="9"/>
            <c:spPr>
              <a:solidFill>
                <a:srgbClr val="99cc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SOA_Checks!$C$83</c:f>
              <c:numCache>
                <c:formatCode>General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General</c:formatCode>
                <c:ptCount val="1"/>
                <c:pt idx="0">
                  <c:v>41.6666666666667</c:v>
                </c:pt>
              </c:numCache>
            </c:numRef>
          </c:yVal>
          <c:smooth val="0"/>
        </c:ser>
        <c:axId val="46155873"/>
        <c:axId val="11916212"/>
      </c:scatterChart>
      <c:valAx>
        <c:axId val="46155873"/>
        <c:scaling>
          <c:logBase val="10"/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layout>
            <c:manualLayout>
              <c:xMode val="edge"/>
              <c:yMode val="edge"/>
              <c:x val="0.459115126245078"/>
              <c:y val="0.933496674833742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1916212"/>
        <c:crossesAt val="0.1"/>
        <c:crossBetween val="midCat"/>
      </c:valAx>
      <c:valAx>
        <c:axId val="11916212"/>
        <c:scaling>
          <c:logBase val="10"/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6155873"/>
        <c:crossesAt val="0.1"/>
        <c:crossBetween val="midCat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558515881073692"/>
          <c:y val="0.0033676567740624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20208604954368"/>
          <c:y val="0.0343523002421307"/>
          <c:w val="0.807996523250761"/>
          <c:h val="0.801906779661017"/>
        </c:manualLayout>
      </c:layout>
      <c:scatterChart>
        <c:scatterStyle val="line"/>
        <c:varyColors val="0"/>
        <c:ser>
          <c:idx val="0"/>
          <c:order val="0"/>
          <c:tx>
            <c:strRef>
              <c:f>"Inrush Current"</c:f>
              <c:strCache>
                <c:ptCount val="1"/>
                <c:pt idx="0">
                  <c:v>Inrush Current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43.61</c:v>
                </c:pt>
                <c:pt idx="4">
                  <c:v>43.62</c:v>
                </c:pt>
                <c:pt idx="5">
                  <c:v>77.21</c:v>
                </c:pt>
                <c:pt idx="6">
                  <c:v>77.22</c:v>
                </c:pt>
                <c:pt idx="7">
                  <c:v>87.22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axId val="11699053"/>
        <c:axId val="85177803"/>
      </c:scatterChart>
      <c:valAx>
        <c:axId val="1169905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layout>
            <c:manualLayout>
              <c:xMode val="edge"/>
              <c:yMode val="edge"/>
              <c:x val="0.459104737070839"/>
              <c:y val="0.9288740920096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5177803"/>
        <c:crosses val="autoZero"/>
        <c:crossBetween val="midCat"/>
      </c:valAx>
      <c:valAx>
        <c:axId val="85177803"/>
        <c:scaling>
          <c:orientation val="minMax"/>
          <c:max val="2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1699053"/>
        <c:crosses val="autoZero"/>
        <c:crossBetween val="midCat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12257961273804"/>
          <c:y val="0.116889093419236"/>
          <c:w val="0.807969275084013"/>
          <c:h val="0.695045252339316"/>
        </c:manualLayout>
      </c:layout>
      <c:scatterChart>
        <c:scatterStyle val="line"/>
        <c:varyColors val="0"/>
        <c:ser>
          <c:idx val="0"/>
          <c:order val="0"/>
          <c:tx>
            <c:strRef>
              <c:f>"FET_Power_Dissipation"</c:f>
              <c:strCache>
                <c:ptCount val="1"/>
                <c:pt idx="0">
                  <c:v>FET_Power_Dissipation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43.61</c:v>
                </c:pt>
                <c:pt idx="4">
                  <c:v>43.62</c:v>
                </c:pt>
                <c:pt idx="5">
                  <c:v>77.21</c:v>
                </c:pt>
                <c:pt idx="6">
                  <c:v>77.22</c:v>
                </c:pt>
                <c:pt idx="7">
                  <c:v>87.22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33.6</c:v>
                </c:pt>
                <c:pt idx="3">
                  <c:v>18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"Equivalent Power Pulse"</c:f>
              <c:strCache>
                <c:ptCount val="1"/>
                <c:pt idx="0">
                  <c:v>Equivalent Power Pulse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43.61</c:v>
                </c:pt>
                <c:pt idx="4">
                  <c:v>43.62</c:v>
                </c:pt>
                <c:pt idx="5">
                  <c:v>77.21</c:v>
                </c:pt>
                <c:pt idx="6">
                  <c:v>77.22</c:v>
                </c:pt>
                <c:pt idx="7">
                  <c:v>87.22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33.6</c:v>
                </c:pt>
                <c:pt idx="3">
                  <c:v>33.6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axId val="6790260"/>
        <c:axId val="53381386"/>
      </c:scatterChart>
      <c:valAx>
        <c:axId val="679026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layout>
            <c:manualLayout>
              <c:xMode val="edge"/>
              <c:yMode val="edge"/>
              <c:x val="0.451032165146423"/>
              <c:y val="0.8936953520478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53381386"/>
        <c:crosses val="autoZero"/>
        <c:crossBetween val="midCat"/>
      </c:valAx>
      <c:valAx>
        <c:axId val="5338138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Power (W)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790260"/>
        <c:crosses val="autoZero"/>
        <c:crossBetween val="midCat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547492577772041"/>
          <c:y val="0.289188613042118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Current Limit vs FET VDS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75004165972"/>
          <c:y val="0.101864427707124"/>
          <c:w val="0.781203132811198"/>
          <c:h val="0.751080380293864"/>
        </c:manualLayout>
      </c:layout>
      <c:scatterChart>
        <c:scatterStyle val="line"/>
        <c:varyColors val="0"/>
        <c:ser>
          <c:idx val="0"/>
          <c:order val="0"/>
          <c:tx>
            <c:strRef>
              <c:f>"Current Limit"</c:f>
              <c:strCache>
                <c:ptCount val="1"/>
                <c:pt idx="0">
                  <c:v>Current Limit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Graphs!$G$19:$G$22</c:f>
              <c:numCache>
                <c:formatCode>General</c:formatCode>
                <c:ptCount val="4"/>
                <c:pt idx="0">
                  <c:v>1</c:v>
                </c:pt>
                <c:pt idx="1">
                  <c:v>20.2</c:v>
                </c:pt>
                <c:pt idx="2">
                  <c:v>20.21</c:v>
                </c:pt>
                <c:pt idx="3">
                  <c:v>100</c:v>
                </c:pt>
              </c:numCache>
            </c:numRef>
          </c:xVal>
          <c:yVal>
            <c:numRef>
              <c:f>Graphs!$H$19:$H$22</c:f>
              <c:numCache>
                <c:formatCode>General</c:formatCode>
                <c:ptCount val="4"/>
                <c:pt idx="0">
                  <c:v>41.6666666666667</c:v>
                </c:pt>
                <c:pt idx="1">
                  <c:v>41.6666666666667</c:v>
                </c:pt>
                <c:pt idx="2">
                  <c:v>5</c:v>
                </c:pt>
                <c:pt idx="3">
                  <c:v>5</c:v>
                </c:pt>
              </c:numCache>
            </c:numRef>
          </c:yVal>
          <c:smooth val="0"/>
        </c:ser>
        <c:axId val="99252863"/>
        <c:axId val="89994056"/>
      </c:scatterChart>
      <c:valAx>
        <c:axId val="9925286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Voltage (V)</a:t>
                </a:r>
              </a:p>
            </c:rich>
          </c:tx>
          <c:layout>
            <c:manualLayout>
              <c:xMode val="edge"/>
              <c:yMode val="edge"/>
              <c:x val="0.459173471088152"/>
              <c:y val="0.93344857389801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89994056"/>
        <c:crosses val="autoZero"/>
        <c:crossBetween val="midCat"/>
      </c:valAx>
      <c:valAx>
        <c:axId val="899940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46623039881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9252863"/>
        <c:crosses val="autoZero"/>
        <c:crossBetween val="midCat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03346371142981"/>
          <c:y val="0.114223904813413"/>
          <c:w val="0.807996523250761"/>
          <c:h val="0.80995132504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" Entered FET SOA @ 25C"</c:f>
              <c:strCache>
                <c:ptCount val="1"/>
                <c:pt idx="0">
                  <c:v> Entered FET SOA @ 25C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square"/>
            <c:size val="5"/>
            <c:spPr>
              <a:solidFill>
                <a:srgbClr val="4a7eb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SOA_Checks!$C$51:$C$52</c:f>
              <c:numCache>
                <c:formatCode>General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1.8</c:v>
                </c:pt>
                <c:pt idx="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"Temp Derated SOA"</c:f>
              <c:strCache>
                <c:ptCount val="1"/>
                <c:pt idx="0">
                  <c:v>Temp Derated SOA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square"/>
            <c:size val="5"/>
            <c:spPr>
              <a:solidFill>
                <a:srgbClr val="be4b48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SOA_Checks!$C$65:$C$66</c:f>
              <c:numCache>
                <c:formatCode>General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General</c:formatCode>
                <c:ptCount val="2"/>
                <c:pt idx="0">
                  <c:v>-0.28</c:v>
                </c:pt>
                <c:pt idx="1">
                  <c:v>-0.155555555555556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"Extrapolated SOA"</c:f>
              <c:strCache>
                <c:ptCount val="1"/>
                <c:pt idx="0">
                  <c:v>Extrapolated SOA</c:v>
                </c:pt>
              </c:strCache>
            </c:strRef>
          </c:tx>
          <c:spPr>
            <a:solidFill>
              <a:srgbClr val="ffffff"/>
            </a:solidFill>
            <a:ln w="25560">
              <a:noFill/>
            </a:ln>
          </c:spPr>
          <c:marker>
            <c:symbol val="x"/>
            <c:size val="10"/>
            <c:spPr>
              <a:noFill/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SOA_Checks!$C$75</c:f>
              <c:numCache>
                <c:formatCode>General</c:formatCode>
                <c:ptCount val="1"/>
                <c:pt idx="0">
                  <c:v>33.6</c:v>
                </c:pt>
              </c:numCache>
            </c:numRef>
          </c:xVal>
          <c:yVal>
            <c:numRef>
              <c:f>SOA_Checks!$E$75</c:f>
              <c:numCache>
                <c:formatCode>General</c:formatCode>
                <c:ptCount val="1"/>
                <c:pt idx="0">
                  <c:v>-0.205493498240884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"FET Operating Point"</c:f>
              <c:strCache>
                <c:ptCount val="1"/>
                <c:pt idx="0">
                  <c:v>FET Operating Point</c:v>
                </c:pt>
              </c:strCache>
            </c:strRef>
          </c:tx>
          <c:spPr>
            <a:solidFill>
              <a:srgbClr val="99ccff"/>
            </a:solidFill>
            <a:ln w="28440">
              <a:noFill/>
            </a:ln>
          </c:spPr>
          <c:marker>
            <c:symbol val="triangle"/>
            <c:size val="9"/>
            <c:spPr>
              <a:solidFill>
                <a:srgbClr val="99ccff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SOA_Checks!$C$82</c:f>
              <c:numCache>
                <c:formatCode>General</c:formatCode>
                <c:ptCount val="1"/>
                <c:pt idx="0">
                  <c:v>33.6</c:v>
                </c:pt>
              </c:numCache>
            </c:numRef>
          </c:xVal>
          <c:yVal>
            <c:numRef>
              <c:f>SOA_Checks!$E$82</c:f>
              <c:numCache>
                <c:formatCode>General</c:formatCode>
                <c:ptCount val="1"/>
                <c:pt idx="0">
                  <c:v>0.6</c:v>
                </c:pt>
              </c:numCache>
            </c:numRef>
          </c:yVal>
          <c:smooth val="0"/>
        </c:ser>
        <c:axId val="27321782"/>
        <c:axId val="95538360"/>
      </c:scatterChart>
      <c:valAx>
        <c:axId val="27321782"/>
        <c:scaling>
          <c:logBase val="10"/>
          <c:orientation val="minMax"/>
          <c:min val="10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layout>
            <c:manualLayout>
              <c:xMode val="edge"/>
              <c:yMode val="edge"/>
              <c:x val="0.440504128639722"/>
              <c:y val="0.925905895078421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5538360"/>
        <c:crossesAt val="0.1"/>
        <c:crossBetween val="midCat"/>
      </c:valAx>
      <c:valAx>
        <c:axId val="95538360"/>
        <c:scaling>
          <c:logBase val="10"/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7321782"/>
        <c:crossesAt val="0.1"/>
        <c:crossBetween val="midCat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511406727432455"/>
          <c:y val="0.0499806839227583"/>
        </c:manualLayout>
      </c:layout>
      <c:overlay val="0"/>
      <c:spPr>
        <a:solidFill>
          <a:srgbClr val="ffffff"/>
        </a:solidFill>
        <a:ln>
          <a:solidFill>
            <a:srgbClr val="000000"/>
          </a:solidFill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Vin &amp; Vout During Transient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329688511618"/>
          <c:y val="0.169235851134111"/>
          <c:w val="0.835839148262715"/>
          <c:h val="0.683990310504294"/>
        </c:manualLayout>
      </c:layout>
      <c:scatterChart>
        <c:scatterStyle val="line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2.51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3.511</c:v>
                </c:pt>
                <c:pt idx="8">
                  <c:v>3.711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2.51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3.511</c:v>
                </c:pt>
                <c:pt idx="8">
                  <c:v>3.711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44.6969594247549</c:v>
                </c:pt>
                <c:pt idx="4">
                  <c:v>32.8578204334427</c:v>
                </c:pt>
                <c:pt idx="5">
                  <c:v>12.7064765161136</c:v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54</c:v>
                </c:pt>
              </c:numCache>
            </c:numRef>
          </c:yVal>
          <c:smooth val="0"/>
        </c:ser>
        <c:axId val="4694355"/>
        <c:axId val="74369799"/>
      </c:scatterChart>
      <c:valAx>
        <c:axId val="4694355"/>
        <c:scaling>
          <c:orientation val="minMax"/>
          <c:max val="25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255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4369799"/>
        <c:crosses val="autoZero"/>
        <c:crossBetween val="midCat"/>
      </c:valAx>
      <c:valAx>
        <c:axId val="7436979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Voltage (V)</a:t>
                </a:r>
              </a:p>
            </c:rich>
          </c:tx>
          <c:layout>
            <c:manualLayout>
              <c:xMode val="edge"/>
              <c:yMode val="edge"/>
              <c:x val="0.0176246313214877"/>
              <c:y val="0.37921162739484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55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694355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70709968744019"/>
          <c:y val="0.327735430830412"/>
        </c:manualLayout>
      </c:layout>
      <c:overlay val="0"/>
      <c:spPr>
        <a:solidFill>
          <a:srgbClr val="ffffff"/>
        </a:solidFill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IL and IFET During Transient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349585062241"/>
          <c:y val="0.169169611307421"/>
          <c:w val="0.835840248962656"/>
          <c:h val="0.683966431095406"/>
        </c:manualLayout>
      </c:layout>
      <c:scatterChart>
        <c:scatterStyle val="line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2.51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3.511</c:v>
                </c:pt>
                <c:pt idx="8">
                  <c:v>3.711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22.2222222222222</c:v>
                </c:pt>
                <c:pt idx="1">
                  <c:v>22.2222222222222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/>
                </c:pt>
                <c:pt idx="7">
                  <c:v>0</c:v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22.2222222222222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2.51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3.511</c:v>
                </c:pt>
                <c:pt idx="8">
                  <c:v>3.711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xVal>
          <c:yVal>
            <c:numRef>
              <c:f>ATIS_Calculations!$G$11:$G$23</c:f>
              <c:numCache>
                <c:formatCode>General</c:formatCode>
                <c:ptCount val="13"/>
                <c:pt idx="0">
                  <c:v>22.2222222222222</c:v>
                </c:pt>
                <c:pt idx="1">
                  <c:v>22.2222222222222</c:v>
                </c:pt>
                <c:pt idx="2">
                  <c:v>22.2222222222222</c:v>
                </c:pt>
                <c:pt idx="3">
                  <c:v>26.8474637971771</c:v>
                </c:pt>
                <c:pt idx="4">
                  <c:v>36.5209859987743</c:v>
                </c:pt>
                <c:pt idx="5">
                  <c:v>94.4400281603034</c:v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22.2222222222222</c:v>
                </c:pt>
              </c:numCache>
            </c:numRef>
          </c:yVal>
          <c:smooth val="0"/>
        </c:ser>
        <c:axId val="76976486"/>
        <c:axId val="40247005"/>
      </c:scatterChart>
      <c:valAx>
        <c:axId val="76976486"/>
        <c:scaling>
          <c:orientation val="minMax"/>
          <c:max val="25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Time (ms)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255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0247005"/>
        <c:crosses val="autoZero"/>
        <c:crossBetween val="midCat"/>
      </c:valAx>
      <c:valAx>
        <c:axId val="402470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layout>
            <c:manualLayout>
              <c:xMode val="edge"/>
              <c:yMode val="edge"/>
              <c:x val="0.0177645228215768"/>
              <c:y val="0.4161881625441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55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697648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70709968744019"/>
          <c:y val="0.327735430830412"/>
        </c:manualLayout>
      </c:layout>
      <c:overlay val="0"/>
      <c:spPr>
        <a:solidFill>
          <a:srgbClr val="ffffff"/>
        </a:solidFill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Ifet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0.602397948556636</c:v>
                </c:pt>
                <c:pt idx="2">
                  <c:v>0.917820323027551</c:v>
                </c:pt>
                <c:pt idx="3">
                  <c:v>1.18602813742386</c:v>
                </c:pt>
                <c:pt idx="4">
                  <c:v>1.42979589711327</c:v>
                </c:pt>
                <c:pt idx="5">
                  <c:v>1.65794511501033</c:v>
                </c:pt>
                <c:pt idx="6">
                  <c:v>1.875</c:v>
                </c:pt>
                <c:pt idx="7">
                  <c:v>2.08364813968157</c:v>
                </c:pt>
                <c:pt idx="8">
                  <c:v>2.2856406460551</c:v>
                </c:pt>
                <c:pt idx="9">
                  <c:v>2.48219384566991</c:v>
                </c:pt>
                <c:pt idx="10">
                  <c:v>2.67419333848297</c:v>
                </c:pt>
                <c:pt idx="11">
                  <c:v>2.86230768092719</c:v>
                </c:pt>
                <c:pt idx="12">
                  <c:v>3.04705627484771</c:v>
                </c:pt>
                <c:pt idx="13">
                  <c:v>3.22885217326557</c:v>
                </c:pt>
                <c:pt idx="14">
                  <c:v>3.40803027798234</c:v>
                </c:pt>
                <c:pt idx="15">
                  <c:v>3.58486659610103</c:v>
                </c:pt>
                <c:pt idx="16">
                  <c:v>3.75959179422654</c:v>
                </c:pt>
                <c:pt idx="17">
                  <c:v>3.93240098767241</c:v>
                </c:pt>
                <c:pt idx="18">
                  <c:v>4.10346096908265</c:v>
                </c:pt>
                <c:pt idx="19">
                  <c:v>4.27291565040626</c:v>
                </c:pt>
                <c:pt idx="20">
                  <c:v>4.44089023002066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0.075</c:v>
                </c:pt>
                <c:pt idx="2">
                  <c:v>0.15</c:v>
                </c:pt>
                <c:pt idx="3">
                  <c:v>0.225</c:v>
                </c:pt>
                <c:pt idx="4">
                  <c:v>0.3</c:v>
                </c:pt>
                <c:pt idx="5">
                  <c:v>0.375</c:v>
                </c:pt>
                <c:pt idx="6">
                  <c:v>0.45</c:v>
                </c:pt>
                <c:pt idx="7">
                  <c:v>0.525</c:v>
                </c:pt>
                <c:pt idx="8">
                  <c:v>0.6</c:v>
                </c:pt>
                <c:pt idx="9">
                  <c:v>0.675</c:v>
                </c:pt>
                <c:pt idx="10">
                  <c:v>0.75</c:v>
                </c:pt>
                <c:pt idx="11">
                  <c:v>0.825</c:v>
                </c:pt>
                <c:pt idx="12">
                  <c:v>0.9</c:v>
                </c:pt>
                <c:pt idx="13">
                  <c:v>0.975</c:v>
                </c:pt>
                <c:pt idx="14">
                  <c:v>1.05</c:v>
                </c:pt>
                <c:pt idx="15">
                  <c:v>1.125</c:v>
                </c:pt>
                <c:pt idx="16">
                  <c:v>1.2</c:v>
                </c:pt>
                <c:pt idx="17">
                  <c:v>1.275</c:v>
                </c:pt>
                <c:pt idx="18">
                  <c:v>1.35</c:v>
                </c:pt>
                <c:pt idx="19">
                  <c:v>1.425</c:v>
                </c:pt>
                <c:pt idx="20">
                  <c:v>1.5</c:v>
                </c:pt>
              </c:numCache>
            </c:numRef>
          </c:yVal>
          <c:smooth val="0"/>
        </c:ser>
        <c:axId val="32262039"/>
        <c:axId val="12855006"/>
      </c:scatterChart>
      <c:valAx>
        <c:axId val="3226203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2855006"/>
        <c:crosses val="autoZero"/>
        <c:crossBetween val="midCat"/>
      </c:valAx>
      <c:valAx>
        <c:axId val="128550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226203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PFET</a:t>
            </a:r>
          </a:p>
        </c:rich>
      </c:tx>
      <c:overlay val="0"/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0.602397948556636</c:v>
                </c:pt>
                <c:pt idx="2">
                  <c:v>0.917820323027551</c:v>
                </c:pt>
                <c:pt idx="3">
                  <c:v>1.18602813742386</c:v>
                </c:pt>
                <c:pt idx="4">
                  <c:v>1.42979589711327</c:v>
                </c:pt>
                <c:pt idx="5">
                  <c:v>1.65794511501033</c:v>
                </c:pt>
                <c:pt idx="6">
                  <c:v>1.875</c:v>
                </c:pt>
                <c:pt idx="7">
                  <c:v>2.08364813968157</c:v>
                </c:pt>
                <c:pt idx="8">
                  <c:v>2.2856406460551</c:v>
                </c:pt>
                <c:pt idx="9">
                  <c:v>2.48219384566991</c:v>
                </c:pt>
                <c:pt idx="10">
                  <c:v>2.67419333848297</c:v>
                </c:pt>
                <c:pt idx="11">
                  <c:v>2.86230768092719</c:v>
                </c:pt>
                <c:pt idx="12">
                  <c:v>3.04705627484771</c:v>
                </c:pt>
                <c:pt idx="13">
                  <c:v>3.22885217326557</c:v>
                </c:pt>
                <c:pt idx="14">
                  <c:v>3.40803027798234</c:v>
                </c:pt>
                <c:pt idx="15">
                  <c:v>3.58486659610103</c:v>
                </c:pt>
                <c:pt idx="16">
                  <c:v>3.75959179422654</c:v>
                </c:pt>
                <c:pt idx="17">
                  <c:v>3.93240098767241</c:v>
                </c:pt>
                <c:pt idx="18">
                  <c:v>4.10346096908265</c:v>
                </c:pt>
                <c:pt idx="19">
                  <c:v>4.27291565040626</c:v>
                </c:pt>
                <c:pt idx="20">
                  <c:v>4.44089023002066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</c:v>
                </c:pt>
                <c:pt idx="2">
                  <c:v>8.9775</c:v>
                </c:pt>
                <c:pt idx="3">
                  <c:v>13.449375</c:v>
                </c:pt>
                <c:pt idx="4">
                  <c:v>17.91</c:v>
                </c:pt>
                <c:pt idx="5">
                  <c:v>22.359375</c:v>
                </c:pt>
                <c:pt idx="6">
                  <c:v>26.7975</c:v>
                </c:pt>
                <c:pt idx="7">
                  <c:v>31.224375</c:v>
                </c:pt>
                <c:pt idx="8">
                  <c:v>35.64</c:v>
                </c:pt>
                <c:pt idx="9">
                  <c:v>40.044375</c:v>
                </c:pt>
                <c:pt idx="10">
                  <c:v>44.4375</c:v>
                </c:pt>
                <c:pt idx="11">
                  <c:v>48.819375</c:v>
                </c:pt>
                <c:pt idx="12">
                  <c:v>53.19</c:v>
                </c:pt>
                <c:pt idx="13">
                  <c:v>57.549375</c:v>
                </c:pt>
                <c:pt idx="14">
                  <c:v>61.8975</c:v>
                </c:pt>
                <c:pt idx="15">
                  <c:v>66.234375</c:v>
                </c:pt>
                <c:pt idx="16">
                  <c:v>70.56</c:v>
                </c:pt>
                <c:pt idx="17">
                  <c:v>74.874375</c:v>
                </c:pt>
                <c:pt idx="18">
                  <c:v>79.1775</c:v>
                </c:pt>
                <c:pt idx="19">
                  <c:v>83.469375</c:v>
                </c:pt>
                <c:pt idx="20">
                  <c:v>87.75</c:v>
                </c:pt>
              </c:numCache>
            </c:numRef>
          </c:yVal>
          <c:smooth val="1"/>
        </c:ser>
        <c:axId val="1152439"/>
        <c:axId val="62107222"/>
      </c:scatterChart>
      <c:valAx>
        <c:axId val="115243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2107222"/>
        <c:crosses val="autoZero"/>
        <c:crossBetween val="midCat"/>
      </c:valAx>
      <c:valAx>
        <c:axId val="6210722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15243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Current Limit vs FET VDS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9991592399529"/>
          <c:y val="0.101920959256087"/>
          <c:w val="0.781234235749117"/>
          <c:h val="0.751131775357886"/>
        </c:manualLayout>
      </c:layout>
      <c:scatterChart>
        <c:scatterStyle val="line"/>
        <c:varyColors val="0"/>
        <c:ser>
          <c:idx val="0"/>
          <c:order val="0"/>
          <c:tx>
            <c:strRef>
              <c:f>"Current Limit"</c:f>
              <c:strCache>
                <c:ptCount val="1"/>
                <c:pt idx="0">
                  <c:v>Current Limit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Graphs!$G$19:$G$22</c:f>
              <c:numCache>
                <c:formatCode>General</c:formatCode>
                <c:ptCount val="4"/>
                <c:pt idx="0">
                  <c:v>1</c:v>
                </c:pt>
                <c:pt idx="1">
                  <c:v>20.2</c:v>
                </c:pt>
                <c:pt idx="2">
                  <c:v>20.21</c:v>
                </c:pt>
                <c:pt idx="3">
                  <c:v>100</c:v>
                </c:pt>
              </c:numCache>
            </c:numRef>
          </c:xVal>
          <c:yVal>
            <c:numRef>
              <c:f>Graphs!$H$19:$H$22</c:f>
              <c:numCache>
                <c:formatCode>General</c:formatCode>
                <c:ptCount val="4"/>
                <c:pt idx="0">
                  <c:v>41.6666666666667</c:v>
                </c:pt>
                <c:pt idx="1">
                  <c:v>41.6666666666667</c:v>
                </c:pt>
                <c:pt idx="2">
                  <c:v>5</c:v>
                </c:pt>
                <c:pt idx="3">
                  <c:v>5</c:v>
                </c:pt>
              </c:numCache>
            </c:numRef>
          </c:yVal>
          <c:smooth val="0"/>
        </c:ser>
        <c:axId val="33772785"/>
        <c:axId val="93671641"/>
      </c:scatterChart>
      <c:valAx>
        <c:axId val="33772785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Voltage (V)</a:t>
                </a:r>
              </a:p>
            </c:rich>
          </c:tx>
          <c:layout>
            <c:manualLayout>
              <c:xMode val="edge"/>
              <c:yMode val="edge"/>
              <c:x val="0.459139061711787"/>
              <c:y val="0.93343937354704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3671641"/>
        <c:crosses val="autoZero"/>
        <c:crossBetween val="midCat"/>
      </c:valAx>
      <c:valAx>
        <c:axId val="936716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48354337452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3772785"/>
        <c:crosses val="autoZero"/>
        <c:crossBetween val="midCat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hyperlink" Target="http://www.ti.com/lit/gpn/lm5069"/><Relationship Id="rId4" Type="http://schemas.openxmlformats.org/officeDocument/2006/relationships/chart" Target="../charts/chart12.xml"/><Relationship Id="rId5" Type="http://schemas.openxmlformats.org/officeDocument/2006/relationships/chart" Target="../charts/chart13.xml"/><Relationship Id="rId6" Type="http://schemas.openxmlformats.org/officeDocument/2006/relationships/chart" Target="../charts/chart14.xml"/><Relationship Id="rId7" Type="http://schemas.openxmlformats.org/officeDocument/2006/relationships/chart" Target="../charts/chart15.xml"/><Relationship Id="rId8" Type="http://schemas.openxmlformats.org/officeDocument/2006/relationships/chart" Target="../charts/chart16.xml"/><Relationship Id="rId9" Type="http://schemas.openxmlformats.org/officeDocument/2006/relationships/chart" Target="../charts/chart17.xml"/><Relationship Id="rId10" Type="http://schemas.openxmlformats.org/officeDocument/2006/relationships/image" Target="../media/image10.png"/><Relationship Id="rId11" Type="http://schemas.openxmlformats.org/officeDocument/2006/relationships/image" Target="../media/image1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image" Target="../media/image1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image" Target="../media/image1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83880</xdr:colOff>
      <xdr:row>0</xdr:row>
      <xdr:rowOff>152280</xdr:rowOff>
    </xdr:from>
    <xdr:to>
      <xdr:col>2</xdr:col>
      <xdr:colOff>1199880</xdr:colOff>
      <xdr:row>0</xdr:row>
      <xdr:rowOff>654480</xdr:rowOff>
    </xdr:to>
    <xdr:pic>
      <xdr:nvPicPr>
        <xdr:cNvPr id="0" name="Picture 5" descr=""/>
        <xdr:cNvPicPr/>
      </xdr:nvPicPr>
      <xdr:blipFill>
        <a:blip r:embed="rId1"/>
        <a:srcRect l="0" t="0" r="26494" b="0"/>
        <a:stretch/>
      </xdr:blipFill>
      <xdr:spPr>
        <a:xfrm>
          <a:off x="83880" y="152280"/>
          <a:ext cx="2220840" cy="50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18</xdr:col>
      <xdr:colOff>101880</xdr:colOff>
      <xdr:row>0</xdr:row>
      <xdr:rowOff>114840</xdr:rowOff>
    </xdr:from>
    <xdr:to>
      <xdr:col>19</xdr:col>
      <xdr:colOff>1022760</xdr:colOff>
      <xdr:row>0</xdr:row>
      <xdr:rowOff>516240</xdr:rowOff>
    </xdr:to>
    <xdr:pic>
      <xdr:nvPicPr>
        <xdr:cNvPr id="1" name="Picture 84" descr=""/>
        <xdr:cNvPicPr/>
      </xdr:nvPicPr>
      <xdr:blipFill>
        <a:blip r:embed="rId2"/>
        <a:stretch/>
      </xdr:blipFill>
      <xdr:spPr>
        <a:xfrm>
          <a:off x="15904800" y="114840"/>
          <a:ext cx="1532520" cy="40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64800</xdr:colOff>
      <xdr:row>1</xdr:row>
      <xdr:rowOff>104760</xdr:rowOff>
    </xdr:from>
    <xdr:to>
      <xdr:col>8</xdr:col>
      <xdr:colOff>18360</xdr:colOff>
      <xdr:row>5</xdr:row>
      <xdr:rowOff>243000</xdr:rowOff>
    </xdr:to>
    <xdr:sp>
      <xdr:nvSpPr>
        <xdr:cNvPr id="2" name="CustomShape 1">
          <a:hlinkClick r:id="rId3"/>
        </xdr:cNvPr>
        <xdr:cNvSpPr/>
      </xdr:nvSpPr>
      <xdr:spPr>
        <a:xfrm>
          <a:off x="64800" y="897120"/>
          <a:ext cx="8624160" cy="884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0" tIns="23040" bIns="0"/>
        <a:p>
          <a:pPr>
            <a:lnSpc>
              <a:spcPct val="100000"/>
            </a:lnSpc>
          </a:pPr>
          <a:r>
            <a:rPr b="1" lang="en-IN" sz="1200" spc="-1" strike="noStrike" u="sng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Note</a:t>
          </a:r>
          <a:r>
            <a:rPr b="1" lang="en-IN" sz="1200" spc="-1" strike="noStrike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:</a:t>
          </a:r>
          <a:r>
            <a:rPr b="0" lang="en-IN" sz="1200" spc="-1" strike="noStrike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  <a:endParaRPr b="0" lang="en-IN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en-IN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Consult the TPS2352x datasheet for more detail.</a:t>
          </a:r>
          <a:endParaRPr b="0" lang="en-IN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11</xdr:col>
      <xdr:colOff>501480</xdr:colOff>
      <xdr:row>68</xdr:row>
      <xdr:rowOff>97200</xdr:rowOff>
    </xdr:from>
    <xdr:to>
      <xdr:col>18</xdr:col>
      <xdr:colOff>97560</xdr:colOff>
      <xdr:row>86</xdr:row>
      <xdr:rowOff>123480</xdr:rowOff>
    </xdr:to>
    <xdr:graphicFrame>
      <xdr:nvGraphicFramePr>
        <xdr:cNvPr id="3" name="Chart 7"/>
        <xdr:cNvGraphicFramePr/>
      </xdr:nvGraphicFramePr>
      <xdr:xfrm>
        <a:off x="11789640" y="13371120"/>
        <a:ext cx="4110840" cy="331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424800</xdr:colOff>
      <xdr:row>88</xdr:row>
      <xdr:rowOff>151560</xdr:rowOff>
    </xdr:from>
    <xdr:to>
      <xdr:col>20</xdr:col>
      <xdr:colOff>924480</xdr:colOff>
      <xdr:row>105</xdr:row>
      <xdr:rowOff>127800</xdr:rowOff>
    </xdr:to>
    <xdr:graphicFrame>
      <xdr:nvGraphicFramePr>
        <xdr:cNvPr id="4" name="Chart 11"/>
        <xdr:cNvGraphicFramePr/>
      </xdr:nvGraphicFramePr>
      <xdr:xfrm>
        <a:off x="13781880" y="17083080"/>
        <a:ext cx="4662000" cy="308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167400</xdr:colOff>
      <xdr:row>34</xdr:row>
      <xdr:rowOff>127080</xdr:rowOff>
    </xdr:from>
    <xdr:to>
      <xdr:col>14</xdr:col>
      <xdr:colOff>468360</xdr:colOff>
      <xdr:row>47</xdr:row>
      <xdr:rowOff>120600</xdr:rowOff>
    </xdr:to>
    <xdr:graphicFrame>
      <xdr:nvGraphicFramePr>
        <xdr:cNvPr id="5" name="Chart 12"/>
        <xdr:cNvGraphicFramePr/>
      </xdr:nvGraphicFramePr>
      <xdr:xfrm>
        <a:off x="9684000" y="7175520"/>
        <a:ext cx="4141440" cy="237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14</xdr:col>
      <xdr:colOff>547560</xdr:colOff>
      <xdr:row>35</xdr:row>
      <xdr:rowOff>48960</xdr:rowOff>
    </xdr:from>
    <xdr:to>
      <xdr:col>20</xdr:col>
      <xdr:colOff>884160</xdr:colOff>
      <xdr:row>48</xdr:row>
      <xdr:rowOff>2880</xdr:rowOff>
    </xdr:to>
    <xdr:graphicFrame>
      <xdr:nvGraphicFramePr>
        <xdr:cNvPr id="6" name="Chart 13"/>
        <xdr:cNvGraphicFramePr/>
      </xdr:nvGraphicFramePr>
      <xdr:xfrm>
        <a:off x="13904640" y="7280280"/>
        <a:ext cx="4498920" cy="234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720</xdr:colOff>
      <xdr:row>49</xdr:row>
      <xdr:rowOff>134280</xdr:rowOff>
    </xdr:from>
    <xdr:to>
      <xdr:col>14</xdr:col>
      <xdr:colOff>480600</xdr:colOff>
      <xdr:row>64</xdr:row>
      <xdr:rowOff>131040</xdr:rowOff>
    </xdr:to>
    <xdr:graphicFrame>
      <xdr:nvGraphicFramePr>
        <xdr:cNvPr id="7" name="Chart 14"/>
        <xdr:cNvGraphicFramePr/>
      </xdr:nvGraphicFramePr>
      <xdr:xfrm>
        <a:off x="9517320" y="9941040"/>
        <a:ext cx="4320360" cy="291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97920</xdr:colOff>
      <xdr:row>89</xdr:row>
      <xdr:rowOff>30600</xdr:rowOff>
    </xdr:from>
    <xdr:to>
      <xdr:col>14</xdr:col>
      <xdr:colOff>398880</xdr:colOff>
      <xdr:row>107</xdr:row>
      <xdr:rowOff>66600</xdr:rowOff>
    </xdr:to>
    <xdr:graphicFrame>
      <xdr:nvGraphicFramePr>
        <xdr:cNvPr id="8" name="Chart 16"/>
        <xdr:cNvGraphicFramePr/>
      </xdr:nvGraphicFramePr>
      <xdr:xfrm>
        <a:off x="9614520" y="17145000"/>
        <a:ext cx="4141440" cy="332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62640</xdr:colOff>
      <xdr:row>49</xdr:row>
      <xdr:rowOff>24120</xdr:rowOff>
    </xdr:from>
    <xdr:to>
      <xdr:col>20</xdr:col>
      <xdr:colOff>214200</xdr:colOff>
      <xdr:row>63</xdr:row>
      <xdr:rowOff>70560</xdr:rowOff>
    </xdr:to>
    <xdr:pic>
      <xdr:nvPicPr>
        <xdr:cNvPr id="9" name="Picture 2" descr=""/>
        <xdr:cNvPicPr/>
      </xdr:nvPicPr>
      <xdr:blipFill>
        <a:blip r:embed="rId10"/>
        <a:stretch/>
      </xdr:blipFill>
      <xdr:spPr>
        <a:xfrm>
          <a:off x="14031360" y="9830880"/>
          <a:ext cx="3702240" cy="2782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349560</xdr:colOff>
      <xdr:row>7</xdr:row>
      <xdr:rowOff>188280</xdr:rowOff>
    </xdr:from>
    <xdr:to>
      <xdr:col>15</xdr:col>
      <xdr:colOff>482040</xdr:colOff>
      <xdr:row>26</xdr:row>
      <xdr:rowOff>34200</xdr:rowOff>
    </xdr:to>
    <xdr:pic>
      <xdr:nvPicPr>
        <xdr:cNvPr id="10" name="Picture 3" descr=""/>
        <xdr:cNvPicPr/>
      </xdr:nvPicPr>
      <xdr:blipFill>
        <a:blip r:embed="rId11"/>
        <a:stretch/>
      </xdr:blipFill>
      <xdr:spPr>
        <a:xfrm>
          <a:off x="9020160" y="2184480"/>
          <a:ext cx="5430600" cy="3412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129240</xdr:colOff>
      <xdr:row>29</xdr:row>
      <xdr:rowOff>59400</xdr:rowOff>
    </xdr:from>
    <xdr:to>
      <xdr:col>14</xdr:col>
      <xdr:colOff>241200</xdr:colOff>
      <xdr:row>47</xdr:row>
      <xdr:rowOff>36720</xdr:rowOff>
    </xdr:to>
    <xdr:graphicFrame>
      <xdr:nvGraphicFramePr>
        <xdr:cNvPr id="11" name="Chart 3"/>
        <xdr:cNvGraphicFramePr/>
      </xdr:nvGraphicFramePr>
      <xdr:xfrm>
        <a:off x="6362280" y="5545800"/>
        <a:ext cx="5004000" cy="326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424080</xdr:colOff>
      <xdr:row>29</xdr:row>
      <xdr:rowOff>56880</xdr:rowOff>
    </xdr:from>
    <xdr:to>
      <xdr:col>5</xdr:col>
      <xdr:colOff>354960</xdr:colOff>
      <xdr:row>47</xdr:row>
      <xdr:rowOff>24840</xdr:rowOff>
    </xdr:to>
    <xdr:graphicFrame>
      <xdr:nvGraphicFramePr>
        <xdr:cNvPr id="12" name="Chart 4"/>
        <xdr:cNvGraphicFramePr/>
      </xdr:nvGraphicFramePr>
      <xdr:xfrm>
        <a:off x="424080" y="5543280"/>
        <a:ext cx="5552280" cy="325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564840</xdr:colOff>
      <xdr:row>1</xdr:row>
      <xdr:rowOff>174600</xdr:rowOff>
    </xdr:from>
    <xdr:to>
      <xdr:col>14</xdr:col>
      <xdr:colOff>160560</xdr:colOff>
      <xdr:row>23</xdr:row>
      <xdr:rowOff>66240</xdr:rowOff>
    </xdr:to>
    <xdr:pic>
      <xdr:nvPicPr>
        <xdr:cNvPr id="13" name="Picture 5" descr=""/>
        <xdr:cNvPicPr/>
      </xdr:nvPicPr>
      <xdr:blipFill>
        <a:blip r:embed="rId3"/>
        <a:stretch/>
      </xdr:blipFill>
      <xdr:spPr>
        <a:xfrm>
          <a:off x="6186240" y="357480"/>
          <a:ext cx="5099400" cy="4097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223920</xdr:colOff>
      <xdr:row>8</xdr:row>
      <xdr:rowOff>6480</xdr:rowOff>
    </xdr:from>
    <xdr:to>
      <xdr:col>20</xdr:col>
      <xdr:colOff>528120</xdr:colOff>
      <xdr:row>23</xdr:row>
      <xdr:rowOff>5760</xdr:rowOff>
    </xdr:to>
    <xdr:graphicFrame>
      <xdr:nvGraphicFramePr>
        <xdr:cNvPr id="14" name="Chart 1"/>
        <xdr:cNvGraphicFramePr/>
      </xdr:nvGraphicFramePr>
      <xdr:xfrm>
        <a:off x="8626680" y="1469520"/>
        <a:ext cx="458460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231480</xdr:colOff>
      <xdr:row>24</xdr:row>
      <xdr:rowOff>18360</xdr:rowOff>
    </xdr:from>
    <xdr:to>
      <xdr:col>20</xdr:col>
      <xdr:colOff>535680</xdr:colOff>
      <xdr:row>39</xdr:row>
      <xdr:rowOff>17640</xdr:rowOff>
    </xdr:to>
    <xdr:graphicFrame>
      <xdr:nvGraphicFramePr>
        <xdr:cNvPr id="15" name="Chart 2"/>
        <xdr:cNvGraphicFramePr/>
      </xdr:nvGraphicFramePr>
      <xdr:xfrm>
        <a:off x="8634240" y="4407480"/>
        <a:ext cx="458460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567000</xdr:colOff>
      <xdr:row>2</xdr:row>
      <xdr:rowOff>136800</xdr:rowOff>
    </xdr:from>
    <xdr:to>
      <xdr:col>32</xdr:col>
      <xdr:colOff>498240</xdr:colOff>
      <xdr:row>45</xdr:row>
      <xdr:rowOff>176040</xdr:rowOff>
    </xdr:to>
    <xdr:pic>
      <xdr:nvPicPr>
        <xdr:cNvPr id="16" name="Picture 3" descr=""/>
        <xdr:cNvPicPr/>
      </xdr:nvPicPr>
      <xdr:blipFill>
        <a:blip r:embed="rId3"/>
        <a:stretch/>
      </xdr:blipFill>
      <xdr:spPr>
        <a:xfrm>
          <a:off x="13861800" y="502560"/>
          <a:ext cx="6657840" cy="7903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355680</xdr:colOff>
      <xdr:row>24</xdr:row>
      <xdr:rowOff>164160</xdr:rowOff>
    </xdr:from>
    <xdr:to>
      <xdr:col>16</xdr:col>
      <xdr:colOff>356400</xdr:colOff>
      <xdr:row>40</xdr:row>
      <xdr:rowOff>180000</xdr:rowOff>
    </xdr:to>
    <xdr:graphicFrame>
      <xdr:nvGraphicFramePr>
        <xdr:cNvPr id="17" name="Chart 1"/>
        <xdr:cNvGraphicFramePr/>
      </xdr:nvGraphicFramePr>
      <xdr:xfrm>
        <a:off x="5968800" y="4553280"/>
        <a:ext cx="4281480" cy="294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ti.com/hotswap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N10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88" activeCellId="0" sqref="E88"/>
    </sheetView>
  </sheetViews>
  <sheetFormatPr defaultRowHeight="14.4" outlineLevelRow="0" outlineLevelCol="0"/>
  <cols>
    <col collapsed="false" customWidth="true" hidden="true" outlineLevel="0" max="1" min="1" style="0" width="8.89"/>
    <col collapsed="false" customWidth="true" hidden="false" outlineLevel="0" max="2" min="2" style="0" width="15.66"/>
    <col collapsed="false" customWidth="true" hidden="false" outlineLevel="0" max="3" min="3" style="0" width="58.11"/>
    <col collapsed="false" customWidth="true" hidden="false" outlineLevel="0" max="4" min="4" style="0" width="8.79"/>
    <col collapsed="false" customWidth="true" hidden="false" outlineLevel="0" max="5" min="5" style="0" width="9.33"/>
    <col collapsed="false" customWidth="true" hidden="false" outlineLevel="0" max="6" min="6" style="0" width="10.45"/>
    <col collapsed="false" customWidth="true" hidden="false" outlineLevel="0" max="7" min="7" style="0" width="7"/>
    <col collapsed="false" customWidth="true" hidden="false" outlineLevel="0" max="8" min="8" style="0" width="13.55"/>
    <col collapsed="false" customWidth="true" hidden="false" outlineLevel="0" max="9" min="9" style="0" width="11.99"/>
    <col collapsed="false" customWidth="true" hidden="false" outlineLevel="0" max="10" min="10" style="0" width="16.44"/>
    <col collapsed="false" customWidth="true" hidden="false" outlineLevel="0" max="11" min="11" style="0" width="8.67"/>
    <col collapsed="false" customWidth="true" hidden="false" outlineLevel="0" max="12" min="12" style="0" width="11.99"/>
    <col collapsed="false" customWidth="true" hidden="false" outlineLevel="0" max="19" min="13" style="0" width="8.67"/>
    <col collapsed="false" customWidth="true" hidden="false" outlineLevel="0" max="20" min="20" style="0" width="15.66"/>
    <col collapsed="false" customWidth="true" hidden="false" outlineLevel="0" max="21" min="21" style="0" width="15.44"/>
    <col collapsed="false" customWidth="true" hidden="false" outlineLevel="0" max="22" min="22" style="0" width="13.66"/>
    <col collapsed="false" customWidth="true" hidden="false" outlineLevel="0" max="1025" min="23" style="0" width="8.67"/>
  </cols>
  <sheetData>
    <row r="1" customFormat="false" ht="62.4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customFormat="false" ht="15.6" hidden="false" customHeight="false" outlineLevel="0" collapsed="false">
      <c r="B2" s="3"/>
      <c r="C2" s="4" t="s">
        <v>1</v>
      </c>
      <c r="D2" s="3"/>
      <c r="E2" s="3"/>
      <c r="F2" s="3"/>
      <c r="G2" s="5"/>
      <c r="H2" s="5"/>
      <c r="I2" s="3"/>
      <c r="J2" s="3"/>
      <c r="K2" s="3"/>
      <c r="L2" s="3"/>
      <c r="M2" s="6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customFormat="false" ht="14.4" hidden="false" customHeight="false" outlineLevel="0" collapsed="false">
      <c r="B3" s="3"/>
      <c r="C3" s="3"/>
      <c r="D3" s="3"/>
      <c r="E3" s="3"/>
      <c r="F3" s="3"/>
      <c r="G3" s="3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customFormat="false" ht="14.4" hidden="false" customHeight="false" outlineLevel="0" collapsed="false">
      <c r="B4" s="3"/>
      <c r="C4" s="3"/>
      <c r="D4" s="3"/>
      <c r="E4" s="3"/>
      <c r="F4" s="3"/>
      <c r="G4" s="3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customFormat="false" ht="14.4" hidden="false" customHeight="false" outlineLevel="0" collapsed="false">
      <c r="B5" s="3"/>
      <c r="C5" s="3"/>
      <c r="D5" s="3"/>
      <c r="E5" s="3"/>
      <c r="F5" s="3"/>
      <c r="G5" s="3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customFormat="false" ht="24" hidden="false" customHeight="true" outlineLevel="0" collapsed="false">
      <c r="B6" s="3"/>
      <c r="C6" s="3"/>
      <c r="D6" s="3"/>
      <c r="E6" s="3"/>
      <c r="F6" s="3"/>
      <c r="G6" s="3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customFormat="false" ht="12" hidden="false" customHeight="true" outlineLevel="0" collapsed="false">
      <c r="B7" s="3"/>
      <c r="C7" s="3"/>
      <c r="D7" s="3"/>
      <c r="E7" s="3"/>
      <c r="F7" s="3"/>
      <c r="G7" s="3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customFormat="false" ht="21.6" hidden="false" customHeight="true" outlineLevel="0" collapsed="false">
      <c r="C8" s="7"/>
      <c r="D8" s="8" t="s">
        <v>2</v>
      </c>
      <c r="E8" s="9"/>
    </row>
    <row r="9" customFormat="false" ht="14.4" hidden="false" customHeight="false" outlineLevel="0" collapsed="false">
      <c r="C9" s="10"/>
      <c r="D9" s="3" t="s">
        <v>3</v>
      </c>
      <c r="E9" s="11"/>
    </row>
    <row r="10" customFormat="false" ht="14.4" hidden="false" customHeight="true" outlineLevel="0" collapsed="false">
      <c r="C10" s="12"/>
      <c r="D10" s="13" t="s">
        <v>4</v>
      </c>
      <c r="E10" s="13"/>
      <c r="F10" s="13"/>
      <c r="G10" s="13"/>
      <c r="H10" s="13"/>
    </row>
    <row r="11" customFormat="false" ht="14.4" hidden="false" customHeight="false" outlineLevel="0" collapsed="false">
      <c r="C11" s="14"/>
      <c r="D11" s="13"/>
      <c r="E11" s="13"/>
      <c r="F11" s="13"/>
      <c r="G11" s="13"/>
      <c r="H11" s="13"/>
    </row>
    <row r="12" customFormat="false" ht="14.4" hidden="false" customHeight="false" outlineLevel="0" collapsed="false">
      <c r="C12" s="15"/>
    </row>
    <row r="13" customFormat="false" ht="14.4" hidden="false" customHeight="false" outlineLevel="0" collapsed="false">
      <c r="C13" s="16" t="s">
        <v>5</v>
      </c>
      <c r="D13" s="17" t="s">
        <v>6</v>
      </c>
      <c r="E13" s="17" t="s">
        <v>7</v>
      </c>
      <c r="F13" s="18" t="s">
        <v>8</v>
      </c>
      <c r="G13" s="19" t="s">
        <v>9</v>
      </c>
    </row>
    <row r="14" customFormat="false" ht="13.8" hidden="false" customHeight="false" outlineLevel="0" collapsed="false">
      <c r="C14" s="20" t="s">
        <v>10</v>
      </c>
      <c r="D14" s="21"/>
      <c r="E14" s="22" t="n">
        <v>1200</v>
      </c>
      <c r="F14" s="23" t="n">
        <v>1400</v>
      </c>
      <c r="G14" s="24" t="s">
        <v>11</v>
      </c>
    </row>
    <row r="15" customFormat="false" ht="14.4" hidden="false" customHeight="false" outlineLevel="0" collapsed="false">
      <c r="C15" s="20" t="s">
        <v>12</v>
      </c>
      <c r="D15" s="25" t="n">
        <v>42</v>
      </c>
      <c r="E15" s="22" t="n">
        <v>48</v>
      </c>
      <c r="F15" s="23" t="n">
        <v>56</v>
      </c>
      <c r="G15" s="24" t="s">
        <v>13</v>
      </c>
    </row>
    <row r="16" customFormat="false" ht="13.8" hidden="false" customHeight="false" outlineLevel="0" collapsed="false">
      <c r="C16" s="20" t="s">
        <v>14</v>
      </c>
      <c r="D16" s="21"/>
      <c r="E16" s="22" t="n">
        <v>660</v>
      </c>
      <c r="F16" s="23" t="n">
        <v>720</v>
      </c>
      <c r="G16" s="24" t="s">
        <v>15</v>
      </c>
    </row>
    <row r="17" customFormat="false" ht="14.4" hidden="false" customHeight="false" outlineLevel="0" collapsed="false">
      <c r="C17" s="20" t="s">
        <v>16</v>
      </c>
      <c r="D17" s="21"/>
      <c r="E17" s="26"/>
      <c r="F17" s="23" t="n">
        <v>85</v>
      </c>
      <c r="G17" s="27" t="s">
        <v>17</v>
      </c>
    </row>
    <row r="18" customFormat="false" ht="14.4" hidden="false" customHeight="false" outlineLevel="0" collapsed="false">
      <c r="C18" s="16" t="s">
        <v>18</v>
      </c>
      <c r="D18" s="17"/>
      <c r="E18" s="17"/>
      <c r="F18" s="18"/>
      <c r="G18" s="28"/>
    </row>
    <row r="19" customFormat="false" ht="15.6" hidden="false" customHeight="false" outlineLevel="0" collapsed="false">
      <c r="C19" s="20" t="s">
        <v>19</v>
      </c>
      <c r="D19" s="21"/>
      <c r="E19" s="23" t="n">
        <v>25</v>
      </c>
      <c r="F19" s="29"/>
      <c r="G19" s="30" t="s">
        <v>20</v>
      </c>
    </row>
    <row r="20" customFormat="false" ht="14.4" hidden="false" customHeight="false" outlineLevel="0" collapsed="false">
      <c r="C20" s="20" t="s">
        <v>21</v>
      </c>
      <c r="D20" s="21"/>
      <c r="E20" s="31" t="n">
        <f aca="false">E14/E15</f>
        <v>25</v>
      </c>
      <c r="F20" s="32" t="n">
        <f aca="false">F14/D15</f>
        <v>33.3333333333333</v>
      </c>
      <c r="G20" s="24" t="s">
        <v>22</v>
      </c>
    </row>
    <row r="21" customFormat="false" ht="14.4" hidden="false" customHeight="false" outlineLevel="0" collapsed="false">
      <c r="C21" s="20" t="s">
        <v>23</v>
      </c>
      <c r="D21" s="21"/>
      <c r="E21" s="22" t="n">
        <v>38</v>
      </c>
      <c r="F21" s="29"/>
      <c r="G21" s="24" t="s">
        <v>22</v>
      </c>
    </row>
    <row r="22" customFormat="false" ht="14.4" hidden="false" customHeight="false" outlineLevel="0" collapsed="false">
      <c r="C22" s="20" t="s">
        <v>24</v>
      </c>
      <c r="D22" s="21"/>
      <c r="E22" s="31" t="n">
        <f aca="false">Error_Calculation!H2/E21</f>
        <v>0.657894736842105</v>
      </c>
      <c r="F22" s="29"/>
      <c r="G22" s="24" t="s">
        <v>25</v>
      </c>
    </row>
    <row r="23" customFormat="false" ht="14.4" hidden="false" customHeight="false" outlineLevel="0" collapsed="false">
      <c r="C23" s="20" t="s">
        <v>26</v>
      </c>
      <c r="D23" s="21"/>
      <c r="E23" s="22" t="n">
        <v>0.6</v>
      </c>
      <c r="F23" s="29"/>
      <c r="G23" s="24" t="s">
        <v>25</v>
      </c>
    </row>
    <row r="24" customFormat="false" ht="14.4" hidden="false" customHeight="false" outlineLevel="0" collapsed="false">
      <c r="C24" s="20" t="s">
        <v>27</v>
      </c>
      <c r="D24" s="21"/>
      <c r="E24" s="31" t="n">
        <f aca="false">Error_Calculation!H2/E23</f>
        <v>41.6666666666667</v>
      </c>
      <c r="F24" s="29"/>
      <c r="G24" s="24" t="s">
        <v>22</v>
      </c>
    </row>
    <row r="25" customFormat="false" ht="14.4" hidden="false" customHeight="false" outlineLevel="0" collapsed="false">
      <c r="C25" s="20" t="s">
        <v>28</v>
      </c>
      <c r="D25" s="21"/>
      <c r="E25" s="31" t="n">
        <f aca="false">Error_Calculation!N19/E23</f>
        <v>5</v>
      </c>
      <c r="F25" s="29"/>
      <c r="G25" s="24" t="s">
        <v>22</v>
      </c>
    </row>
    <row r="26" customFormat="false" ht="14.4" hidden="false" customHeight="false" outlineLevel="0" collapsed="false">
      <c r="C26" s="20" t="s">
        <v>29</v>
      </c>
      <c r="D26" s="33" t="n">
        <f aca="false">Error_Calculation!M13/E23</f>
        <v>2.5</v>
      </c>
      <c r="E26" s="26"/>
      <c r="F26" s="34"/>
      <c r="G26" s="27" t="s">
        <v>22</v>
      </c>
    </row>
    <row r="27" customFormat="false" ht="14.4" hidden="false" customHeight="false" outlineLevel="0" collapsed="false">
      <c r="C27" s="20" t="s">
        <v>30</v>
      </c>
      <c r="D27" s="35" t="s">
        <v>31</v>
      </c>
      <c r="E27" s="35"/>
      <c r="F27" s="35"/>
      <c r="G27" s="36"/>
    </row>
    <row r="28" customFormat="false" ht="14.4" hidden="false" customHeight="false" outlineLevel="0" collapsed="false">
      <c r="C28" s="20" t="s">
        <v>32</v>
      </c>
      <c r="D28" s="21"/>
      <c r="E28" s="21"/>
      <c r="F28" s="37" t="n">
        <f aca="false">3.4*1.5</f>
        <v>5.1</v>
      </c>
      <c r="G28" s="24" t="s">
        <v>25</v>
      </c>
    </row>
    <row r="29" customFormat="false" ht="14.4" hidden="false" customHeight="false" outlineLevel="0" collapsed="false">
      <c r="C29" s="20" t="s">
        <v>33</v>
      </c>
      <c r="D29" s="21"/>
      <c r="E29" s="21"/>
      <c r="F29" s="37" t="n">
        <v>175</v>
      </c>
      <c r="G29" s="24" t="s">
        <v>17</v>
      </c>
    </row>
    <row r="30" customFormat="false" ht="15" hidden="false" customHeight="false" outlineLevel="0" collapsed="false">
      <c r="C30" s="20" t="s">
        <v>34</v>
      </c>
      <c r="D30" s="21"/>
      <c r="E30" s="21"/>
      <c r="F30" s="37" t="n">
        <v>8</v>
      </c>
      <c r="G30" s="24" t="s">
        <v>35</v>
      </c>
    </row>
    <row r="31" customFormat="false" ht="14.4" hidden="false" customHeight="false" outlineLevel="0" collapsed="false">
      <c r="C31" s="20" t="s">
        <v>36</v>
      </c>
      <c r="D31" s="21"/>
      <c r="E31" s="23" t="n">
        <v>1</v>
      </c>
      <c r="F31" s="29"/>
      <c r="G31" s="24"/>
      <c r="J31" s="38"/>
      <c r="K31" s="39"/>
      <c r="L31" s="39"/>
      <c r="M31" s="40" t="s">
        <v>37</v>
      </c>
      <c r="N31" s="40"/>
      <c r="O31" s="40"/>
      <c r="P31" s="40"/>
      <c r="Q31" s="40"/>
      <c r="R31" s="39"/>
      <c r="S31" s="39"/>
      <c r="T31" s="39"/>
      <c r="U31" s="41"/>
    </row>
    <row r="32" customFormat="false" ht="14.4" hidden="false" customHeight="false" outlineLevel="0" collapsed="false">
      <c r="C32" s="20" t="s">
        <v>38</v>
      </c>
      <c r="D32" s="35" t="s">
        <v>39</v>
      </c>
      <c r="E32" s="35"/>
      <c r="F32" s="35"/>
      <c r="G32" s="36"/>
      <c r="J32" s="42"/>
      <c r="K32" s="43"/>
      <c r="L32" s="43"/>
      <c r="M32" s="40"/>
      <c r="N32" s="40"/>
      <c r="O32" s="40"/>
      <c r="P32" s="40"/>
      <c r="Q32" s="40"/>
      <c r="R32" s="43"/>
      <c r="S32" s="43"/>
      <c r="T32" s="43"/>
      <c r="U32" s="44"/>
    </row>
    <row r="33" customFormat="false" ht="15.6" hidden="false" customHeight="false" outlineLevel="0" collapsed="false">
      <c r="C33" s="20" t="s">
        <v>40</v>
      </c>
      <c r="D33" s="21"/>
      <c r="E33" s="21"/>
      <c r="F33" s="37" t="n">
        <v>7.8</v>
      </c>
      <c r="G33" s="24" t="s">
        <v>25</v>
      </c>
      <c r="J33" s="45" t="s">
        <v>41</v>
      </c>
      <c r="K33" s="45"/>
      <c r="L33" s="45"/>
      <c r="M33" s="45"/>
      <c r="N33" s="45"/>
      <c r="O33" s="43"/>
      <c r="P33" s="43"/>
      <c r="Q33" s="46" t="s">
        <v>42</v>
      </c>
      <c r="R33" s="46"/>
      <c r="S33" s="46"/>
      <c r="T33" s="46"/>
      <c r="U33" s="46"/>
    </row>
    <row r="34" customFormat="false" ht="14.4" hidden="false" customHeight="false" outlineLevel="0" collapsed="false">
      <c r="C34" s="20" t="s">
        <v>43</v>
      </c>
      <c r="D34" s="21"/>
      <c r="E34" s="23" t="n">
        <v>0</v>
      </c>
      <c r="F34" s="29"/>
      <c r="J34" s="45"/>
      <c r="K34" s="47"/>
      <c r="L34" s="47"/>
      <c r="M34" s="47"/>
      <c r="N34" s="47"/>
      <c r="O34" s="43"/>
      <c r="P34" s="43"/>
      <c r="Q34" s="47"/>
      <c r="R34" s="47"/>
      <c r="S34" s="47"/>
      <c r="T34" s="47"/>
      <c r="U34" s="46"/>
    </row>
    <row r="35" customFormat="false" ht="14.4" hidden="false" customHeight="false" outlineLevel="0" collapsed="false">
      <c r="C35" s="20" t="s">
        <v>44</v>
      </c>
      <c r="D35" s="21"/>
      <c r="E35" s="21"/>
      <c r="F35" s="23" t="n">
        <v>20</v>
      </c>
      <c r="G35" s="24" t="s">
        <v>45</v>
      </c>
      <c r="J35" s="45"/>
      <c r="K35" s="47"/>
      <c r="L35" s="47"/>
      <c r="M35" s="47"/>
      <c r="N35" s="47"/>
      <c r="O35" s="43"/>
      <c r="P35" s="43"/>
      <c r="Q35" s="47"/>
      <c r="R35" s="47"/>
      <c r="S35" s="47"/>
      <c r="T35" s="47"/>
      <c r="U35" s="46"/>
    </row>
    <row r="36" customFormat="false" ht="14.4" hidden="false" customHeight="false" outlineLevel="0" collapsed="false">
      <c r="C36" s="20" t="s">
        <v>46</v>
      </c>
      <c r="D36" s="21"/>
      <c r="E36" s="21"/>
      <c r="F36" s="32" t="n">
        <f aca="false">IF(E34=0, F20, (F33/E34)/(F33/E34+F28/E31)*F20)</f>
        <v>33.3333333333333</v>
      </c>
      <c r="G36" s="24" t="s">
        <v>22</v>
      </c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</row>
    <row r="37" customFormat="false" ht="14.4" hidden="false" customHeight="false" outlineLevel="0" collapsed="false">
      <c r="C37" s="20" t="s">
        <v>47</v>
      </c>
      <c r="D37" s="21"/>
      <c r="E37" s="21"/>
      <c r="F37" s="31" t="n">
        <f aca="false">F28*(F36/E31)^2/1000</f>
        <v>5.66666666666667</v>
      </c>
      <c r="G37" s="48" t="s">
        <v>11</v>
      </c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4"/>
    </row>
    <row r="38" customFormat="false" ht="14.4" hidden="false" customHeight="false" outlineLevel="0" collapsed="false">
      <c r="A38" s="0" t="s">
        <v>48</v>
      </c>
      <c r="C38" s="20" t="s">
        <v>49</v>
      </c>
      <c r="D38" s="21"/>
      <c r="E38" s="21"/>
      <c r="F38" s="49" t="n">
        <f aca="false">F37*E31+IF(E34=0, 0, (F20-F36)^2*F33/E34)/1000</f>
        <v>5.66666666666667</v>
      </c>
      <c r="G38" s="24" t="s">
        <v>11</v>
      </c>
      <c r="J38" s="42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4"/>
    </row>
    <row r="39" customFormat="false" ht="14.4" hidden="false" customHeight="false" outlineLevel="0" collapsed="false">
      <c r="A39" s="0" t="s">
        <v>50</v>
      </c>
      <c r="C39" s="20" t="s">
        <v>51</v>
      </c>
      <c r="D39" s="21"/>
      <c r="E39" s="21"/>
      <c r="F39" s="49" t="n">
        <f aca="false">F17+F37*F35</f>
        <v>198.333333333333</v>
      </c>
      <c r="G39" s="24" t="s">
        <v>17</v>
      </c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</row>
    <row r="40" customFormat="false" ht="14.4" hidden="false" customHeight="false" outlineLevel="0" collapsed="false">
      <c r="C40" s="18" t="s">
        <v>52</v>
      </c>
      <c r="D40" s="17"/>
      <c r="E40" s="17"/>
      <c r="F40" s="18"/>
      <c r="G40" s="28"/>
      <c r="J40" s="42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</row>
    <row r="41" customFormat="false" ht="14.4" hidden="false" customHeight="false" outlineLevel="0" collapsed="false">
      <c r="C41" s="20" t="s">
        <v>53</v>
      </c>
      <c r="D41" s="20"/>
      <c r="E41" s="20"/>
      <c r="F41" s="50" t="s">
        <v>48</v>
      </c>
      <c r="G41" s="51"/>
      <c r="J41" s="42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4"/>
    </row>
    <row r="42" customFormat="false" ht="14.4" hidden="false" customHeight="false" outlineLevel="0" collapsed="false">
      <c r="C42" s="51" t="str">
        <f aca="false">IF(F41="YES", "Go to 'ATIS_BrownOut' Tab and Update per your requirments!!", "Targets Below are suggestions only")</f>
        <v>Go to 'ATIS_BrownOut' Tab and Update per your requirments!!</v>
      </c>
      <c r="D42" s="52"/>
      <c r="E42" s="52"/>
      <c r="F42" s="51"/>
      <c r="G42" s="51"/>
      <c r="J42" s="42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4"/>
    </row>
    <row r="43" customFormat="false" ht="14.4" hidden="false" customHeight="false" outlineLevel="0" collapsed="false">
      <c r="C43" s="53" t="str">
        <f aca="false">IF(F41="No","Suggested Time Out (low Vds)","Min Recomended Time Out ( @ low Vds)")</f>
        <v>Min Recomended Time Out ( @ low Vds)</v>
      </c>
      <c r="D43" s="54"/>
      <c r="E43" s="55"/>
      <c r="F43" s="56" t="e">
        <f aca="false">IF(F41="Yes", BrownOut!C22, 5)</f>
        <v>#VALUE!</v>
      </c>
      <c r="G43" s="51" t="s">
        <v>54</v>
      </c>
      <c r="J43" s="42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</row>
    <row r="44" customFormat="false" ht="14.4" hidden="false" customHeight="false" outlineLevel="0" collapsed="false">
      <c r="C44" s="57" t="str">
        <f aca="false">IF(F41="No","Suggested Ilim switch","Min Recommended Ilim switch")</f>
        <v>Min Recommended Ilim switch</v>
      </c>
      <c r="D44" s="58"/>
      <c r="E44" s="34"/>
      <c r="F44" s="56" t="e">
        <f aca="false">IF(F41="Yes", BrownOut!C23, 15)</f>
        <v>#VALUE!</v>
      </c>
      <c r="G44" s="51" t="s">
        <v>13</v>
      </c>
      <c r="J44" s="42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</row>
    <row r="45" customFormat="false" ht="15" hidden="false" customHeight="false" outlineLevel="0" collapsed="false">
      <c r="C45" s="59" t="s">
        <v>55</v>
      </c>
      <c r="D45" s="60"/>
      <c r="E45" s="60" t="s">
        <v>56</v>
      </c>
      <c r="F45" s="59"/>
      <c r="G45" s="61"/>
      <c r="J45" s="42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</row>
    <row r="46" customFormat="false" ht="14.4" hidden="false" customHeight="false" outlineLevel="0" collapsed="false">
      <c r="C46" s="62" t="s">
        <v>57</v>
      </c>
      <c r="D46" s="21"/>
      <c r="E46" s="63" t="n">
        <v>41</v>
      </c>
      <c r="F46" s="29"/>
      <c r="G46" s="24" t="s">
        <v>13</v>
      </c>
      <c r="J46" s="42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4"/>
    </row>
    <row r="47" customFormat="false" ht="14.4" hidden="false" customHeight="false" outlineLevel="0" collapsed="false">
      <c r="C47" s="20" t="s">
        <v>58</v>
      </c>
      <c r="D47" s="21"/>
      <c r="E47" s="23" t="n">
        <v>39</v>
      </c>
      <c r="F47" s="29"/>
      <c r="G47" s="24" t="s">
        <v>13</v>
      </c>
      <c r="J47" s="42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4"/>
    </row>
    <row r="48" customFormat="false" ht="15" hidden="false" customHeight="false" outlineLevel="0" collapsed="false">
      <c r="C48" s="20" t="s">
        <v>59</v>
      </c>
      <c r="D48" s="21"/>
      <c r="E48" s="23" t="n">
        <v>61</v>
      </c>
      <c r="F48" s="29"/>
      <c r="G48" s="24" t="s">
        <v>13</v>
      </c>
      <c r="J48" s="64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6"/>
    </row>
    <row r="49" customFormat="false" ht="14.4" hidden="false" customHeight="false" outlineLevel="0" collapsed="false">
      <c r="A49" s="0" t="s">
        <v>56</v>
      </c>
      <c r="C49" s="20" t="s">
        <v>60</v>
      </c>
      <c r="D49" s="21"/>
      <c r="E49" s="23" t="n">
        <v>58</v>
      </c>
      <c r="F49" s="29"/>
      <c r="G49" s="24" t="s">
        <v>13</v>
      </c>
    </row>
    <row r="50" customFormat="false" ht="13.8" hidden="false" customHeight="false" outlineLevel="0" collapsed="false">
      <c r="A50" s="0" t="s">
        <v>61</v>
      </c>
      <c r="C50" s="20" t="s">
        <v>62</v>
      </c>
      <c r="D50" s="21"/>
      <c r="E50" s="23" t="n">
        <v>30</v>
      </c>
      <c r="F50" s="29"/>
      <c r="G50" s="24" t="s">
        <v>13</v>
      </c>
    </row>
    <row r="51" customFormat="false" ht="13.8" hidden="false" customHeight="false" outlineLevel="0" collapsed="false">
      <c r="C51" s="20" t="s">
        <v>63</v>
      </c>
      <c r="D51" s="21"/>
      <c r="E51" s="23" t="n">
        <v>0.6</v>
      </c>
      <c r="F51" s="29"/>
      <c r="G51" s="24" t="s">
        <v>22</v>
      </c>
    </row>
    <row r="52" customFormat="false" ht="14.4" hidden="false" customHeight="false" outlineLevel="0" collapsed="false">
      <c r="C52" s="20" t="s">
        <v>64</v>
      </c>
      <c r="D52" s="21"/>
      <c r="E52" s="23" t="n">
        <v>2</v>
      </c>
      <c r="F52" s="29"/>
      <c r="G52" s="24" t="s">
        <v>54</v>
      </c>
    </row>
    <row r="53" customFormat="false" ht="15" hidden="false" customHeight="false" outlineLevel="0" collapsed="false">
      <c r="C53" s="59" t="s">
        <v>65</v>
      </c>
      <c r="D53" s="67"/>
      <c r="E53" s="67"/>
      <c r="F53" s="59"/>
      <c r="G53" s="61"/>
    </row>
    <row r="54" customFormat="false" ht="57.6" hidden="false" customHeight="false" outlineLevel="0" collapsed="false">
      <c r="C54" s="68" t="s">
        <v>66</v>
      </c>
      <c r="D54" s="69" t="s">
        <v>61</v>
      </c>
      <c r="E54" s="69"/>
      <c r="F54" s="69"/>
      <c r="G54" s="24"/>
    </row>
    <row r="55" customFormat="false" ht="14.4" hidden="false" customHeight="false" outlineLevel="0" collapsed="false">
      <c r="C55" s="20" t="s">
        <v>67</v>
      </c>
      <c r="D55" s="21"/>
      <c r="E55" s="49" t="n">
        <f aca="false">SOA_Checks!C31</f>
        <v>1.05</v>
      </c>
      <c r="F55" s="21"/>
      <c r="G55" s="24" t="s">
        <v>54</v>
      </c>
    </row>
    <row r="56" customFormat="false" ht="14.4" hidden="true" customHeight="false" outlineLevel="0" collapsed="false">
      <c r="C56" s="20" t="str">
        <f aca="false">"Estimated Teq for Start-into "&amp;Error_Calculation!O29&amp;" ohm short"</f>
        <v>Estimated Teq for Start-into 1 ohm short</v>
      </c>
      <c r="D56" s="21"/>
      <c r="E56" s="49" t="n">
        <f aca="false">SOA_Checks!C32</f>
        <v>4.05</v>
      </c>
      <c r="F56" s="21"/>
      <c r="G56" s="24" t="s">
        <v>54</v>
      </c>
    </row>
    <row r="57" customFormat="false" ht="14.4" hidden="false" customHeight="false" outlineLevel="0" collapsed="false">
      <c r="C57" s="20" t="s">
        <v>68</v>
      </c>
      <c r="D57" s="21"/>
      <c r="E57" s="23" t="s">
        <v>69</v>
      </c>
      <c r="F57" s="21"/>
      <c r="G57" s="24" t="s">
        <v>54</v>
      </c>
    </row>
    <row r="58" customFormat="false" ht="15" hidden="true" customHeight="false" outlineLevel="0" collapsed="false">
      <c r="C58" s="70" t="str">
        <f aca="false">"Measured Teq for Start-into "&amp;Error_Calculation!O29&amp;" ohm short  (Enter TBD if not known)"</f>
        <v>Measured Teq for Start-into 1 ohm short  (Enter TBD if not known)</v>
      </c>
      <c r="D58" s="21"/>
      <c r="E58" s="71" t="s">
        <v>69</v>
      </c>
      <c r="F58" s="21"/>
      <c r="G58" s="72" t="s">
        <v>54</v>
      </c>
    </row>
    <row r="59" customFormat="false" ht="14.4" hidden="false" customHeight="false" outlineLevel="0" collapsed="false">
      <c r="C59" s="20" t="str">
        <f aca="false">SOA_Checks!D47</f>
        <v>Q1 Current handling at 1ms and 56V</v>
      </c>
      <c r="D59" s="73"/>
      <c r="E59" s="23" t="n">
        <v>6</v>
      </c>
      <c r="F59" s="73"/>
      <c r="G59" s="74" t="s">
        <v>22</v>
      </c>
    </row>
    <row r="60" customFormat="false" ht="14.4" hidden="false" customHeight="false" outlineLevel="0" collapsed="false">
      <c r="C60" s="20" t="str">
        <f aca="false">SOA_Checks!D48</f>
        <v>Q1 Current handling at 10ms and 56V</v>
      </c>
      <c r="D60" s="75"/>
      <c r="E60" s="23" t="n">
        <v>1.8</v>
      </c>
      <c r="F60" s="75"/>
      <c r="G60" s="74" t="s">
        <v>22</v>
      </c>
    </row>
    <row r="61" customFormat="false" ht="14.4" hidden="false" customHeight="false" outlineLevel="0" collapsed="false">
      <c r="C61" s="20" t="str">
        <f aca="false">SOA_Checks!D49</f>
        <v>Q1 Current handling at 1ms and 56V</v>
      </c>
      <c r="D61" s="75"/>
      <c r="E61" s="23" t="n">
        <v>6</v>
      </c>
      <c r="F61" s="75"/>
      <c r="G61" s="74" t="s">
        <v>22</v>
      </c>
    </row>
    <row r="62" customFormat="false" ht="14.4" hidden="false" customHeight="false" outlineLevel="0" collapsed="false">
      <c r="C62" s="20" t="str">
        <f aca="false">SOA_Checks!D50</f>
        <v>Q1 Current handling at 10ms and 56V</v>
      </c>
      <c r="D62" s="75"/>
      <c r="E62" s="23" t="n">
        <v>1.8</v>
      </c>
      <c r="F62" s="75"/>
      <c r="G62" s="74" t="s">
        <v>22</v>
      </c>
    </row>
    <row r="63" customFormat="false" ht="14.4" hidden="false" customHeight="false" outlineLevel="0" collapsed="false">
      <c r="C63" s="20" t="str">
        <f aca="false">SOA_Checks!D51</f>
        <v>Q1 Current handling at 10ms and 56V</v>
      </c>
      <c r="D63" s="75"/>
      <c r="E63" s="23" t="n">
        <v>1.8</v>
      </c>
      <c r="F63" s="75"/>
      <c r="G63" s="74" t="s">
        <v>22</v>
      </c>
    </row>
    <row r="64" customFormat="false" ht="14.4" hidden="false" customHeight="false" outlineLevel="0" collapsed="false">
      <c r="C64" s="20" t="str">
        <f aca="false">SOA_Checks!D52</f>
        <v>Q1 Current handling at 100ms and 56V</v>
      </c>
      <c r="D64" s="75"/>
      <c r="E64" s="23" t="n">
        <v>1</v>
      </c>
      <c r="F64" s="75"/>
      <c r="G64" s="74" t="s">
        <v>22</v>
      </c>
    </row>
    <row r="65" customFormat="false" ht="14.4" hidden="false" customHeight="false" outlineLevel="0" collapsed="false">
      <c r="C65" s="20" t="str">
        <f aca="false">SOA_Checks!D53</f>
        <v>Q1 Current handling at 1ms and 20.2V</v>
      </c>
      <c r="D65" s="75"/>
      <c r="E65" s="23" t="n">
        <v>30</v>
      </c>
      <c r="F65" s="75"/>
      <c r="G65" s="74" t="s">
        <v>22</v>
      </c>
    </row>
    <row r="66" customFormat="false" ht="14.4" hidden="false" customHeight="false" outlineLevel="0" collapsed="false">
      <c r="C66" s="76" t="str">
        <f aca="false">SOA_Checks!D54</f>
        <v>Q1 Current handling at 10ms and 20.2V</v>
      </c>
      <c r="D66" s="75"/>
      <c r="E66" s="23" t="n">
        <v>10</v>
      </c>
      <c r="F66" s="75"/>
      <c r="G66" s="74" t="s">
        <v>22</v>
      </c>
    </row>
    <row r="67" customFormat="false" ht="14.4" hidden="false" customHeight="false" outlineLevel="0" collapsed="false">
      <c r="C67" s="20" t="str">
        <f aca="false">"SOA Margin: Hot Short / Start-into Short (@ Vin= "&amp;$F$15&amp;"V)"</f>
        <v>SOA Margin: Hot Short / Start-into Short (@ Vin= 56V)</v>
      </c>
      <c r="D67" s="75"/>
      <c r="E67" s="77" t="n">
        <f aca="false">SOA_Checks!E86</f>
        <v>-0.181964780613513</v>
      </c>
      <c r="F67" s="75"/>
      <c r="G67" s="74"/>
      <c r="K67" s="78"/>
      <c r="L67" s="78"/>
      <c r="M67" s="47" t="str">
        <f aca="false">"Start Into Short with Vin = " &amp;F15&amp;"V"</f>
        <v>Start Into Short with Vin = 56V</v>
      </c>
      <c r="N67" s="47"/>
      <c r="O67" s="47"/>
      <c r="P67" s="47"/>
      <c r="Q67" s="47"/>
      <c r="R67" s="47"/>
      <c r="S67" s="78"/>
      <c r="T67" s="78"/>
      <c r="U67" s="79"/>
    </row>
    <row r="68" customFormat="false" ht="14.4" hidden="true" customHeight="false" outlineLevel="0" collapsed="false">
      <c r="C68" s="20" t="str">
        <f aca="false">"SOA Margin: Start-into "&amp;Error_Calculation!O29&amp;" ohm Short (@ Vin= "&amp;$F$15&amp;"V)"</f>
        <v>SOA Margin: Start-into 1 ohm Short (@ Vin= 56V)</v>
      </c>
      <c r="D68" s="75"/>
      <c r="E68" s="77" t="n">
        <f aca="false">SOA_Checks!E87</f>
        <v>-0.0898341477281603</v>
      </c>
      <c r="F68" s="75"/>
      <c r="G68" s="74"/>
    </row>
    <row r="69" customFormat="false" ht="14.4" hidden="false" customHeight="false" outlineLevel="0" collapsed="false">
      <c r="C69" s="20" t="str">
        <f aca="false">"SOA Margin: Start-up (@ Vin= "&amp;$F$15&amp;"V)"</f>
        <v>SOA Margin: Start-up (@ Vin= 56V)</v>
      </c>
      <c r="D69" s="75"/>
      <c r="E69" s="77" t="n">
        <f aca="false">SOA_Checks!E88</f>
        <v>-0.342489163734807</v>
      </c>
      <c r="F69" s="75"/>
      <c r="G69" s="74"/>
      <c r="J69" s="42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4"/>
    </row>
    <row r="70" customFormat="false" ht="14.4" hidden="false" customHeight="false" outlineLevel="0" collapsed="false">
      <c r="C70" s="20" t="str">
        <f aca="false">"SOA Margin: Current limit (@ Vds just under  "&amp;SOA_Checks!E5&amp;"V)"</f>
        <v>SOA Margin: Current limit (@ Vds just under  20.2V)</v>
      </c>
      <c r="D70" s="80"/>
      <c r="E70" s="77" t="n">
        <f aca="false">SOA_Checks!E89</f>
        <v>-0.105879545159463</v>
      </c>
      <c r="F70" s="80"/>
      <c r="G70" s="74"/>
      <c r="J70" s="42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4"/>
    </row>
    <row r="71" customFormat="false" ht="14.4" hidden="false" customHeight="false" outlineLevel="0" collapsed="false">
      <c r="C71" s="20" t="s">
        <v>70</v>
      </c>
      <c r="D71" s="81"/>
      <c r="E71" s="82" t="n">
        <f aca="false">SOA_Checks!C34</f>
        <v>67.2</v>
      </c>
      <c r="F71" s="34"/>
      <c r="G71" s="74" t="s">
        <v>54</v>
      </c>
      <c r="J71" s="42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4"/>
    </row>
    <row r="72" customFormat="false" ht="14.4" hidden="false" customHeight="false" outlineLevel="0" collapsed="false">
      <c r="C72" s="16" t="s">
        <v>71</v>
      </c>
      <c r="D72" s="17"/>
      <c r="E72" s="17" t="s">
        <v>56</v>
      </c>
      <c r="F72" s="18"/>
      <c r="G72" s="28"/>
      <c r="J72" s="42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4"/>
    </row>
    <row r="73" customFormat="false" ht="14.4" hidden="false" customHeight="false" outlineLevel="0" collapsed="false">
      <c r="C73" s="20" t="s">
        <v>72</v>
      </c>
      <c r="D73" s="21"/>
      <c r="E73" s="20" t="n">
        <f aca="false">(E46-E47)/Error_Calculation!N9*1000</f>
        <v>200</v>
      </c>
      <c r="F73" s="29"/>
      <c r="G73" s="24" t="s">
        <v>73</v>
      </c>
      <c r="J73" s="42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4"/>
    </row>
    <row r="74" customFormat="false" ht="14.4" hidden="false" customHeight="false" outlineLevel="0" collapsed="false">
      <c r="C74" s="20" t="s">
        <v>74</v>
      </c>
      <c r="D74" s="21"/>
      <c r="E74" s="83" t="n">
        <f aca="false">E73/(E46-Error_Calculation!N7)</f>
        <v>5</v>
      </c>
      <c r="F74" s="29"/>
      <c r="G74" s="24" t="s">
        <v>73</v>
      </c>
      <c r="J74" s="42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4"/>
    </row>
    <row r="75" customFormat="false" ht="14.4" hidden="false" customHeight="false" outlineLevel="0" collapsed="false">
      <c r="C75" s="20" t="s">
        <v>75</v>
      </c>
      <c r="D75" s="21"/>
      <c r="E75" s="20" t="n">
        <f aca="false">(E48-E49)/Error_Calculation!N10*1000</f>
        <v>300</v>
      </c>
      <c r="F75" s="29"/>
      <c r="G75" s="24" t="s">
        <v>73</v>
      </c>
      <c r="J75" s="42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4"/>
    </row>
    <row r="76" customFormat="false" ht="14.4" hidden="false" customHeight="false" outlineLevel="0" collapsed="false">
      <c r="C76" s="20" t="s">
        <v>76</v>
      </c>
      <c r="D76" s="21"/>
      <c r="E76" s="84" t="n">
        <f aca="false">E75/(E48-Error_Calculation!N8)</f>
        <v>5</v>
      </c>
      <c r="F76" s="29"/>
      <c r="G76" s="24" t="s">
        <v>73</v>
      </c>
      <c r="J76" s="42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4"/>
    </row>
    <row r="77" customFormat="false" ht="14.4" hidden="false" customHeight="false" outlineLevel="0" collapsed="false">
      <c r="C77" s="20" t="s">
        <v>77</v>
      </c>
      <c r="D77" s="21"/>
      <c r="E77" s="20" t="n">
        <f aca="false">((E50/Error_Calculation!N16)-1)*Error_Calculation!N17</f>
        <v>570</v>
      </c>
      <c r="F77" s="29"/>
      <c r="G77" s="24" t="s">
        <v>73</v>
      </c>
      <c r="J77" s="42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4"/>
    </row>
    <row r="78" customFormat="false" ht="14.4" hidden="false" customHeight="false" outlineLevel="0" collapsed="false">
      <c r="C78" s="20" t="s">
        <v>78</v>
      </c>
      <c r="D78" s="21"/>
      <c r="E78" s="20" t="n">
        <f aca="false">Error_Calculation!N22*F16/E51*0.001</f>
        <v>24</v>
      </c>
      <c r="F78" s="29"/>
      <c r="G78" s="24" t="s">
        <v>35</v>
      </c>
      <c r="J78" s="42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4"/>
    </row>
    <row r="79" customFormat="false" ht="14.4" hidden="false" customHeight="false" outlineLevel="0" collapsed="false">
      <c r="C79" s="20" t="s">
        <v>79</v>
      </c>
      <c r="D79" s="21"/>
      <c r="E79" s="20" t="n">
        <f aca="false">3*E78</f>
        <v>72</v>
      </c>
      <c r="F79" s="29"/>
      <c r="G79" s="24" t="s">
        <v>35</v>
      </c>
      <c r="J79" s="42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4"/>
    </row>
    <row r="80" customFormat="false" ht="14.4" hidden="false" customHeight="false" outlineLevel="0" collapsed="false">
      <c r="C80" s="20" t="s">
        <v>80</v>
      </c>
      <c r="D80" s="21"/>
      <c r="E80" s="85" t="n">
        <f aca="false">E52*Error_Calculation!N14/Error_Calculation!N11</f>
        <v>13.3333333333333</v>
      </c>
      <c r="F80" s="29"/>
      <c r="G80" s="24" t="s">
        <v>35</v>
      </c>
      <c r="J80" s="42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4"/>
    </row>
    <row r="81" customFormat="false" ht="14.4" hidden="false" customHeight="false" outlineLevel="0" collapsed="false">
      <c r="C81" s="20" t="s">
        <v>81</v>
      </c>
      <c r="D81" s="21"/>
      <c r="E81" s="85" t="n">
        <f aca="false">(E47-Error_Calculation!M26)/(Error_Calculation!O25*1.2)</f>
        <v>21.969696969697</v>
      </c>
      <c r="F81" s="21"/>
      <c r="G81" s="24" t="s">
        <v>73</v>
      </c>
      <c r="J81" s="42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4"/>
    </row>
    <row r="82" customFormat="false" ht="14.4" hidden="false" customHeight="false" outlineLevel="0" collapsed="false">
      <c r="C82" s="16" t="s">
        <v>82</v>
      </c>
      <c r="D82" s="17"/>
      <c r="E82" s="17" t="s">
        <v>83</v>
      </c>
      <c r="F82" s="17" t="s">
        <v>84</v>
      </c>
      <c r="G82" s="28"/>
      <c r="J82" s="42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4"/>
    </row>
    <row r="83" customFormat="false" ht="14.4" hidden="false" customHeight="false" outlineLevel="0" collapsed="false">
      <c r="C83" s="20" t="s">
        <v>85</v>
      </c>
      <c r="D83" s="21"/>
      <c r="E83" s="37" t="n">
        <v>0.6</v>
      </c>
      <c r="F83" s="86" t="n">
        <v>0.01</v>
      </c>
      <c r="G83" s="51" t="s">
        <v>25</v>
      </c>
      <c r="J83" s="42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4"/>
    </row>
    <row r="84" customFormat="false" ht="14.4" hidden="false" customHeight="false" outlineLevel="0" collapsed="false">
      <c r="C84" s="20" t="s">
        <v>72</v>
      </c>
      <c r="D84" s="21"/>
      <c r="E84" s="37" t="n">
        <v>200</v>
      </c>
      <c r="F84" s="87" t="n">
        <v>0.001</v>
      </c>
      <c r="G84" s="51" t="s">
        <v>73</v>
      </c>
      <c r="J84" s="42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4"/>
    </row>
    <row r="85" customFormat="false" ht="14.4" hidden="false" customHeight="false" outlineLevel="0" collapsed="false">
      <c r="C85" s="20" t="s">
        <v>74</v>
      </c>
      <c r="D85" s="21"/>
      <c r="E85" s="37" t="n">
        <v>5.62</v>
      </c>
      <c r="F85" s="87" t="n">
        <v>0.001</v>
      </c>
      <c r="G85" s="51" t="s">
        <v>73</v>
      </c>
      <c r="J85" s="42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4"/>
    </row>
    <row r="86" customFormat="false" ht="14.4" hidden="false" customHeight="false" outlineLevel="0" collapsed="false">
      <c r="C86" s="20" t="s">
        <v>75</v>
      </c>
      <c r="D86" s="21"/>
      <c r="E86" s="37" t="n">
        <v>301</v>
      </c>
      <c r="F86" s="87" t="n">
        <v>0.001</v>
      </c>
      <c r="G86" s="51" t="s">
        <v>73</v>
      </c>
      <c r="J86" s="42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4"/>
    </row>
    <row r="87" customFormat="false" ht="14.4" hidden="false" customHeight="false" outlineLevel="0" collapsed="false">
      <c r="C87" s="20" t="s">
        <v>76</v>
      </c>
      <c r="D87" s="21"/>
      <c r="E87" s="37" t="n">
        <v>4.75</v>
      </c>
      <c r="F87" s="87" t="n">
        <v>0.001</v>
      </c>
      <c r="G87" s="51" t="s">
        <v>73</v>
      </c>
      <c r="J87" s="42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4"/>
    </row>
    <row r="88" customFormat="false" ht="14.4" hidden="false" customHeight="true" outlineLevel="0" collapsed="false">
      <c r="C88" s="20" t="s">
        <v>77</v>
      </c>
      <c r="D88" s="21"/>
      <c r="E88" s="37" t="n">
        <v>374</v>
      </c>
      <c r="F88" s="87" t="n">
        <v>0.01</v>
      </c>
      <c r="G88" s="51" t="s">
        <v>73</v>
      </c>
      <c r="J88" s="88" t="s">
        <v>86</v>
      </c>
      <c r="K88" s="88"/>
      <c r="L88" s="88"/>
      <c r="M88" s="88"/>
      <c r="N88" s="88"/>
      <c r="O88" s="43"/>
      <c r="P88" s="47" t="str">
        <f aca="false">"SOA with Vds just under " &amp;SOA_Checks!E5&amp;"V"</f>
        <v>SOA with Vds just under 20.2V</v>
      </c>
      <c r="Q88" s="47"/>
      <c r="R88" s="47"/>
      <c r="S88" s="47"/>
      <c r="T88" s="47"/>
      <c r="U88" s="44"/>
    </row>
    <row r="89" customFormat="false" ht="14.4" hidden="false" customHeight="false" outlineLevel="0" collapsed="false">
      <c r="C89" s="20" t="s">
        <v>78</v>
      </c>
      <c r="D89" s="21"/>
      <c r="E89" s="37" t="n">
        <v>24</v>
      </c>
      <c r="F89" s="86" t="n">
        <v>0.3</v>
      </c>
      <c r="G89" s="51" t="s">
        <v>35</v>
      </c>
      <c r="J89" s="88"/>
      <c r="K89" s="88"/>
      <c r="L89" s="88"/>
      <c r="M89" s="88"/>
      <c r="N89" s="88"/>
      <c r="O89" s="43"/>
      <c r="P89" s="43"/>
      <c r="Q89" s="43"/>
      <c r="R89" s="43"/>
      <c r="S89" s="43"/>
      <c r="T89" s="43"/>
      <c r="U89" s="44"/>
    </row>
    <row r="90" customFormat="false" ht="14.4" hidden="false" customHeight="false" outlineLevel="0" collapsed="false">
      <c r="C90" s="20" t="s">
        <v>79</v>
      </c>
      <c r="D90" s="21"/>
      <c r="E90" s="37" t="n">
        <v>75</v>
      </c>
      <c r="F90" s="86" t="n">
        <v>0.1</v>
      </c>
      <c r="G90" s="51" t="s">
        <v>35</v>
      </c>
      <c r="J90" s="89"/>
      <c r="K90" s="15"/>
      <c r="L90" s="15"/>
      <c r="M90" s="15"/>
      <c r="N90" s="15"/>
      <c r="O90" s="43"/>
      <c r="P90" s="15"/>
      <c r="Q90" s="15"/>
      <c r="R90" s="15"/>
      <c r="S90" s="15"/>
      <c r="T90" s="15"/>
      <c r="U90" s="44"/>
    </row>
    <row r="91" customFormat="false" ht="14.4" hidden="false" customHeight="false" outlineLevel="0" collapsed="false">
      <c r="C91" s="20" t="s">
        <v>80</v>
      </c>
      <c r="D91" s="21"/>
      <c r="E91" s="37" t="n">
        <v>15</v>
      </c>
      <c r="F91" s="86" t="n">
        <v>0.1</v>
      </c>
      <c r="G91" s="51" t="s">
        <v>35</v>
      </c>
      <c r="J91" s="42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4"/>
    </row>
    <row r="92" customFormat="false" ht="14.4" hidden="false" customHeight="false" outlineLevel="0" collapsed="false">
      <c r="C92" s="20" t="s">
        <v>87</v>
      </c>
      <c r="D92" s="21"/>
      <c r="E92" s="37" t="n">
        <v>16.2</v>
      </c>
      <c r="F92" s="86" t="n">
        <v>0.01</v>
      </c>
      <c r="G92" s="51" t="s">
        <v>73</v>
      </c>
      <c r="J92" s="42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4"/>
    </row>
    <row r="93" customFormat="false" ht="14.4" hidden="false" customHeight="false" outlineLevel="0" collapsed="false">
      <c r="C93" s="16" t="s">
        <v>88</v>
      </c>
      <c r="D93" s="90" t="s">
        <v>6</v>
      </c>
      <c r="E93" s="90" t="s">
        <v>7</v>
      </c>
      <c r="F93" s="90" t="s">
        <v>8</v>
      </c>
      <c r="G93" s="16"/>
      <c r="H93" s="91" t="s">
        <v>89</v>
      </c>
      <c r="J93" s="42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4"/>
    </row>
    <row r="94" customFormat="false" ht="14.4" hidden="false" customHeight="false" outlineLevel="0" collapsed="false">
      <c r="C94" s="20" t="s">
        <v>90</v>
      </c>
      <c r="D94" s="92" t="s">
        <v>91</v>
      </c>
      <c r="E94" s="92"/>
      <c r="F94" s="92"/>
      <c r="G94" s="20"/>
      <c r="J94" s="42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4"/>
    </row>
    <row r="95" customFormat="false" ht="14.4" hidden="false" customHeight="false" outlineLevel="0" collapsed="false">
      <c r="C95" s="20" t="s">
        <v>92</v>
      </c>
      <c r="D95" s="83" t="n">
        <f aca="false">IF(Component_Selection!$D$94="Worst Case", Error_Calculation!D6, Error_Calculation!D20)</f>
        <v>39.948705989326</v>
      </c>
      <c r="E95" s="83" t="n">
        <f aca="false">IF(Component_Selection!$D$94="Worst Case", Error_Calculation!E6, Error_Calculation!E20)</f>
        <v>41.6666666666667</v>
      </c>
      <c r="F95" s="83" t="n">
        <f aca="false">IF(Component_Selection!$D$94="Worst Case", Error_Calculation!F6, Error_Calculation!F20)</f>
        <v>43.3846273440074</v>
      </c>
      <c r="G95" s="93" t="s">
        <v>22</v>
      </c>
      <c r="H95" s="94" t="n">
        <f aca="false">MAX(F95-E95, E95-D95)/E95</f>
        <v>0.0412310562561766</v>
      </c>
      <c r="J95" s="42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4"/>
    </row>
    <row r="96" customFormat="false" ht="14.4" hidden="false" customHeight="false" outlineLevel="0" collapsed="false">
      <c r="C96" s="20" t="s">
        <v>93</v>
      </c>
      <c r="D96" s="83" t="n">
        <f aca="false">IF(Component_Selection!$D$94="Worst Case", Error_Calculation!D7, Error_Calculation!D21)</f>
        <v>3.33258350200744</v>
      </c>
      <c r="E96" s="83" t="n">
        <f aca="false">IF(Component_Selection!$D$94="Worst Case", Error_Calculation!E7, Error_Calculation!E21)</f>
        <v>5</v>
      </c>
      <c r="F96" s="83" t="n">
        <f aca="false">IF(Component_Selection!$D$94="Worst Case", Error_Calculation!F7, Error_Calculation!F21)</f>
        <v>6.66741649799256</v>
      </c>
      <c r="G96" s="93" t="s">
        <v>22</v>
      </c>
      <c r="H96" s="94" t="n">
        <f aca="false">MAX(F96-E96, E96-D96)/E96</f>
        <v>0.333483299598512</v>
      </c>
      <c r="J96" s="42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4"/>
    </row>
    <row r="97" customFormat="false" ht="14.4" hidden="false" customHeight="false" outlineLevel="0" collapsed="false">
      <c r="C97" s="20" t="s">
        <v>94</v>
      </c>
      <c r="D97" s="83" t="n">
        <f aca="false">IF(Component_Selection!$D$94="Worst Case", Error_Calculation!D8, Error_Calculation!D22)</f>
        <v>36.0359470333776</v>
      </c>
      <c r="E97" s="83" t="n">
        <f aca="false">IF(Component_Selection!$D$94="Worst Case", Error_Calculation!E8, Error_Calculation!E22)</f>
        <v>36.5871886120996</v>
      </c>
      <c r="F97" s="83" t="n">
        <f aca="false">IF(Component_Selection!$D$94="Worst Case", Error_Calculation!F8, Error_Calculation!F22)</f>
        <v>37.1384301908217</v>
      </c>
      <c r="G97" s="93" t="s">
        <v>13</v>
      </c>
      <c r="H97" s="94" t="n">
        <f aca="false">MAX(F97-E97, E97-D97)/E97</f>
        <v>0.0150665191733193</v>
      </c>
      <c r="J97" s="42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4"/>
    </row>
    <row r="98" customFormat="false" ht="14.4" hidden="false" customHeight="false" outlineLevel="0" collapsed="false">
      <c r="C98" s="20" t="s">
        <v>95</v>
      </c>
      <c r="D98" s="83" t="n">
        <f aca="false">IF(Component_Selection!$D$94="Worst Case", Error_Calculation!D9, Error_Calculation!D23)</f>
        <v>1.75999166681134</v>
      </c>
      <c r="E98" s="83" t="n">
        <f aca="false">IF(Component_Selection!$D$94="Worst Case", Error_Calculation!E9, Error_Calculation!E23)</f>
        <v>2</v>
      </c>
      <c r="F98" s="83" t="n">
        <f aca="false">IF(Component_Selection!$D$94="Worst Case", Error_Calculation!F9, Error_Calculation!F23)</f>
        <v>2.24000833318866</v>
      </c>
      <c r="G98" s="93" t="s">
        <v>13</v>
      </c>
      <c r="H98" s="94" t="n">
        <f aca="false">MAX(F98-E98, E98-D98)/E98</f>
        <v>0.120004166594331</v>
      </c>
      <c r="J98" s="42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4"/>
    </row>
    <row r="99" customFormat="false" ht="14.4" hidden="false" customHeight="false" outlineLevel="0" collapsed="false">
      <c r="C99" s="20" t="s">
        <v>96</v>
      </c>
      <c r="D99" s="83" t="n">
        <f aca="false">IF(Component_Selection!$D$94="Worst Case", Error_Calculation!D10, Error_Calculation!D24)</f>
        <v>33.7959387001889</v>
      </c>
      <c r="E99" s="83" t="n">
        <f aca="false">IF(Component_Selection!$D$94="Worst Case", Error_Calculation!E10, Error_Calculation!E24)</f>
        <v>34.5871886120996</v>
      </c>
      <c r="F99" s="83" t="n">
        <f aca="false">IF(Component_Selection!$D$94="Worst Case", Error_Calculation!F10, Error_Calculation!F24)</f>
        <v>35.3784385240104</v>
      </c>
      <c r="G99" s="93" t="s">
        <v>13</v>
      </c>
      <c r="H99" s="94" t="n">
        <f aca="false">MAX(F99-E99, E99-D99)/E99</f>
        <v>0.0228769652481644</v>
      </c>
      <c r="J99" s="42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4"/>
    </row>
    <row r="100" customFormat="false" ht="14.4" hidden="false" customHeight="false" outlineLevel="0" collapsed="false">
      <c r="C100" s="20" t="s">
        <v>97</v>
      </c>
      <c r="D100" s="83" t="n">
        <f aca="false">IF(Component_Selection!$D$94="Worst Case", Error_Calculation!D11, Error_Calculation!D25)</f>
        <v>63.0778382235264</v>
      </c>
      <c r="E100" s="83" t="n">
        <f aca="false">IF(Component_Selection!$D$94="Worst Case", Error_Calculation!E11, Error_Calculation!E25)</f>
        <v>64.3684210526316</v>
      </c>
      <c r="F100" s="83" t="n">
        <f aca="false">IF(Component_Selection!$D$94="Worst Case", Error_Calculation!F11, Error_Calculation!F25)</f>
        <v>65.6590038817368</v>
      </c>
      <c r="G100" s="93" t="s">
        <v>13</v>
      </c>
      <c r="H100" s="94" t="n">
        <f aca="false">MAX(F100-E100, E100-D100)/E100</f>
        <v>0.0200499376557635</v>
      </c>
      <c r="J100" s="42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4"/>
    </row>
    <row r="101" customFormat="false" ht="14.4" hidden="false" customHeight="false" outlineLevel="0" collapsed="false">
      <c r="C101" s="20" t="s">
        <v>98</v>
      </c>
      <c r="D101" s="83" t="n">
        <f aca="false">IF(Component_Selection!$D$94="Worst Case", Error_Calculation!D12, Error_Calculation!D26)</f>
        <v>2.64878745855106</v>
      </c>
      <c r="E101" s="83" t="n">
        <f aca="false">IF(Component_Selection!$D$94="Worst Case", Error_Calculation!E12, Error_Calculation!E26)</f>
        <v>3.01</v>
      </c>
      <c r="F101" s="83" t="n">
        <f aca="false">IF(Component_Selection!$D$94="Worst Case", Error_Calculation!F12, Error_Calculation!F26)</f>
        <v>3.37121254144894</v>
      </c>
      <c r="G101" s="93" t="s">
        <v>13</v>
      </c>
      <c r="H101" s="94" t="n">
        <f aca="false">MAX(F101-E101, E101-D101)/E101</f>
        <v>0.120004166594331</v>
      </c>
      <c r="J101" s="42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4"/>
    </row>
    <row r="102" customFormat="false" ht="14.4" hidden="false" customHeight="false" outlineLevel="0" collapsed="false">
      <c r="C102" s="20" t="s">
        <v>99</v>
      </c>
      <c r="D102" s="83" t="n">
        <f aca="false">IF(Component_Selection!$D$94="Worst Case", Error_Calculation!D13, Error_Calculation!D27)</f>
        <v>59.7066256820775</v>
      </c>
      <c r="E102" s="83" t="n">
        <f aca="false">IF(Component_Selection!$D$94="Worst Case", Error_Calculation!E13, Error_Calculation!E27)</f>
        <v>61.3584210526316</v>
      </c>
      <c r="F102" s="83" t="n">
        <f aca="false">IF(Component_Selection!$D$94="Worst Case", Error_Calculation!F13, Error_Calculation!F27)</f>
        <v>63.0102164231857</v>
      </c>
      <c r="G102" s="93" t="s">
        <v>13</v>
      </c>
      <c r="H102" s="94" t="n">
        <f aca="false">MAX(F102-E102, E102-D102)/E102</f>
        <v>0.0269204347539724</v>
      </c>
      <c r="J102" s="42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4"/>
    </row>
    <row r="103" customFormat="false" ht="14.4" hidden="false" customHeight="false" outlineLevel="0" collapsed="false">
      <c r="C103" s="20" t="s">
        <v>100</v>
      </c>
      <c r="D103" s="83" t="n">
        <f aca="false">IF(Component_Selection!$D$94="Worst Case", Error_Calculation!D14, Error_Calculation!D28)</f>
        <v>19.1121967089588</v>
      </c>
      <c r="E103" s="83" t="n">
        <f aca="false">IF(Component_Selection!$D$94="Worst Case", Error_Calculation!E14, Error_Calculation!E28)</f>
        <v>20.2</v>
      </c>
      <c r="F103" s="83" t="n">
        <f aca="false">IF(Component_Selection!$D$94="Worst Case", Error_Calculation!F14, Error_Calculation!F28)</f>
        <v>21.2878032910412</v>
      </c>
      <c r="G103" s="51" t="s">
        <v>13</v>
      </c>
      <c r="H103" s="94" t="n">
        <f aca="false">MAX(F103-E103, E103-D103)/E103</f>
        <v>0.0538516480713452</v>
      </c>
      <c r="I103" s="95"/>
      <c r="J103" s="42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4"/>
    </row>
    <row r="104" customFormat="false" ht="14.4" hidden="false" customHeight="false" outlineLevel="0" collapsed="false">
      <c r="C104" s="20" t="s">
        <v>101</v>
      </c>
      <c r="D104" s="83" t="n">
        <f aca="false">IF(Component_Selection!$D$94="Worst Case", Error_Calculation!D15, Error_Calculation!D29)</f>
        <v>0.3656925097228</v>
      </c>
      <c r="E104" s="83" t="n">
        <f aca="false">IF(Component_Selection!$D$94="Worst Case", Error_Calculation!E15, Error_Calculation!E29)</f>
        <v>0.6</v>
      </c>
      <c r="F104" s="83" t="n">
        <f aca="false">IF(Component_Selection!$D$94="Worst Case", Error_Calculation!F15, Error_Calculation!F29)</f>
        <v>0.8343074902772</v>
      </c>
      <c r="G104" s="93" t="s">
        <v>22</v>
      </c>
      <c r="H104" s="94" t="n">
        <f aca="false">MAX(F104-E104, E104-D104)/E104</f>
        <v>0.390512483795333</v>
      </c>
      <c r="I104" s="95"/>
      <c r="J104" s="42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4"/>
    </row>
    <row r="105" customFormat="false" ht="14.4" hidden="false" customHeight="false" outlineLevel="0" collapsed="false">
      <c r="C105" s="20" t="s">
        <v>102</v>
      </c>
      <c r="D105" s="83" t="n">
        <f aca="false">IF(Component_Selection!$D$94="Worst Case", Error_Calculation!D16, Error_Calculation!D30)</f>
        <v>1.92863572071557</v>
      </c>
      <c r="E105" s="83" t="n">
        <f aca="false">IF(Component_Selection!$D$94="Worst Case", Error_Calculation!E16, Error_Calculation!E30)</f>
        <v>2.25</v>
      </c>
      <c r="F105" s="83" t="n">
        <f aca="false">IF(Component_Selection!$D$94="Worst Case", Error_Calculation!F16, Error_Calculation!F30)</f>
        <v>2.57136427928443</v>
      </c>
      <c r="G105" s="51" t="s">
        <v>54</v>
      </c>
      <c r="H105" s="94" t="n">
        <f aca="false">MAX(F105-E105, E105-D105)/E105</f>
        <v>0.142828568570857</v>
      </c>
      <c r="I105" s="95"/>
      <c r="J105" s="42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4"/>
    </row>
    <row r="106" customFormat="false" ht="14.4" hidden="false" customHeight="false" outlineLevel="0" collapsed="false">
      <c r="C106" s="20" t="s">
        <v>103</v>
      </c>
      <c r="D106" s="83" t="n">
        <f aca="false">IF(Component_Selection!$D$94="Worst Case", Error_Calculation!D17, Error_Calculation!D31)</f>
        <v>0.964317860357786</v>
      </c>
      <c r="E106" s="83" t="n">
        <f aca="false">IF(Component_Selection!$D$94="Worst Case", Error_Calculation!E17, Error_Calculation!E31)</f>
        <v>1.125</v>
      </c>
      <c r="F106" s="83" t="n">
        <f aca="false">IF(Component_Selection!$D$94="Worst Case", Error_Calculation!F17, Error_Calculation!F31)</f>
        <v>1.28568213964221</v>
      </c>
      <c r="G106" s="51" t="s">
        <v>54</v>
      </c>
      <c r="H106" s="94" t="n">
        <f aca="false">MAX(F106-E106, E106-D106)/E106</f>
        <v>0.142828568570857</v>
      </c>
      <c r="I106" s="95"/>
      <c r="J106" s="42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4"/>
    </row>
    <row r="107" customFormat="false" ht="14.4" hidden="false" customHeight="false" outlineLevel="0" collapsed="false">
      <c r="C107" s="20" t="s">
        <v>104</v>
      </c>
      <c r="D107" s="83" t="n">
        <f aca="false">IF(Component_Selection!$D$94="Worst Case", Error_Calculation!D18, Error_Calculation!D32)</f>
        <v>0.192863572071557</v>
      </c>
      <c r="E107" s="83" t="n">
        <f aca="false">IF(Component_Selection!$D$94="Worst Case", Error_Calculation!E18, Error_Calculation!E32)</f>
        <v>0.225</v>
      </c>
      <c r="F107" s="83" t="n">
        <f aca="false">IF(Component_Selection!$D$94="Worst Case", Error_Calculation!F18, Error_Calculation!F32)</f>
        <v>0.257136427928443</v>
      </c>
      <c r="G107" s="51" t="s">
        <v>54</v>
      </c>
      <c r="H107" s="94" t="n">
        <f aca="false">MAX(F107-E107, E107-D107)/E107</f>
        <v>0.142828568570857</v>
      </c>
      <c r="I107" s="95"/>
      <c r="J107" s="89"/>
      <c r="K107" s="96"/>
      <c r="L107" s="15"/>
      <c r="M107" s="15"/>
      <c r="N107" s="15"/>
      <c r="O107" s="15"/>
      <c r="P107" s="15"/>
      <c r="Q107" s="15"/>
      <c r="R107" s="15"/>
      <c r="S107" s="15"/>
      <c r="T107" s="15"/>
      <c r="U107" s="97"/>
    </row>
    <row r="108" customFormat="false" ht="15" hidden="false" customHeight="false" outlineLevel="0" collapsed="false">
      <c r="C108" s="20" t="s">
        <v>105</v>
      </c>
      <c r="D108" s="20"/>
      <c r="E108" s="85" t="n">
        <f aca="false">E15*(E15-Error_Calculation!$N$26)/$E$92</f>
        <v>99.2592592592593</v>
      </c>
      <c r="F108" s="85" t="n">
        <f aca="false">F15*(F15-Error_Calculation!$N$26)/$E$92</f>
        <v>143.456790123457</v>
      </c>
      <c r="G108" s="93" t="s">
        <v>106</v>
      </c>
      <c r="I108" s="95"/>
      <c r="J108" s="98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100"/>
    </row>
  </sheetData>
  <sheetProtection sheet="true" password="8433" objects="true" scenarios="true" selectLockedCells="true"/>
  <mergeCells count="13">
    <mergeCell ref="B1:U1"/>
    <mergeCell ref="M2:N2"/>
    <mergeCell ref="D10:H11"/>
    <mergeCell ref="D27:F27"/>
    <mergeCell ref="M31:Q32"/>
    <mergeCell ref="D32:F32"/>
    <mergeCell ref="J33:N33"/>
    <mergeCell ref="Q33:U33"/>
    <mergeCell ref="D54:F54"/>
    <mergeCell ref="M67:R67"/>
    <mergeCell ref="J88:N89"/>
    <mergeCell ref="P88:T88"/>
    <mergeCell ref="D94:F94"/>
  </mergeCells>
  <conditionalFormatting sqref="E67:E71">
    <cfRule type="expression" priority="2" aboveAverage="0" equalAverage="0" bottom="0" percent="0" rank="0" text="" dxfId="0">
      <formula>IF(AND($E$52&lt;$F$43, $F$41="Yes"), "TRUE", "FALSE")</formula>
    </cfRule>
  </conditionalFormatting>
  <conditionalFormatting sqref="E50">
    <cfRule type="expression" priority="3" aboveAverage="0" equalAverage="0" bottom="0" percent="0" rank="0" text="" dxfId="1">
      <formula>IF(AND($E$50&lt;$F$44, $F$41="YES"), "TRUE", "FALSE")</formula>
    </cfRule>
  </conditionalFormatting>
  <conditionalFormatting sqref="E52">
    <cfRule type="expression" priority="4" aboveAverage="0" equalAverage="0" bottom="0" percent="0" rank="0" text="" dxfId="2">
      <formula>IF(AND($E$52&lt;$F$43, $F$41="Yes"), "TRUE", "FALSE")</formula>
    </cfRule>
  </conditionalFormatting>
  <dataValidations count="4">
    <dataValidation allowBlank="true" operator="between" showDropDown="false" showErrorMessage="true" showInputMessage="true" sqref="D54" type="list">
      <formula1>$A$49:$A$50</formula1>
      <formula2>0</formula2>
    </dataValidation>
    <dataValidation allowBlank="true" operator="between" showDropDown="false" showErrorMessage="true" showInputMessage="true" sqref="F41" type="list">
      <formula1>$A$38:$A$39</formula1>
      <formula2>0</formula2>
    </dataValidation>
    <dataValidation allowBlank="true" operator="between" showDropDown="false" showErrorMessage="true" showInputMessage="true" sqref="D94" type="list">
      <formula1>Error_Calculation!$D$2:$D$3</formula1>
      <formula2>0</formula2>
    </dataValidation>
    <dataValidation allowBlank="true" operator="between" showDropDown="false" showErrorMessage="true" showInputMessage="true" sqref="E19" type="list">
      <formula1>Error_Calculation!$N$20:$N$21</formula1>
      <formula2>0</formula2>
    </dataValidation>
  </dataValidations>
  <hyperlinks>
    <hyperlink ref="C2" r:id="rId2" display="www.ti.com/hotswa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P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13" activeCellId="0" sqref="C13"/>
    </sheetView>
  </sheetViews>
  <sheetFormatPr defaultRowHeight="14.4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26.33"/>
    <col collapsed="false" customWidth="true" hidden="false" outlineLevel="0" max="3" min="3" style="0" width="10"/>
    <col collapsed="false" customWidth="true" hidden="false" outlineLevel="0" max="4" min="4" style="48" width="15.79"/>
    <col collapsed="false" customWidth="true" hidden="false" outlineLevel="0" max="1025" min="5" style="0" width="8.67"/>
  </cols>
  <sheetData>
    <row r="2" customFormat="false" ht="14.4" hidden="false" customHeight="false" outlineLevel="0" collapsed="false">
      <c r="B2" s="101" t="s">
        <v>107</v>
      </c>
      <c r="C2" s="101"/>
      <c r="D2" s="101"/>
      <c r="H2" s="102" t="s">
        <v>108</v>
      </c>
      <c r="I2" s="102"/>
      <c r="J2" s="102"/>
      <c r="K2" s="102"/>
    </row>
    <row r="3" customFormat="false" ht="14.4" hidden="false" customHeight="false" outlineLevel="0" collapsed="false">
      <c r="B3" s="20" t="s">
        <v>109</v>
      </c>
      <c r="C3" s="23" t="n">
        <v>54</v>
      </c>
      <c r="D3" s="103" t="s">
        <v>13</v>
      </c>
    </row>
    <row r="4" customFormat="false" ht="14.4" hidden="false" customHeight="false" outlineLevel="0" collapsed="false">
      <c r="B4" s="20" t="s">
        <v>110</v>
      </c>
      <c r="C4" s="23" t="n">
        <v>10</v>
      </c>
      <c r="D4" s="103" t="s">
        <v>13</v>
      </c>
    </row>
    <row r="5" customFormat="false" ht="14.4" hidden="false" customHeight="false" outlineLevel="0" collapsed="false">
      <c r="B5" s="104" t="s">
        <v>111</v>
      </c>
      <c r="C5" s="22" t="n">
        <v>1</v>
      </c>
      <c r="D5" s="103" t="s">
        <v>54</v>
      </c>
    </row>
    <row r="6" customFormat="false" ht="14.4" hidden="false" customHeight="false" outlineLevel="0" collapsed="false">
      <c r="B6" s="20" t="s">
        <v>112</v>
      </c>
      <c r="C6" s="23" t="n">
        <v>54</v>
      </c>
      <c r="D6" s="103" t="s">
        <v>13</v>
      </c>
    </row>
    <row r="7" customFormat="false" ht="14.4" hidden="false" customHeight="false" outlineLevel="0" collapsed="false">
      <c r="B7" s="101" t="s">
        <v>113</v>
      </c>
      <c r="C7" s="101"/>
      <c r="D7" s="101"/>
    </row>
    <row r="8" customFormat="false" ht="14.4" hidden="false" customHeight="false" outlineLevel="0" collapsed="false">
      <c r="B8" s="105" t="s">
        <v>114</v>
      </c>
      <c r="C8" s="23" t="n">
        <v>1</v>
      </c>
      <c r="D8" s="48" t="s">
        <v>13</v>
      </c>
      <c r="I8" s="106"/>
    </row>
    <row r="9" customFormat="false" ht="14.4" hidden="false" customHeight="false" outlineLevel="0" collapsed="false">
      <c r="B9" s="20" t="s">
        <v>115</v>
      </c>
      <c r="C9" s="23" t="n">
        <v>0</v>
      </c>
      <c r="D9" s="103" t="s">
        <v>116</v>
      </c>
      <c r="I9" s="106"/>
    </row>
    <row r="10" customFormat="false" ht="14.4" hidden="false" customHeight="false" outlineLevel="0" collapsed="false">
      <c r="B10" s="20" t="s">
        <v>117</v>
      </c>
      <c r="C10" s="23" t="n">
        <f aca="false">Component_Selection!E16/1000</f>
        <v>0.66</v>
      </c>
      <c r="D10" s="103" t="s">
        <v>116</v>
      </c>
    </row>
    <row r="11" customFormat="false" ht="14.4" hidden="false" customHeight="false" outlineLevel="0" collapsed="false">
      <c r="B11" s="20" t="s">
        <v>118</v>
      </c>
      <c r="C11" s="23" t="n">
        <f aca="false">Component_Selection!E14</f>
        <v>1200</v>
      </c>
      <c r="D11" s="103" t="s">
        <v>11</v>
      </c>
    </row>
    <row r="12" customFormat="false" ht="14.4" hidden="false" customHeight="false" outlineLevel="0" collapsed="false">
      <c r="B12" s="20" t="s">
        <v>119</v>
      </c>
      <c r="C12" s="107" t="n">
        <v>0.01</v>
      </c>
      <c r="D12" s="103"/>
    </row>
    <row r="13" customFormat="false" ht="14.4" hidden="false" customHeight="false" outlineLevel="0" collapsed="false">
      <c r="B13" s="105" t="s">
        <v>120</v>
      </c>
      <c r="C13" s="108" t="n">
        <v>0.2</v>
      </c>
      <c r="D13" s="48" t="s">
        <v>54</v>
      </c>
    </row>
    <row r="14" customFormat="false" ht="14.4" hidden="false" customHeight="false" outlineLevel="0" collapsed="false">
      <c r="B14" s="20" t="s">
        <v>121</v>
      </c>
      <c r="C14" s="93" t="n">
        <f aca="false">SUM(C9:C10)</f>
        <v>0.66</v>
      </c>
      <c r="D14" s="103" t="s">
        <v>122</v>
      </c>
    </row>
    <row r="15" customFormat="false" ht="14.4" hidden="false" customHeight="false" outlineLevel="0" collapsed="false">
      <c r="B15" s="20" t="s">
        <v>123</v>
      </c>
      <c r="C15" s="77" t="n">
        <f aca="false">Component_Selection!E24</f>
        <v>41.6666666666667</v>
      </c>
      <c r="D15" s="93" t="s">
        <v>22</v>
      </c>
    </row>
    <row r="16" customFormat="false" ht="14.4" hidden="false" customHeight="false" outlineLevel="0" collapsed="false">
      <c r="A16" s="0" t="s">
        <v>124</v>
      </c>
      <c r="B16" s="101" t="s">
        <v>125</v>
      </c>
      <c r="C16" s="109"/>
      <c r="D16" s="110"/>
    </row>
    <row r="17" customFormat="false" ht="14.4" hidden="false" customHeight="false" outlineLevel="0" collapsed="false">
      <c r="B17" s="20" t="s">
        <v>126</v>
      </c>
      <c r="C17" s="77" t="e">
        <f aca="false">ATIS_Calculations!E17</f>
        <v>#VALUE!</v>
      </c>
      <c r="D17" s="103" t="s">
        <v>13</v>
      </c>
    </row>
    <row r="18" customFormat="false" ht="14.4" hidden="false" customHeight="false" outlineLevel="0" collapsed="false">
      <c r="B18" s="20" t="s">
        <v>127</v>
      </c>
      <c r="C18" s="77" t="e">
        <f aca="false">C6-C17</f>
        <v>#VALUE!</v>
      </c>
      <c r="D18" s="93" t="s">
        <v>13</v>
      </c>
      <c r="O18" s="95"/>
      <c r="P18" s="106"/>
    </row>
    <row r="19" customFormat="false" ht="14.4" hidden="false" customHeight="false" outlineLevel="0" collapsed="false">
      <c r="B19" s="20" t="s">
        <v>128</v>
      </c>
      <c r="C19" s="77" t="e">
        <f aca="false">ATIS_Calculations!D5</f>
        <v>#VALUE!</v>
      </c>
      <c r="D19" s="93" t="s">
        <v>54</v>
      </c>
    </row>
    <row r="20" customFormat="false" ht="14.4" hidden="false" customHeight="false" outlineLevel="0" collapsed="false">
      <c r="B20" s="20" t="s">
        <v>129</v>
      </c>
      <c r="C20" s="77" t="e">
        <f aca="false">ATIS_Calculations!D7</f>
        <v>#VALUE!</v>
      </c>
      <c r="D20" s="93" t="s">
        <v>54</v>
      </c>
      <c r="G20" s="111"/>
    </row>
    <row r="21" customFormat="false" ht="14.4" hidden="false" customHeight="false" outlineLevel="0" collapsed="false">
      <c r="B21" s="101" t="s">
        <v>130</v>
      </c>
      <c r="C21" s="109"/>
      <c r="D21" s="110"/>
    </row>
    <row r="22" customFormat="false" ht="14.4" hidden="false" customHeight="false" outlineLevel="0" collapsed="false">
      <c r="B22" s="20" t="s">
        <v>131</v>
      </c>
      <c r="C22" s="77" t="e">
        <f aca="false">C20*2*1.2</f>
        <v>#VALUE!</v>
      </c>
      <c r="D22" s="93" t="s">
        <v>54</v>
      </c>
    </row>
    <row r="23" customFormat="false" ht="28.8" hidden="false" customHeight="false" outlineLevel="0" collapsed="false">
      <c r="B23" s="104" t="s">
        <v>132</v>
      </c>
      <c r="C23" s="77" t="e">
        <f aca="false">C18*1.05</f>
        <v>#VALUE!</v>
      </c>
      <c r="D23" s="93" t="s">
        <v>13</v>
      </c>
    </row>
  </sheetData>
  <sheetProtection sheet="true" password="8433" objects="true" scenarios="true" selectLockedCells="true"/>
  <mergeCells count="3">
    <mergeCell ref="B2:D2"/>
    <mergeCell ref="H2:K2"/>
    <mergeCell ref="B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Z89"/>
  <sheetViews>
    <sheetView showFormulas="false" showGridLines="true" showRowColHeaders="true" showZeros="true" rightToLeft="false" tabSelected="false" showOutlineSymbols="true" defaultGridColor="true" view="normal" topLeftCell="A61" colorId="64" zoomScale="90" zoomScaleNormal="90" zoomScalePageLayoutView="100" workbookViewId="0">
      <selection pane="topLeft" activeCell="E76" activeCellId="0" sqref="E76"/>
    </sheetView>
  </sheetViews>
  <sheetFormatPr defaultRowHeight="14.4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14.22"/>
    <col collapsed="false" customWidth="true" hidden="false" outlineLevel="0" max="4" min="4" style="0" width="41.67"/>
    <col collapsed="false" customWidth="true" hidden="false" outlineLevel="0" max="5" min="5" style="0" width="18.56"/>
    <col collapsed="false" customWidth="true" hidden="false" outlineLevel="0" max="7" min="6" style="0" width="8.67"/>
    <col collapsed="false" customWidth="true" hidden="false" outlineLevel="0" max="8" min="8" style="0" width="15.56"/>
    <col collapsed="false" customWidth="true" hidden="false" outlineLevel="0" max="9" min="9" style="0" width="16.22"/>
    <col collapsed="false" customWidth="true" hidden="false" outlineLevel="0" max="10" min="10" style="0" width="11.11"/>
    <col collapsed="false" customWidth="true" hidden="false" outlineLevel="0" max="14" min="11" style="0" width="8.67"/>
    <col collapsed="false" customWidth="true" hidden="false" outlineLevel="0" max="15" min="15" style="0" width="11.33"/>
    <col collapsed="false" customWidth="true" hidden="false" outlineLevel="0" max="1025" min="16" style="0" width="8.67"/>
  </cols>
  <sheetData>
    <row r="1" customFormat="false" ht="14.4" hidden="false" customHeight="false" outlineLevel="0" collapsed="false">
      <c r="O1" s="112" t="s">
        <v>133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customFormat="false" ht="14.4" hidden="false" customHeight="false" outlineLevel="0" collapsed="false">
      <c r="D2" s="0" t="s">
        <v>134</v>
      </c>
      <c r="E2" s="0" t="str">
        <f aca="false">Component_Selection!D54</f>
        <v>Programmed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4" customFormat="false" ht="14.4" hidden="false" customHeight="false" outlineLevel="0" collapsed="false">
      <c r="D4" s="16"/>
      <c r="E4" s="16" t="s">
        <v>135</v>
      </c>
      <c r="F4" s="16"/>
      <c r="G4" s="16"/>
      <c r="H4" s="16" t="s">
        <v>56</v>
      </c>
      <c r="I4" s="16" t="s">
        <v>61</v>
      </c>
      <c r="O4" s="0" t="s">
        <v>136</v>
      </c>
      <c r="P4" s="0" t="n">
        <f aca="false">Component_Selection!E25</f>
        <v>5</v>
      </c>
      <c r="Q4" s="0" t="s">
        <v>22</v>
      </c>
      <c r="T4" s="0" t="s">
        <v>137</v>
      </c>
    </row>
    <row r="5" customFormat="false" ht="14.4" hidden="false" customHeight="false" outlineLevel="0" collapsed="false">
      <c r="D5" s="20" t="s">
        <v>138</v>
      </c>
      <c r="E5" s="83" t="n">
        <f aca="false">IF($E$2="Programmed", I5, H5)</f>
        <v>20.2</v>
      </c>
      <c r="F5" s="20" t="s">
        <v>13</v>
      </c>
      <c r="G5" s="20"/>
      <c r="H5" s="20" t="n">
        <f aca="false">Component_Selection!E50</f>
        <v>30</v>
      </c>
      <c r="I5" s="83" t="n">
        <f aca="false">Component_Selection!E103</f>
        <v>20.2</v>
      </c>
      <c r="O5" s="0" t="s">
        <v>139</v>
      </c>
      <c r="P5" s="0" t="n">
        <f aca="false">Component_Selection!F30</f>
        <v>8</v>
      </c>
      <c r="Q5" s="0" t="s">
        <v>35</v>
      </c>
      <c r="T5" s="0" t="s">
        <v>140</v>
      </c>
    </row>
    <row r="6" customFormat="false" ht="14.4" hidden="false" customHeight="false" outlineLevel="0" collapsed="false">
      <c r="D6" s="20" t="s">
        <v>141</v>
      </c>
      <c r="E6" s="83" t="n">
        <f aca="false">IF($E$2="Programmed", I6, H6)</f>
        <v>0.6</v>
      </c>
      <c r="F6" s="20" t="s">
        <v>22</v>
      </c>
      <c r="G6" s="20"/>
      <c r="H6" s="20" t="n">
        <f aca="false">Component_Selection!E51</f>
        <v>0.6</v>
      </c>
      <c r="I6" s="83" t="n">
        <f aca="false">Component_Selection!E104</f>
        <v>0.6</v>
      </c>
      <c r="O6" s="0" t="s">
        <v>142</v>
      </c>
      <c r="P6" s="0" t="n">
        <f aca="false">Component_Selection!E79</f>
        <v>72</v>
      </c>
      <c r="Q6" s="0" t="s">
        <v>35</v>
      </c>
      <c r="T6" s="0" t="s">
        <v>143</v>
      </c>
    </row>
    <row r="7" customFormat="false" ht="14.4" hidden="false" customHeight="false" outlineLevel="0" collapsed="false">
      <c r="D7" s="20" t="s">
        <v>78</v>
      </c>
      <c r="E7" s="83" t="n">
        <f aca="false">IF($E$2="Programmed", I7, H7)</f>
        <v>24</v>
      </c>
      <c r="F7" s="20" t="s">
        <v>35</v>
      </c>
      <c r="G7" s="20"/>
      <c r="H7" s="20" t="n">
        <f aca="false">Component_Selection!E78</f>
        <v>24</v>
      </c>
      <c r="I7" s="20" t="n">
        <f aca="false">Component_Selection!E89</f>
        <v>24</v>
      </c>
      <c r="O7" s="0" t="s">
        <v>144</v>
      </c>
      <c r="P7" s="0" t="n">
        <f aca="false">Component_Selection!E90</f>
        <v>75</v>
      </c>
      <c r="Q7" s="0" t="s">
        <v>35</v>
      </c>
    </row>
    <row r="8" customFormat="false" ht="14.4" hidden="false" customHeight="false" outlineLevel="0" collapsed="false">
      <c r="D8" s="20" t="s">
        <v>79</v>
      </c>
      <c r="E8" s="83" t="n">
        <f aca="false">IF($E$2="Programmed", I8, H8)</f>
        <v>75</v>
      </c>
      <c r="F8" s="20" t="s">
        <v>35</v>
      </c>
      <c r="G8" s="20"/>
      <c r="H8" s="20" t="n">
        <f aca="false">Component_Selection!E79</f>
        <v>72</v>
      </c>
      <c r="I8" s="20" t="n">
        <f aca="false">Component_Selection!E90</f>
        <v>75</v>
      </c>
      <c r="O8" s="0" t="s">
        <v>145</v>
      </c>
      <c r="P8" s="0" t="n">
        <f aca="false">Component_Selection!E78</f>
        <v>24</v>
      </c>
      <c r="Q8" s="0" t="s">
        <v>35</v>
      </c>
      <c r="T8" s="0" t="s">
        <v>146</v>
      </c>
    </row>
    <row r="9" customFormat="false" ht="14.4" hidden="false" customHeight="false" outlineLevel="0" collapsed="false">
      <c r="D9" s="20" t="s">
        <v>147</v>
      </c>
      <c r="E9" s="83" t="n">
        <f aca="false">IF($E$2="Programmed", I9, H9)</f>
        <v>2.25</v>
      </c>
      <c r="F9" s="20" t="s">
        <v>54</v>
      </c>
      <c r="G9" s="20"/>
      <c r="H9" s="20" t="n">
        <f aca="false">Component_Selection!E52</f>
        <v>2</v>
      </c>
      <c r="I9" s="83" t="n">
        <f aca="false">Component_Selection!E105</f>
        <v>2.25</v>
      </c>
      <c r="O9" s="0" t="s">
        <v>148</v>
      </c>
      <c r="P9" s="0" t="n">
        <f aca="false">Component_Selection!E89</f>
        <v>24</v>
      </c>
      <c r="Q9" s="0" t="s">
        <v>35</v>
      </c>
      <c r="T9" s="0" t="s">
        <v>149</v>
      </c>
    </row>
    <row r="10" customFormat="false" ht="14.4" hidden="false" customHeight="false" outlineLevel="0" collapsed="false">
      <c r="D10" s="20" t="s">
        <v>150</v>
      </c>
      <c r="E10" s="83" t="n">
        <f aca="false">Component_Selection!E24</f>
        <v>41.6666666666667</v>
      </c>
      <c r="F10" s="20" t="s">
        <v>22</v>
      </c>
      <c r="G10" s="20"/>
      <c r="H10" s="20"/>
      <c r="I10" s="83"/>
      <c r="O10" s="113" t="s">
        <v>22</v>
      </c>
      <c r="P10" s="113" t="n">
        <v>20</v>
      </c>
      <c r="Q10" s="113" t="s">
        <v>151</v>
      </c>
    </row>
    <row r="11" customFormat="false" ht="14.4" hidden="false" customHeight="false" outlineLevel="0" collapsed="false">
      <c r="D11" s="20" t="s">
        <v>152</v>
      </c>
      <c r="E11" s="83" t="n">
        <f aca="false">Component_Selection!E25</f>
        <v>5</v>
      </c>
      <c r="F11" s="20" t="s">
        <v>22</v>
      </c>
      <c r="G11" s="20"/>
      <c r="H11" s="20"/>
      <c r="I11" s="83"/>
    </row>
    <row r="12" customFormat="false" ht="14.4" hidden="false" customHeight="false" outlineLevel="0" collapsed="false">
      <c r="D12" s="20" t="s">
        <v>153</v>
      </c>
      <c r="E12" s="83" t="n">
        <f aca="false">E9/2</f>
        <v>1.125</v>
      </c>
      <c r="F12" s="20" t="s">
        <v>54</v>
      </c>
      <c r="G12" s="20"/>
      <c r="H12" s="20"/>
      <c r="I12" s="83"/>
      <c r="O12" s="0" t="s">
        <v>154</v>
      </c>
      <c r="P12" s="0" t="str">
        <f aca="false">Component_Selection!D54</f>
        <v>Programmed</v>
      </c>
    </row>
    <row r="13" customFormat="false" ht="14.4" hidden="false" customHeight="false" outlineLevel="0" collapsed="false">
      <c r="D13" s="20" t="s">
        <v>155</v>
      </c>
      <c r="E13" s="83" t="n">
        <f aca="false">E12/5</f>
        <v>0.225</v>
      </c>
      <c r="F13" s="20" t="s">
        <v>54</v>
      </c>
      <c r="G13" s="20"/>
      <c r="H13" s="20"/>
      <c r="I13" s="20"/>
      <c r="O13" s="0" t="s">
        <v>156</v>
      </c>
      <c r="P13" s="95" t="n">
        <f aca="false">E7</f>
        <v>24</v>
      </c>
      <c r="Q13" s="0" t="s">
        <v>35</v>
      </c>
    </row>
    <row r="14" customFormat="false" ht="14.4" hidden="false" customHeight="false" outlineLevel="0" collapsed="false">
      <c r="O14" s="0" t="s">
        <v>157</v>
      </c>
      <c r="P14" s="95" t="n">
        <f aca="false">E8</f>
        <v>75</v>
      </c>
      <c r="Q14" s="0" t="s">
        <v>35</v>
      </c>
    </row>
    <row r="15" customFormat="false" ht="14.4" hidden="false" customHeight="false" outlineLevel="0" collapsed="false">
      <c r="O15" s="0" t="s">
        <v>158</v>
      </c>
      <c r="P15" s="0" t="n">
        <f aca="false">Error_Calculation!N22</f>
        <v>20</v>
      </c>
      <c r="Q15" s="0" t="s">
        <v>159</v>
      </c>
    </row>
    <row r="16" customFormat="false" ht="14.4" hidden="false" customHeight="false" outlineLevel="0" collapsed="false">
      <c r="D16" s="114" t="s">
        <v>160</v>
      </c>
      <c r="E16" s="114"/>
      <c r="F16" s="20"/>
      <c r="O16" s="0" t="s">
        <v>161</v>
      </c>
      <c r="P16" s="0" t="n">
        <f aca="false">Error_Calculation!O29</f>
        <v>1</v>
      </c>
      <c r="Q16" s="0" t="s">
        <v>162</v>
      </c>
    </row>
    <row r="17" customFormat="false" ht="14.4" hidden="false" customHeight="false" outlineLevel="0" collapsed="false">
      <c r="D17" s="20" t="s">
        <v>163</v>
      </c>
      <c r="E17" s="20" t="n">
        <f aca="false">Component_Selection!F15</f>
        <v>56</v>
      </c>
      <c r="F17" s="20" t="s">
        <v>13</v>
      </c>
    </row>
    <row r="18" customFormat="false" ht="14.4" hidden="false" customHeight="false" outlineLevel="0" collapsed="false">
      <c r="O18" s="93" t="s">
        <v>164</v>
      </c>
      <c r="P18" s="93"/>
      <c r="Q18" s="93"/>
    </row>
    <row r="19" customFormat="false" ht="14.4" hidden="false" customHeight="false" outlineLevel="0" collapsed="false">
      <c r="D19" s="20" t="s">
        <v>165</v>
      </c>
      <c r="E19" s="20" t="n">
        <f aca="false">E21/10</f>
        <v>0.225</v>
      </c>
      <c r="F19" s="20" t="s">
        <v>54</v>
      </c>
      <c r="O19" s="20" t="s">
        <v>166</v>
      </c>
      <c r="P19" s="20" t="n">
        <f aca="false">P15/(P13+P14)</f>
        <v>0.202020202020202</v>
      </c>
      <c r="Q19" s="20" t="s">
        <v>167</v>
      </c>
    </row>
    <row r="20" customFormat="false" ht="14.4" hidden="false" customHeight="false" outlineLevel="0" collapsed="false">
      <c r="D20" s="20" t="s">
        <v>168</v>
      </c>
      <c r="E20" s="20" t="n">
        <f aca="false">E21/2</f>
        <v>1.125</v>
      </c>
      <c r="F20" s="20" t="s">
        <v>54</v>
      </c>
      <c r="O20" s="115" t="s">
        <v>169</v>
      </c>
      <c r="P20" s="115" t="n">
        <f aca="false">1/3/P19*SQRT(P4/P10)</f>
        <v>0.825</v>
      </c>
      <c r="Q20" s="115" t="s">
        <v>54</v>
      </c>
    </row>
    <row r="21" customFormat="false" ht="14.4" hidden="false" customHeight="false" outlineLevel="0" collapsed="false">
      <c r="D21" s="20" t="s">
        <v>170</v>
      </c>
      <c r="E21" s="20" t="n">
        <f aca="false">IF(Component_Selection!D54="Target", Component_Selection!E52, Component_Selection!E105)</f>
        <v>2.25</v>
      </c>
      <c r="F21" s="20" t="s">
        <v>54</v>
      </c>
      <c r="H21" s="101" t="s">
        <v>171</v>
      </c>
      <c r="I21" s="101" t="s">
        <v>172</v>
      </c>
    </row>
    <row r="22" customFormat="false" ht="14.4" hidden="false" customHeight="false" outlineLevel="0" collapsed="false">
      <c r="D22" s="20" t="s">
        <v>173</v>
      </c>
      <c r="E22" s="83" t="n">
        <f aca="false">IF(I22="TBD", H22, I22)</f>
        <v>1.05</v>
      </c>
      <c r="F22" s="20" t="s">
        <v>54</v>
      </c>
      <c r="H22" s="83" t="n">
        <f aca="false">SOA_Checks!P20+E19</f>
        <v>1.05</v>
      </c>
      <c r="I22" s="20" t="str">
        <f aca="false">Component_Selection!E57</f>
        <v>TBD</v>
      </c>
    </row>
    <row r="23" customFormat="false" ht="14.4" hidden="false" customHeight="false" outlineLevel="0" collapsed="false">
      <c r="D23" s="20" t="s">
        <v>174</v>
      </c>
      <c r="E23" s="83" t="n">
        <f aca="false">IF(I23="TBD", H23, I23)</f>
        <v>4.05</v>
      </c>
      <c r="F23" s="20" t="s">
        <v>54</v>
      </c>
      <c r="H23" s="83" t="n">
        <f aca="false">SOA_Checks!P26+E19</f>
        <v>4.05</v>
      </c>
      <c r="I23" s="20" t="str">
        <f aca="false">Component_Selection!E58</f>
        <v>TBD</v>
      </c>
    </row>
    <row r="24" customFormat="false" ht="14.4" hidden="false" customHeight="false" outlineLevel="0" collapsed="false">
      <c r="E24" s="95"/>
      <c r="O24" s="74" t="s">
        <v>175</v>
      </c>
      <c r="P24" s="74"/>
      <c r="Q24" s="74"/>
      <c r="R24" s="0" t="s">
        <v>176</v>
      </c>
    </row>
    <row r="25" customFormat="false" ht="14.4" hidden="false" customHeight="false" outlineLevel="0" collapsed="false">
      <c r="O25" s="20" t="s">
        <v>177</v>
      </c>
      <c r="P25" s="83" t="n">
        <f aca="false">P4*P16*P13/P15/2</f>
        <v>3</v>
      </c>
      <c r="Q25" s="20" t="s">
        <v>54</v>
      </c>
      <c r="R25" s="0" t="s">
        <v>178</v>
      </c>
    </row>
    <row r="26" customFormat="false" ht="14.4" hidden="false" customHeight="false" outlineLevel="0" collapsed="false">
      <c r="O26" s="115" t="s">
        <v>179</v>
      </c>
      <c r="P26" s="116" t="n">
        <f aca="false">P25+P20</f>
        <v>3.825</v>
      </c>
      <c r="Q26" s="115" t="s">
        <v>54</v>
      </c>
      <c r="R26" s="0" t="s">
        <v>180</v>
      </c>
    </row>
    <row r="27" customFormat="false" ht="14.4" hidden="false" customHeight="false" outlineLevel="0" collapsed="false">
      <c r="C27" s="0" t="s">
        <v>181</v>
      </c>
      <c r="D27" s="0" t="n">
        <f aca="false">IF(Component_Selection!D54="Target", Component_Selection!E51, Component_Selection!E104)</f>
        <v>0.6</v>
      </c>
    </row>
    <row r="28" customFormat="false" ht="14.4" hidden="false" customHeight="false" outlineLevel="0" collapsed="false">
      <c r="C28" s="95"/>
      <c r="K28" s="0" t="n">
        <f aca="false">1.12*(175-96.3)/150</f>
        <v>0.587626666666667</v>
      </c>
    </row>
    <row r="30" customFormat="false" ht="14.4" hidden="false" customHeight="false" outlineLevel="0" collapsed="false">
      <c r="C30" s="95" t="n">
        <f aca="false">E13</f>
        <v>0.225</v>
      </c>
      <c r="D30" s="0" t="s">
        <v>182</v>
      </c>
    </row>
    <row r="31" customFormat="false" ht="14.4" hidden="false" customHeight="false" outlineLevel="0" collapsed="false">
      <c r="C31" s="95" t="n">
        <f aca="false">E22</f>
        <v>1.05</v>
      </c>
      <c r="D31" s="0" t="s">
        <v>183</v>
      </c>
    </row>
    <row r="32" customFormat="false" ht="14.4" hidden="false" customHeight="false" outlineLevel="0" collapsed="false">
      <c r="C32" s="95" t="n">
        <f aca="false">E23</f>
        <v>4.05</v>
      </c>
      <c r="D32" s="0" t="s">
        <v>184</v>
      </c>
    </row>
    <row r="33" customFormat="false" ht="14.4" hidden="false" customHeight="false" outlineLevel="0" collapsed="false">
      <c r="C33" s="95" t="n">
        <f aca="false">E20</f>
        <v>1.125</v>
      </c>
      <c r="D33" s="0" t="s">
        <v>185</v>
      </c>
    </row>
    <row r="34" customFormat="false" ht="14.4" hidden="false" customHeight="false" outlineLevel="0" collapsed="false">
      <c r="C34" s="0" t="n">
        <f aca="false">Component_Selection!F16*Component_Selection!F15/D27/1000</f>
        <v>67.2</v>
      </c>
      <c r="D34" s="0" t="s">
        <v>186</v>
      </c>
      <c r="E34" s="0" t="s">
        <v>187</v>
      </c>
    </row>
    <row r="35" customFormat="false" ht="14.4" hidden="false" customHeight="false" outlineLevel="0" collapsed="false">
      <c r="C35" s="0" t="n">
        <f aca="false">ROUND(SOA_Checks!C34/2,1)</f>
        <v>33.6</v>
      </c>
      <c r="D35" s="0" t="s">
        <v>188</v>
      </c>
    </row>
    <row r="37" customFormat="false" ht="14.4" hidden="false" customHeight="false" outlineLevel="0" collapsed="false">
      <c r="C37" s="95" t="n">
        <f aca="false">10^(FLOOR(LOG(C31),1))</f>
        <v>1</v>
      </c>
      <c r="D37" s="0" t="s">
        <v>189</v>
      </c>
    </row>
    <row r="38" customFormat="false" ht="14.4" hidden="false" customHeight="false" outlineLevel="0" collapsed="false">
      <c r="C38" s="0" t="n">
        <f aca="false">C37*10</f>
        <v>10</v>
      </c>
      <c r="D38" s="0" t="s">
        <v>190</v>
      </c>
    </row>
    <row r="39" customFormat="false" ht="14.4" hidden="false" customHeight="false" outlineLevel="0" collapsed="false">
      <c r="B39" s="95"/>
      <c r="C39" s="95" t="n">
        <f aca="false">10^(FLOOR(LOG(C32),1))</f>
        <v>1</v>
      </c>
      <c r="D39" s="0" t="s">
        <v>191</v>
      </c>
    </row>
    <row r="40" customFormat="false" ht="14.4" hidden="false" customHeight="false" outlineLevel="0" collapsed="false">
      <c r="C40" s="0" t="n">
        <f aca="false">C39*10</f>
        <v>10</v>
      </c>
      <c r="D40" s="0" t="s">
        <v>192</v>
      </c>
    </row>
    <row r="41" customFormat="false" ht="14.4" hidden="false" customHeight="false" outlineLevel="0" collapsed="false">
      <c r="C41" s="95" t="n">
        <f aca="false">10^(FLOOR(LOG(C33),1))</f>
        <v>1</v>
      </c>
      <c r="D41" s="0" t="s">
        <v>193</v>
      </c>
    </row>
    <row r="42" customFormat="false" ht="14.4" hidden="false" customHeight="false" outlineLevel="0" collapsed="false">
      <c r="C42" s="0" t="n">
        <f aca="false">C41*10</f>
        <v>10</v>
      </c>
      <c r="D42" s="0" t="s">
        <v>194</v>
      </c>
    </row>
    <row r="43" customFormat="false" ht="14.4" hidden="false" customHeight="false" outlineLevel="0" collapsed="false">
      <c r="C43" s="95" t="n">
        <f aca="false">10^(FLOOR(LOG(C35),1))</f>
        <v>10</v>
      </c>
      <c r="D43" s="0" t="s">
        <v>195</v>
      </c>
    </row>
    <row r="44" customFormat="false" ht="14.4" hidden="false" customHeight="false" outlineLevel="0" collapsed="false">
      <c r="C44" s="0" t="n">
        <f aca="false">C43*10</f>
        <v>100</v>
      </c>
      <c r="D44" s="0" t="s">
        <v>196</v>
      </c>
    </row>
    <row r="46" customFormat="false" ht="14.4" hidden="false" customHeight="false" outlineLevel="0" collapsed="false">
      <c r="C46" s="0" t="s">
        <v>197</v>
      </c>
      <c r="D46" s="101" t="s">
        <v>198</v>
      </c>
      <c r="E46" s="101"/>
      <c r="F46" s="101"/>
    </row>
    <row r="47" customFormat="false" ht="14.4" hidden="false" customHeight="false" outlineLevel="0" collapsed="false">
      <c r="C47" s="95" t="n">
        <f aca="false">C37</f>
        <v>1</v>
      </c>
      <c r="D47" s="20" t="str">
        <f aca="false">"Q1 Current handling at "&amp;C37&amp;"ms and "&amp; E17 &amp;"V"</f>
        <v>Q1 Current handling at 1ms and 56V</v>
      </c>
      <c r="E47" s="20" t="n">
        <f aca="false">Component_Selection!E59</f>
        <v>6</v>
      </c>
      <c r="F47" s="20" t="s">
        <v>22</v>
      </c>
    </row>
    <row r="48" customFormat="false" ht="14.4" hidden="false" customHeight="false" outlineLevel="0" collapsed="false">
      <c r="C48" s="95" t="n">
        <f aca="false">C38</f>
        <v>10</v>
      </c>
      <c r="D48" s="20" t="str">
        <f aca="false">"Q1 Current handling at "&amp;C38&amp;"ms and "&amp; E17 &amp;"V"</f>
        <v>Q1 Current handling at 10ms and 56V</v>
      </c>
      <c r="E48" s="20" t="n">
        <f aca="false">Component_Selection!E60</f>
        <v>1.8</v>
      </c>
      <c r="F48" s="20" t="s">
        <v>22</v>
      </c>
    </row>
    <row r="49" customFormat="false" ht="14.4" hidden="false" customHeight="false" outlineLevel="0" collapsed="false">
      <c r="C49" s="95" t="n">
        <f aca="false">C39</f>
        <v>1</v>
      </c>
      <c r="D49" s="20" t="str">
        <f aca="false">"Q1 Current handling at "&amp;C39&amp;"ms and "&amp; E17 &amp;"V"</f>
        <v>Q1 Current handling at 1ms and 56V</v>
      </c>
      <c r="E49" s="20" t="n">
        <f aca="false">Component_Selection!E61</f>
        <v>6</v>
      </c>
      <c r="F49" s="20" t="s">
        <v>22</v>
      </c>
    </row>
    <row r="50" customFormat="false" ht="14.4" hidden="false" customHeight="false" outlineLevel="0" collapsed="false">
      <c r="C50" s="95" t="n">
        <f aca="false">C40</f>
        <v>10</v>
      </c>
      <c r="D50" s="20" t="str">
        <f aca="false">"Q1 Current handling at "&amp;C40&amp;"ms and "&amp; E17 &amp;"V"</f>
        <v>Q1 Current handling at 10ms and 56V</v>
      </c>
      <c r="E50" s="20" t="n">
        <f aca="false">Component_Selection!E62</f>
        <v>1.8</v>
      </c>
      <c r="F50" s="20" t="s">
        <v>22</v>
      </c>
    </row>
    <row r="51" customFormat="false" ht="14.4" hidden="false" customHeight="false" outlineLevel="0" collapsed="false">
      <c r="C51" s="95" t="n">
        <f aca="false">C43</f>
        <v>10</v>
      </c>
      <c r="D51" s="20" t="str">
        <f aca="false">"Q1 Current handling at "&amp;C43&amp;"ms and "&amp; E17 &amp;"V"</f>
        <v>Q1 Current handling at 10ms and 56V</v>
      </c>
      <c r="E51" s="20" t="n">
        <f aca="false">Component_Selection!E63</f>
        <v>1.8</v>
      </c>
      <c r="F51" s="20" t="s">
        <v>22</v>
      </c>
    </row>
    <row r="52" customFormat="false" ht="14.4" hidden="false" customHeight="false" outlineLevel="0" collapsed="false">
      <c r="C52" s="95" t="n">
        <f aca="false">C44</f>
        <v>100</v>
      </c>
      <c r="D52" s="20" t="str">
        <f aca="false">"Q1 Current handling at "&amp;C44&amp;"ms and "&amp; E17 &amp;"V"</f>
        <v>Q1 Current handling at 100ms and 56V</v>
      </c>
      <c r="E52" s="20" t="n">
        <f aca="false">Component_Selection!E64</f>
        <v>1</v>
      </c>
      <c r="F52" s="20" t="s">
        <v>22</v>
      </c>
    </row>
    <row r="53" customFormat="false" ht="14.4" hidden="false" customHeight="false" outlineLevel="0" collapsed="false">
      <c r="C53" s="95" t="n">
        <f aca="false">C41</f>
        <v>1</v>
      </c>
      <c r="D53" s="20" t="str">
        <f aca="false">"Q1 Current handling at "&amp;C41&amp;"ms and "&amp; E5 &amp;"V"</f>
        <v>Q1 Current handling at 1ms and 20.2V</v>
      </c>
      <c r="E53" s="20" t="n">
        <f aca="false">Component_Selection!E65</f>
        <v>30</v>
      </c>
      <c r="F53" s="20" t="s">
        <v>22</v>
      </c>
    </row>
    <row r="54" customFormat="false" ht="14.4" hidden="false" customHeight="false" outlineLevel="0" collapsed="false">
      <c r="C54" s="95" t="n">
        <f aca="false">C42</f>
        <v>10</v>
      </c>
      <c r="D54" s="20" t="str">
        <f aca="false">"Q1 Current handling at "&amp;C42&amp;"ms and "&amp; E5 &amp;"V"</f>
        <v>Q1 Current handling at 10ms and 20.2V</v>
      </c>
      <c r="E54" s="20" t="n">
        <f aca="false">Component_Selection!E66</f>
        <v>10</v>
      </c>
      <c r="F54" s="20" t="s">
        <v>22</v>
      </c>
    </row>
    <row r="55" customFormat="false" ht="14.4" hidden="false" customHeight="false" outlineLevel="0" collapsed="false">
      <c r="D55" s="15"/>
      <c r="E55" s="15"/>
      <c r="F55" s="15"/>
    </row>
    <row r="56" customFormat="false" ht="14.4" hidden="false" customHeight="false" outlineLevel="0" collapsed="false">
      <c r="D56" s="15" t="s">
        <v>199</v>
      </c>
      <c r="E56" s="15"/>
      <c r="F56" s="15"/>
    </row>
    <row r="58" customFormat="false" ht="14.4" hidden="false" customHeight="false" outlineLevel="0" collapsed="false">
      <c r="C58" s="0" t="s">
        <v>197</v>
      </c>
      <c r="D58" s="101" t="str">
        <f aca="false">" Temp Derated SOA (Tj ="&amp;ROUND(Component_Selection!F39,0)&amp;"C)"</f>
        <v>Temp Derated SOA (Tj =198C)</v>
      </c>
      <c r="E58" s="101"/>
      <c r="F58" s="101"/>
    </row>
    <row r="59" customFormat="false" ht="14.4" hidden="false" customHeight="false" outlineLevel="0" collapsed="false">
      <c r="D59" s="20" t="s">
        <v>200</v>
      </c>
      <c r="E59" s="83" t="n">
        <f aca="false">Component_Selection!F39</f>
        <v>198.333333333333</v>
      </c>
      <c r="F59" s="20" t="s">
        <v>17</v>
      </c>
    </row>
    <row r="60" customFormat="false" ht="14.4" hidden="false" customHeight="false" outlineLevel="0" collapsed="false">
      <c r="D60" s="20" t="s">
        <v>199</v>
      </c>
      <c r="E60" s="83" t="n">
        <f aca="false">(Component_Selection!F29-E59)/(Component_Selection!F29-25)</f>
        <v>-0.155555555555556</v>
      </c>
      <c r="F60" s="20"/>
    </row>
    <row r="61" customFormat="false" ht="14.4" hidden="false" customHeight="false" outlineLevel="0" collapsed="false">
      <c r="C61" s="95" t="n">
        <f aca="false">C47</f>
        <v>1</v>
      </c>
      <c r="D61" s="20" t="str">
        <f aca="false">D47</f>
        <v>Q1 Current handling at 1ms and 56V</v>
      </c>
      <c r="E61" s="83" t="n">
        <f aca="false">E47*$E$60</f>
        <v>-0.933333333333334</v>
      </c>
      <c r="F61" s="20" t="s">
        <v>22</v>
      </c>
    </row>
    <row r="62" customFormat="false" ht="14.4" hidden="false" customHeight="false" outlineLevel="0" collapsed="false">
      <c r="C62" s="95" t="n">
        <f aca="false">C48</f>
        <v>10</v>
      </c>
      <c r="D62" s="20" t="str">
        <f aca="false">D48</f>
        <v>Q1 Current handling at 10ms and 56V</v>
      </c>
      <c r="E62" s="83" t="n">
        <f aca="false">E48*$E$60</f>
        <v>-0.28</v>
      </c>
      <c r="F62" s="20" t="s">
        <v>22</v>
      </c>
    </row>
    <row r="63" customFormat="false" ht="14.4" hidden="false" customHeight="false" outlineLevel="0" collapsed="false">
      <c r="C63" s="95" t="n">
        <f aca="false">C49</f>
        <v>1</v>
      </c>
      <c r="D63" s="20" t="str">
        <f aca="false">D49</f>
        <v>Q1 Current handling at 1ms and 56V</v>
      </c>
      <c r="E63" s="83" t="n">
        <f aca="false">E49*$E$60</f>
        <v>-0.933333333333334</v>
      </c>
      <c r="F63" s="20" t="s">
        <v>22</v>
      </c>
    </row>
    <row r="64" customFormat="false" ht="14.4" hidden="false" customHeight="false" outlineLevel="0" collapsed="false">
      <c r="C64" s="95" t="n">
        <f aca="false">C50</f>
        <v>10</v>
      </c>
      <c r="D64" s="20" t="str">
        <f aca="false">D50</f>
        <v>Q1 Current handling at 10ms and 56V</v>
      </c>
      <c r="E64" s="83" t="n">
        <f aca="false">E50*$E$60</f>
        <v>-0.28</v>
      </c>
      <c r="F64" s="20" t="s">
        <v>22</v>
      </c>
    </row>
    <row r="65" customFormat="false" ht="14.4" hidden="false" customHeight="false" outlineLevel="0" collapsed="false">
      <c r="C65" s="95" t="n">
        <f aca="false">C51</f>
        <v>10</v>
      </c>
      <c r="D65" s="20" t="str">
        <f aca="false">D51</f>
        <v>Q1 Current handling at 10ms and 56V</v>
      </c>
      <c r="E65" s="83" t="n">
        <f aca="false">E51*$E$60</f>
        <v>-0.28</v>
      </c>
      <c r="F65" s="20" t="s">
        <v>22</v>
      </c>
    </row>
    <row r="66" customFormat="false" ht="14.4" hidden="false" customHeight="false" outlineLevel="0" collapsed="false">
      <c r="C66" s="95" t="n">
        <f aca="false">C52</f>
        <v>100</v>
      </c>
      <c r="D66" s="20" t="str">
        <f aca="false">D52</f>
        <v>Q1 Current handling at 100ms and 56V</v>
      </c>
      <c r="E66" s="83" t="n">
        <f aca="false">E52*$E$60</f>
        <v>-0.155555555555556</v>
      </c>
      <c r="F66" s="20" t="s">
        <v>22</v>
      </c>
    </row>
    <row r="67" customFormat="false" ht="14.4" hidden="false" customHeight="false" outlineLevel="0" collapsed="false">
      <c r="C67" s="95" t="n">
        <f aca="false">C53</f>
        <v>1</v>
      </c>
      <c r="D67" s="20" t="str">
        <f aca="false">D53</f>
        <v>Q1 Current handling at 1ms and 20.2V</v>
      </c>
      <c r="E67" s="83" t="n">
        <f aca="false">E53*$E$60</f>
        <v>-4.66666666666667</v>
      </c>
      <c r="F67" s="20" t="s">
        <v>22</v>
      </c>
    </row>
    <row r="68" customFormat="false" ht="14.4" hidden="false" customHeight="false" outlineLevel="0" collapsed="false">
      <c r="C68" s="95" t="n">
        <f aca="false">C54</f>
        <v>10</v>
      </c>
      <c r="D68" s="20" t="str">
        <f aca="false">D54</f>
        <v>Q1 Current handling at 10ms and 20.2V</v>
      </c>
      <c r="E68" s="83" t="n">
        <f aca="false">E54*$E$60</f>
        <v>-1.55555555555556</v>
      </c>
      <c r="F68" s="20" t="s">
        <v>22</v>
      </c>
    </row>
    <row r="69" customFormat="false" ht="14.4" hidden="false" customHeight="false" outlineLevel="0" collapsed="false">
      <c r="D69" s="15"/>
      <c r="E69" s="15"/>
      <c r="F69" s="15"/>
    </row>
    <row r="70" customFormat="false" ht="14.4" hidden="false" customHeight="false" outlineLevel="0" collapsed="false">
      <c r="D70" s="15"/>
      <c r="E70" s="15"/>
      <c r="F70" s="15"/>
    </row>
    <row r="71" customFormat="false" ht="14.4" hidden="false" customHeight="false" outlineLevel="0" collapsed="false">
      <c r="G71" s="74" t="s">
        <v>201</v>
      </c>
      <c r="H71" s="74"/>
    </row>
    <row r="72" customFormat="false" ht="14.4" hidden="false" customHeight="false" outlineLevel="0" collapsed="false">
      <c r="C72" s="0" t="s">
        <v>197</v>
      </c>
      <c r="D72" s="117" t="str">
        <f aca="false">" Extrapoloated SOA (Tj ="&amp;ROUND(Component_Selection!F39,0)&amp;"C)"</f>
        <v>Extrapoloated SOA (Tj =198C)</v>
      </c>
      <c r="E72" s="117"/>
      <c r="F72" s="117"/>
      <c r="G72" s="0" t="s">
        <v>166</v>
      </c>
      <c r="H72" s="0" t="s">
        <v>202</v>
      </c>
    </row>
    <row r="73" customFormat="false" ht="14.4" hidden="false" customHeight="false" outlineLevel="0" collapsed="false">
      <c r="C73" s="95" t="n">
        <f aca="false">C31</f>
        <v>1.05</v>
      </c>
      <c r="D73" s="20" t="str">
        <f aca="false">"Short Circuit; Vds = "&amp;E17&amp;"V, t= " &amp;C31 &amp; "ms"</f>
        <v>Short Circuit; Vds = 56V, t= 1.05ms</v>
      </c>
      <c r="E73" s="83" t="n">
        <f aca="false">H73*C31^G73*$E$60</f>
        <v>-0.909823903067565</v>
      </c>
      <c r="F73" s="20" t="s">
        <v>22</v>
      </c>
      <c r="G73" s="0" t="n">
        <f aca="false">LN(E47/E48)/LN(C37/C38)</f>
        <v>-0.522878745280338</v>
      </c>
      <c r="H73" s="0" t="n">
        <f aca="false">E47/C37^G73</f>
        <v>6</v>
      </c>
    </row>
    <row r="74" customFormat="false" ht="14.4" hidden="false" customHeight="false" outlineLevel="0" collapsed="false">
      <c r="C74" s="95" t="n">
        <f aca="false">C32</f>
        <v>4.05</v>
      </c>
      <c r="D74" s="20" t="str">
        <f aca="false">"Short Circuit with resistor; Vds = "&amp;E17&amp;"V, t= " &amp;C32 &amp; "ms"</f>
        <v>Short Circuit with resistor; Vds = 56V, t= 4.05ms</v>
      </c>
      <c r="E74" s="83" t="n">
        <f aca="false">H74*C32^G74*$E$60</f>
        <v>-0.449170738640801</v>
      </c>
      <c r="F74" s="20" t="s">
        <v>22</v>
      </c>
      <c r="G74" s="0" t="n">
        <f aca="false">LN(E49/E50)/LN(C39/C40)</f>
        <v>-0.522878745280338</v>
      </c>
      <c r="H74" s="0" t="n">
        <f aca="false">E49/C39^G74</f>
        <v>6</v>
      </c>
    </row>
    <row r="75" customFormat="false" ht="14.4" hidden="false" customHeight="false" outlineLevel="0" collapsed="false">
      <c r="C75" s="0" t="n">
        <f aca="false">C35</f>
        <v>33.6</v>
      </c>
      <c r="D75" s="20" t="str">
        <f aca="false">"Start-up ; Vds = "&amp;E17&amp;"V, t_eq= " &amp;C35 &amp; "ms"</f>
        <v>Start-up ; Vds = 56V, t_eq= 33.6ms</v>
      </c>
      <c r="E75" s="83" t="n">
        <f aca="false">H75*C35^G75*$E$60</f>
        <v>-0.205493498240884</v>
      </c>
      <c r="F75" s="20" t="s">
        <v>22</v>
      </c>
      <c r="G75" s="0" t="n">
        <f aca="false">LN(E51/E52)/LN(C43/C44)</f>
        <v>-0.255272505103306</v>
      </c>
      <c r="H75" s="0" t="n">
        <f aca="false">E51/C43^G75</f>
        <v>3.24</v>
      </c>
    </row>
    <row r="76" customFormat="false" ht="14.4" hidden="false" customHeight="false" outlineLevel="0" collapsed="false">
      <c r="C76" s="95" t="n">
        <f aca="false">C33</f>
        <v>1.125</v>
      </c>
      <c r="D76" s="20" t="str">
        <f aca="false">"Vd = 1.5V; Vds = "&amp;E5&amp;"V, t_eq= " &amp;C33 &amp; "ms"</f>
        <v>Vd = 1.5V; Vds = 20.2V, t_eq= 1.125ms</v>
      </c>
      <c r="E76" s="83" t="n">
        <f aca="false">H76*C33^G76*$E$60</f>
        <v>-4.41164771497764</v>
      </c>
      <c r="F76" s="20" t="s">
        <v>22</v>
      </c>
      <c r="G76" s="0" t="n">
        <f aca="false">LN(E53/E54)/LN(C41/C42)</f>
        <v>-0.477121254719663</v>
      </c>
      <c r="H76" s="0" t="n">
        <f aca="false">E53/C41^G76</f>
        <v>30</v>
      </c>
    </row>
    <row r="79" customFormat="false" ht="14.4" hidden="false" customHeight="false" outlineLevel="0" collapsed="false">
      <c r="C79" s="0" t="s">
        <v>197</v>
      </c>
      <c r="D79" s="117" t="s">
        <v>203</v>
      </c>
      <c r="E79" s="117"/>
      <c r="F79" s="117"/>
    </row>
    <row r="80" customFormat="false" ht="14.4" hidden="false" customHeight="false" outlineLevel="0" collapsed="false">
      <c r="C80" s="95" t="n">
        <f aca="false">C73</f>
        <v>1.05</v>
      </c>
      <c r="D80" s="20" t="str">
        <f aca="false">D73</f>
        <v>Short Circuit; Vds = 56V, t= 1.05ms</v>
      </c>
      <c r="E80" s="83" t="n">
        <f aca="false">E11</f>
        <v>5</v>
      </c>
      <c r="F80" s="20" t="s">
        <v>22</v>
      </c>
    </row>
    <row r="81" customFormat="false" ht="14.4" hidden="false" customHeight="false" outlineLevel="0" collapsed="false">
      <c r="C81" s="95" t="n">
        <f aca="false">C74</f>
        <v>4.05</v>
      </c>
      <c r="D81" s="20" t="str">
        <f aca="false">D74</f>
        <v>Short Circuit with resistor; Vds = 56V, t= 4.05ms</v>
      </c>
      <c r="E81" s="83" t="n">
        <f aca="false">E11</f>
        <v>5</v>
      </c>
      <c r="F81" s="20" t="s">
        <v>22</v>
      </c>
    </row>
    <row r="82" customFormat="false" ht="14.4" hidden="false" customHeight="false" outlineLevel="0" collapsed="false">
      <c r="C82" s="95" t="n">
        <f aca="false">C75</f>
        <v>33.6</v>
      </c>
      <c r="D82" s="20" t="str">
        <f aca="false">D75</f>
        <v>Start-up ; Vds = 56V, t_eq= 33.6ms</v>
      </c>
      <c r="E82" s="83" t="n">
        <f aca="false">E6</f>
        <v>0.6</v>
      </c>
      <c r="F82" s="20" t="s">
        <v>22</v>
      </c>
    </row>
    <row r="83" customFormat="false" ht="14.4" hidden="false" customHeight="false" outlineLevel="0" collapsed="false">
      <c r="C83" s="95" t="n">
        <f aca="false">C76</f>
        <v>1.125</v>
      </c>
      <c r="D83" s="20" t="str">
        <f aca="false">D76</f>
        <v>Vd = 1.5V; Vds = 20.2V, t_eq= 1.125ms</v>
      </c>
      <c r="E83" s="83" t="n">
        <f aca="false">E10</f>
        <v>41.6666666666667</v>
      </c>
      <c r="F83" s="20" t="s">
        <v>22</v>
      </c>
    </row>
    <row r="84" customFormat="false" ht="14.4" hidden="false" customHeight="false" outlineLevel="0" collapsed="false">
      <c r="C84" s="95"/>
      <c r="D84" s="20"/>
      <c r="E84" s="83"/>
      <c r="F84" s="20"/>
    </row>
    <row r="85" customFormat="false" ht="14.4" hidden="false" customHeight="false" outlineLevel="0" collapsed="false">
      <c r="D85" s="117" t="s">
        <v>204</v>
      </c>
      <c r="E85" s="117"/>
      <c r="F85" s="117"/>
    </row>
    <row r="86" customFormat="false" ht="14.4" hidden="false" customHeight="false" outlineLevel="0" collapsed="false">
      <c r="D86" s="20" t="str">
        <f aca="false">D80</f>
        <v>Short Circuit; Vds = 56V, t= 1.05ms</v>
      </c>
      <c r="E86" s="83" t="n">
        <f aca="false">E73/E80</f>
        <v>-0.181964780613513</v>
      </c>
      <c r="F86" s="20"/>
    </row>
    <row r="87" customFormat="false" ht="14.4" hidden="false" customHeight="false" outlineLevel="0" collapsed="false">
      <c r="D87" s="20" t="str">
        <f aca="false">D81</f>
        <v>Short Circuit with resistor; Vds = 56V, t= 4.05ms</v>
      </c>
      <c r="E87" s="83" t="n">
        <f aca="false">E74/E81</f>
        <v>-0.0898341477281603</v>
      </c>
      <c r="F87" s="20"/>
    </row>
    <row r="88" customFormat="false" ht="14.4" hidden="false" customHeight="false" outlineLevel="0" collapsed="false">
      <c r="D88" s="20" t="str">
        <f aca="false">D82</f>
        <v>Start-up ; Vds = 56V, t_eq= 33.6ms</v>
      </c>
      <c r="E88" s="83" t="n">
        <f aca="false">E75/E82</f>
        <v>-0.342489163734807</v>
      </c>
      <c r="F88" s="20"/>
    </row>
    <row r="89" customFormat="false" ht="14.4" hidden="false" customHeight="false" outlineLevel="0" collapsed="false">
      <c r="D89" s="20" t="str">
        <f aca="false">D83</f>
        <v>Vd = 1.5V; Vds = 20.2V, t_eq= 1.125ms</v>
      </c>
      <c r="E89" s="83" t="n">
        <f aca="false">E76/E83</f>
        <v>-0.105879545159463</v>
      </c>
      <c r="F89" s="20"/>
    </row>
  </sheetData>
  <mergeCells count="10">
    <mergeCell ref="O1:Z2"/>
    <mergeCell ref="D16:E16"/>
    <mergeCell ref="O18:Q18"/>
    <mergeCell ref="O24:Q24"/>
    <mergeCell ref="D46:F46"/>
    <mergeCell ref="D58:F58"/>
    <mergeCell ref="G71:H71"/>
    <mergeCell ref="D72:F72"/>
    <mergeCell ref="D79:F79"/>
    <mergeCell ref="D85:F8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2:R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5" activeCellId="0" sqref="N25"/>
    </sheetView>
  </sheetViews>
  <sheetFormatPr defaultRowHeight="14.4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27.12"/>
    <col collapsed="false" customWidth="true" hidden="false" outlineLevel="0" max="1025" min="4" style="0" width="8.67"/>
  </cols>
  <sheetData>
    <row r="2" customFormat="false" ht="14.4" hidden="false" customHeight="false" outlineLevel="0" collapsed="false">
      <c r="D2" s="0" t="s">
        <v>91</v>
      </c>
      <c r="G2" s="0" t="s">
        <v>205</v>
      </c>
      <c r="H2" s="0" t="n">
        <f aca="false">Component_Selection!E19</f>
        <v>25</v>
      </c>
    </row>
    <row r="3" customFormat="false" ht="14.4" hidden="false" customHeight="false" outlineLevel="0" collapsed="false">
      <c r="D3" s="0" t="s">
        <v>206</v>
      </c>
    </row>
    <row r="5" customFormat="false" ht="14.4" hidden="false" customHeight="false" outlineLevel="0" collapsed="false">
      <c r="C5" s="18" t="s">
        <v>207</v>
      </c>
      <c r="D5" s="118" t="s">
        <v>6</v>
      </c>
      <c r="E5" s="118" t="s">
        <v>7</v>
      </c>
      <c r="F5" s="119" t="s">
        <v>8</v>
      </c>
      <c r="G5" s="19"/>
      <c r="H5" s="91" t="s">
        <v>89</v>
      </c>
      <c r="L5" s="74" t="s">
        <v>208</v>
      </c>
      <c r="M5" s="74"/>
      <c r="N5" s="74"/>
      <c r="O5" s="74"/>
      <c r="P5" s="74"/>
      <c r="Q5" s="74"/>
    </row>
    <row r="6" customFormat="false" ht="14.4" hidden="false" customHeight="false" outlineLevel="0" collapsed="false">
      <c r="C6" s="120" t="s">
        <v>92</v>
      </c>
      <c r="D6" s="95" t="n">
        <f aca="false">E6*(1-H6)</f>
        <v>39.5833333333333</v>
      </c>
      <c r="E6" s="95" t="n">
        <f aca="false">H2/Component_Selection!E83</f>
        <v>41.6666666666667</v>
      </c>
      <c r="F6" s="95" t="n">
        <f aca="false">E6*(1+H6)</f>
        <v>43.75</v>
      </c>
      <c r="G6" s="121" t="s">
        <v>22</v>
      </c>
      <c r="H6" s="122" t="n">
        <f aca="false">Error_Calculation!Q20+Component_Selection!F83</f>
        <v>0.05</v>
      </c>
      <c r="L6" s="123"/>
      <c r="M6" s="124" t="s">
        <v>6</v>
      </c>
      <c r="N6" s="124" t="s">
        <v>7</v>
      </c>
      <c r="O6" s="124" t="s">
        <v>8</v>
      </c>
      <c r="P6" s="125" t="s">
        <v>9</v>
      </c>
      <c r="Q6" s="126" t="s">
        <v>209</v>
      </c>
    </row>
    <row r="7" customFormat="false" ht="14.4" hidden="false" customHeight="false" outlineLevel="0" collapsed="false">
      <c r="C7" s="120" t="s">
        <v>93</v>
      </c>
      <c r="D7" s="95" t="n">
        <f aca="false">E7*(1-H7)</f>
        <v>3.28333333333333</v>
      </c>
      <c r="E7" s="95" t="n">
        <f aca="false">Error_Calculation!N19/Component_Selection!E83</f>
        <v>5</v>
      </c>
      <c r="F7" s="95" t="n">
        <f aca="false">E7*(1+H7)</f>
        <v>6.71666666666667</v>
      </c>
      <c r="G7" s="121" t="s">
        <v>22</v>
      </c>
      <c r="H7" s="122" t="n">
        <f aca="false">Error_Calculation!Q19+Component_Selection!F83</f>
        <v>0.343333333333333</v>
      </c>
      <c r="L7" s="127" t="s">
        <v>94</v>
      </c>
      <c r="M7" s="128" t="n">
        <v>0.985</v>
      </c>
      <c r="N7" s="128" t="n">
        <v>1</v>
      </c>
      <c r="O7" s="128" t="n">
        <v>1.015</v>
      </c>
      <c r="P7" s="129" t="s">
        <v>13</v>
      </c>
      <c r="Q7" s="130" t="n">
        <f aca="false">(O7-N7)/N7</f>
        <v>0.0149999999999999</v>
      </c>
    </row>
    <row r="8" customFormat="false" ht="14.4" hidden="false" customHeight="false" outlineLevel="0" collapsed="false">
      <c r="C8" s="120" t="s">
        <v>94</v>
      </c>
      <c r="D8" s="95" t="n">
        <f aca="false">E8*(1-H8)</f>
        <v>35.965206405694</v>
      </c>
      <c r="E8" s="95" t="n">
        <f aca="false">(Component_Selection!E84+Component_Selection!E85)/Component_Selection!E85*Error_Calculation!$N$7</f>
        <v>36.5871886120996</v>
      </c>
      <c r="F8" s="95" t="n">
        <f aca="false">E8*(1+H8)</f>
        <v>37.2091708185053</v>
      </c>
      <c r="G8" s="121" t="s">
        <v>13</v>
      </c>
      <c r="H8" s="122" t="n">
        <f aca="false">Component_Selection!F84+Component_Selection!F85+Error_Calculation!Q7</f>
        <v>0.0169999999999999</v>
      </c>
      <c r="L8" s="131" t="s">
        <v>97</v>
      </c>
      <c r="M8" s="15" t="n">
        <v>0.98</v>
      </c>
      <c r="N8" s="15" t="n">
        <v>1</v>
      </c>
      <c r="O8" s="15" t="n">
        <v>1.02</v>
      </c>
      <c r="P8" s="121" t="s">
        <v>13</v>
      </c>
      <c r="Q8" s="130" t="n">
        <f aca="false">(O8-N8)/N8</f>
        <v>0.02</v>
      </c>
    </row>
    <row r="9" customFormat="false" ht="14.4" hidden="false" customHeight="false" outlineLevel="0" collapsed="false">
      <c r="C9" s="120" t="s">
        <v>95</v>
      </c>
      <c r="D9" s="95" t="n">
        <f aca="false">E9*(1-H9)</f>
        <v>1.758</v>
      </c>
      <c r="E9" s="95" t="n">
        <f aca="false">Error_Calculation!$N$9*Component_Selection!E84*0.001</f>
        <v>2</v>
      </c>
      <c r="F9" s="95" t="n">
        <f aca="false">E9*(1+H9)</f>
        <v>2.242</v>
      </c>
      <c r="G9" s="121" t="s">
        <v>13</v>
      </c>
      <c r="H9" s="122" t="n">
        <f aca="false">Component_Selection!F84+Error_Calculation!Q9</f>
        <v>0.121</v>
      </c>
      <c r="L9" s="131" t="s">
        <v>210</v>
      </c>
      <c r="M9" s="15" t="n">
        <v>9</v>
      </c>
      <c r="N9" s="15" t="n">
        <v>10</v>
      </c>
      <c r="O9" s="15" t="n">
        <v>11.2</v>
      </c>
      <c r="P9" s="121" t="s">
        <v>159</v>
      </c>
      <c r="Q9" s="130" t="n">
        <f aca="false">(O9-N9)/N9</f>
        <v>0.12</v>
      </c>
    </row>
    <row r="10" customFormat="false" ht="14.4" hidden="false" customHeight="false" outlineLevel="0" collapsed="false">
      <c r="C10" s="120" t="s">
        <v>96</v>
      </c>
      <c r="D10" s="95" t="n">
        <f aca="false">D8-F9</f>
        <v>33.723206405694</v>
      </c>
      <c r="E10" s="95" t="n">
        <f aca="false">E8-E9</f>
        <v>34.5871886120996</v>
      </c>
      <c r="F10" s="95" t="n">
        <f aca="false">F8-D9</f>
        <v>35.4511708185053</v>
      </c>
      <c r="G10" s="121" t="s">
        <v>13</v>
      </c>
      <c r="H10" s="122" t="s">
        <v>211</v>
      </c>
      <c r="L10" s="132" t="s">
        <v>212</v>
      </c>
      <c r="M10" s="133" t="n">
        <v>9</v>
      </c>
      <c r="N10" s="133" t="n">
        <v>10</v>
      </c>
      <c r="O10" s="133" t="n">
        <v>11.2</v>
      </c>
      <c r="P10" s="134" t="s">
        <v>159</v>
      </c>
      <c r="Q10" s="130" t="n">
        <f aca="false">(O10-N10)/N10</f>
        <v>0.12</v>
      </c>
    </row>
    <row r="11" customFormat="false" ht="14.4" hidden="false" customHeight="false" outlineLevel="0" collapsed="false">
      <c r="C11" s="120" t="s">
        <v>97</v>
      </c>
      <c r="D11" s="95" t="n">
        <f aca="false">E11*(1-H11)</f>
        <v>62.9523157894737</v>
      </c>
      <c r="E11" s="95" t="n">
        <f aca="false">(Component_Selection!E86+Component_Selection!E87)/Component_Selection!E87*Error_Calculation!$N$7</f>
        <v>64.3684210526316</v>
      </c>
      <c r="F11" s="95" t="n">
        <f aca="false">E11*(1+H11)</f>
        <v>65.7845263157895</v>
      </c>
      <c r="G11" s="121" t="s">
        <v>13</v>
      </c>
      <c r="H11" s="122" t="n">
        <f aca="false">Component_Selection!F86+Component_Selection!F87+Error_Calculation!Q8</f>
        <v>0.022</v>
      </c>
      <c r="L11" s="131" t="s">
        <v>213</v>
      </c>
      <c r="M11" s="15" t="n">
        <v>1.47</v>
      </c>
      <c r="N11" s="15" t="n">
        <v>1.5</v>
      </c>
      <c r="O11" s="15" t="n">
        <v>1.53</v>
      </c>
      <c r="P11" s="121" t="s">
        <v>13</v>
      </c>
      <c r="Q11" s="130" t="n">
        <f aca="false">(O11-N11)/N11</f>
        <v>0.02</v>
      </c>
    </row>
    <row r="12" customFormat="false" ht="14.4" hidden="false" customHeight="false" outlineLevel="0" collapsed="false">
      <c r="C12" s="120" t="s">
        <v>98</v>
      </c>
      <c r="D12" s="95" t="n">
        <f aca="false">E12*(1-H12)</f>
        <v>2.64579</v>
      </c>
      <c r="E12" s="95" t="n">
        <f aca="false">Error_Calculation!$N$9*Component_Selection!E86*0.001</f>
        <v>3.01</v>
      </c>
      <c r="F12" s="95" t="n">
        <f aca="false">E12*(1+H12)</f>
        <v>3.37421</v>
      </c>
      <c r="G12" s="121" t="s">
        <v>13</v>
      </c>
      <c r="H12" s="122" t="n">
        <f aca="false">Component_Selection!F86+Error_Calculation!Q10</f>
        <v>0.121</v>
      </c>
      <c r="L12" s="131" t="s">
        <v>214</v>
      </c>
      <c r="M12" s="15" t="n">
        <f aca="false">0.98*N12</f>
        <v>0.735</v>
      </c>
      <c r="N12" s="15" t="n">
        <v>0.75</v>
      </c>
      <c r="O12" s="15" t="n">
        <f aca="false">N12*1.02</f>
        <v>0.765</v>
      </c>
      <c r="P12" s="121" t="s">
        <v>13</v>
      </c>
      <c r="Q12" s="130" t="n">
        <f aca="false">(O12-N12)/N12</f>
        <v>0.02</v>
      </c>
    </row>
    <row r="13" customFormat="false" ht="14.4" hidden="false" customHeight="false" outlineLevel="0" collapsed="false">
      <c r="C13" s="120" t="s">
        <v>99</v>
      </c>
      <c r="D13" s="95" t="n">
        <f aca="false">D11-F12</f>
        <v>59.5781057894737</v>
      </c>
      <c r="E13" s="95" t="n">
        <f aca="false">E11-E12</f>
        <v>61.3584210526316</v>
      </c>
      <c r="F13" s="95" t="n">
        <f aca="false">F11-D12</f>
        <v>63.1387363157895</v>
      </c>
      <c r="G13" s="121" t="s">
        <v>13</v>
      </c>
      <c r="H13" s="122" t="s">
        <v>211</v>
      </c>
      <c r="L13" s="131" t="s">
        <v>215</v>
      </c>
      <c r="M13" s="15" t="n">
        <v>1.5</v>
      </c>
      <c r="Q13" s="130"/>
    </row>
    <row r="14" customFormat="false" ht="14.4" hidden="false" customHeight="false" outlineLevel="0" collapsed="false">
      <c r="C14" s="120" t="s">
        <v>100</v>
      </c>
      <c r="D14" s="95" t="n">
        <f aca="false">E14*(1-H14)</f>
        <v>18.786</v>
      </c>
      <c r="E14" s="95" t="n">
        <f aca="false">(Component_Selection!E88+Error_Calculation!N17)/Error_Calculation!N17*Error_Calculation!N16</f>
        <v>20.2</v>
      </c>
      <c r="F14" s="95" t="n">
        <f aca="false">E14*(1+H14)</f>
        <v>21.614</v>
      </c>
      <c r="G14" s="121" t="s">
        <v>13</v>
      </c>
      <c r="H14" s="130" t="n">
        <f aca="false">Error_Calculation!Q16+Error_Calculation!Q17</f>
        <v>0.07</v>
      </c>
      <c r="L14" s="131" t="s">
        <v>216</v>
      </c>
      <c r="M14" s="15" t="n">
        <v>9</v>
      </c>
      <c r="N14" s="15" t="n">
        <v>10</v>
      </c>
      <c r="O14" s="15" t="n">
        <v>11</v>
      </c>
      <c r="P14" s="121" t="s">
        <v>159</v>
      </c>
      <c r="Q14" s="130" t="n">
        <f aca="false">(O14-N14)/N14</f>
        <v>0.1</v>
      </c>
    </row>
    <row r="15" customFormat="false" ht="14.4" hidden="false" customHeight="false" outlineLevel="0" collapsed="false">
      <c r="C15" s="120" t="s">
        <v>101</v>
      </c>
      <c r="D15" s="95" t="n">
        <f aca="false">E15*(1-H15)</f>
        <v>0.27</v>
      </c>
      <c r="E15" s="95" t="n">
        <f aca="false">Component_Selection!F16*Error_Calculation!N22/Component_Selection!E89*0.001</f>
        <v>0.6</v>
      </c>
      <c r="F15" s="95" t="n">
        <f aca="false">E15*(1+H15)</f>
        <v>0.93</v>
      </c>
      <c r="G15" s="121" t="s">
        <v>22</v>
      </c>
      <c r="H15" s="122" t="n">
        <f aca="false">Component_Selection!F89+Error_Calculation!Q22</f>
        <v>0.55</v>
      </c>
      <c r="L15" s="132" t="s">
        <v>217</v>
      </c>
      <c r="M15" s="133" t="n">
        <v>45</v>
      </c>
      <c r="N15" s="133" t="n">
        <v>50</v>
      </c>
      <c r="O15" s="133" t="n">
        <v>55</v>
      </c>
      <c r="P15" s="134" t="s">
        <v>159</v>
      </c>
      <c r="Q15" s="130" t="n">
        <f aca="false">(O15-N15)/N15</f>
        <v>0.1</v>
      </c>
    </row>
    <row r="16" customFormat="false" ht="14.4" hidden="false" customHeight="false" outlineLevel="0" collapsed="false">
      <c r="C16" s="120" t="s">
        <v>102</v>
      </c>
      <c r="D16" s="95" t="n">
        <f aca="false">E16*(1-H16)</f>
        <v>1.755</v>
      </c>
      <c r="E16" s="135" t="n">
        <f aca="false">Component_Selection!E91*Error_Calculation!N11/Error_Calculation!N14</f>
        <v>2.25</v>
      </c>
      <c r="F16" s="95" t="n">
        <f aca="false">E16*(1+H16)</f>
        <v>2.745</v>
      </c>
      <c r="G16" s="121" t="s">
        <v>54</v>
      </c>
      <c r="H16" s="130" t="n">
        <f aca="false">Error_Calculation!Q11+Error_Calculation!Q14+Component_Selection!F91</f>
        <v>0.22</v>
      </c>
      <c r="L16" s="131" t="s">
        <v>218</v>
      </c>
      <c r="M16" s="15" t="n">
        <v>1.47</v>
      </c>
      <c r="N16" s="15" t="n">
        <v>1.5</v>
      </c>
      <c r="O16" s="15" t="n">
        <v>1.53</v>
      </c>
      <c r="P16" s="121" t="s">
        <v>13</v>
      </c>
      <c r="Q16" s="130" t="n">
        <f aca="false">(O16-N16)/N16</f>
        <v>0.02</v>
      </c>
    </row>
    <row r="17" customFormat="false" ht="14.4" hidden="false" customHeight="false" outlineLevel="0" collapsed="false">
      <c r="C17" s="120" t="s">
        <v>103</v>
      </c>
      <c r="D17" s="95" t="n">
        <f aca="false">E17*(1-H17)</f>
        <v>0.8775</v>
      </c>
      <c r="E17" s="135" t="n">
        <f aca="false">Error_Calculation!N12*Component_Selection!E91/Error_Calculation!N14</f>
        <v>1.125</v>
      </c>
      <c r="F17" s="95" t="n">
        <f aca="false">E17*(1+H17)</f>
        <v>1.3725</v>
      </c>
      <c r="G17" s="121" t="s">
        <v>54</v>
      </c>
      <c r="H17" s="130" t="n">
        <f aca="false">Error_Calculation!Q12+Error_Calculation!Q14+Component_Selection!F91</f>
        <v>0.22</v>
      </c>
      <c r="L17" s="132" t="s">
        <v>77</v>
      </c>
      <c r="M17" s="133" t="n">
        <v>28.5</v>
      </c>
      <c r="N17" s="133" t="n">
        <v>30</v>
      </c>
      <c r="O17" s="133" t="n">
        <v>31.5</v>
      </c>
      <c r="P17" s="134" t="s">
        <v>73</v>
      </c>
      <c r="Q17" s="130" t="n">
        <f aca="false">(O17-N17)/N17</f>
        <v>0.05</v>
      </c>
    </row>
    <row r="18" customFormat="false" ht="14.4" hidden="false" customHeight="false" outlineLevel="0" collapsed="false">
      <c r="C18" s="120" t="s">
        <v>104</v>
      </c>
      <c r="D18" s="95" t="n">
        <f aca="false">E18*(1-H18)</f>
        <v>0.1755</v>
      </c>
      <c r="E18" s="135" t="n">
        <f aca="false">Component_Selection!E91*Error_Calculation!N12/Error_Calculation!N15</f>
        <v>0.225</v>
      </c>
      <c r="F18" s="95" t="n">
        <f aca="false">E18*(1+H18)</f>
        <v>0.2745</v>
      </c>
      <c r="G18" s="121" t="s">
        <v>54</v>
      </c>
      <c r="H18" s="130" t="n">
        <f aca="false">Error_Calculation!Q12+Error_Calculation!Q15+Component_Selection!F91</f>
        <v>0.22</v>
      </c>
      <c r="L18" s="131"/>
      <c r="M18" s="15"/>
      <c r="N18" s="15"/>
      <c r="O18" s="15"/>
      <c r="P18" s="121"/>
      <c r="Q18" s="130"/>
    </row>
    <row r="19" customFormat="false" ht="14.4" hidden="false" customHeight="false" outlineLevel="0" collapsed="false">
      <c r="C19" s="18" t="s">
        <v>219</v>
      </c>
      <c r="D19" s="118" t="s">
        <v>6</v>
      </c>
      <c r="E19" s="118" t="s">
        <v>7</v>
      </c>
      <c r="F19" s="119" t="s">
        <v>8</v>
      </c>
      <c r="G19" s="19"/>
      <c r="H19" s="91" t="s">
        <v>89</v>
      </c>
      <c r="L19" s="131" t="s">
        <v>220</v>
      </c>
      <c r="M19" s="15" t="n">
        <v>2</v>
      </c>
      <c r="N19" s="15" t="n">
        <v>3</v>
      </c>
      <c r="O19" s="15" t="n">
        <v>4</v>
      </c>
      <c r="P19" s="121" t="s">
        <v>20</v>
      </c>
      <c r="Q19" s="130" t="n">
        <f aca="false">(O19-N19)/N19</f>
        <v>0.333333333333333</v>
      </c>
    </row>
    <row r="20" customFormat="false" ht="14.4" hidden="false" customHeight="false" outlineLevel="0" collapsed="false">
      <c r="C20" s="120" t="s">
        <v>92</v>
      </c>
      <c r="D20" s="95" t="n">
        <f aca="false">E20*(1-H20)</f>
        <v>39.948705989326</v>
      </c>
      <c r="E20" s="95" t="n">
        <f aca="false">H2/Component_Selection!E83</f>
        <v>41.6666666666667</v>
      </c>
      <c r="F20" s="95" t="n">
        <f aca="false">E20*(1+H20)</f>
        <v>43.3846273440074</v>
      </c>
      <c r="G20" s="121" t="s">
        <v>22</v>
      </c>
      <c r="H20" s="122" t="n">
        <f aca="false">SQRT(Error_Calculation!Q20^2+Component_Selection!F83^2)</f>
        <v>0.0412310562561766</v>
      </c>
      <c r="L20" s="131" t="s">
        <v>205</v>
      </c>
      <c r="M20" s="15" t="n">
        <v>24</v>
      </c>
      <c r="N20" s="15" t="n">
        <v>25</v>
      </c>
      <c r="O20" s="15" t="n">
        <v>26</v>
      </c>
      <c r="P20" s="121" t="s">
        <v>20</v>
      </c>
      <c r="Q20" s="130" t="n">
        <f aca="false">(O20-N20)/N20</f>
        <v>0.04</v>
      </c>
    </row>
    <row r="21" customFormat="false" ht="14.4" hidden="false" customHeight="false" outlineLevel="0" collapsed="false">
      <c r="C21" s="120" t="s">
        <v>93</v>
      </c>
      <c r="D21" s="95" t="n">
        <f aca="false">E21*(1-H21)</f>
        <v>3.33258350200744</v>
      </c>
      <c r="E21" s="95" t="n">
        <f aca="false">Error_Calculation!N19/Component_Selection!E83</f>
        <v>5</v>
      </c>
      <c r="F21" s="95" t="n">
        <f aca="false">E21*(1+H21)</f>
        <v>6.66741649799256</v>
      </c>
      <c r="G21" s="121" t="s">
        <v>22</v>
      </c>
      <c r="H21" s="122" t="n">
        <f aca="false">SQRT(Error_Calculation!Q19^2+Component_Selection!F83^2)</f>
        <v>0.333483299598512</v>
      </c>
      <c r="L21" s="131" t="s">
        <v>205</v>
      </c>
      <c r="M21" s="15" t="n">
        <v>38.4</v>
      </c>
      <c r="N21" s="15" t="n">
        <v>40</v>
      </c>
      <c r="O21" s="15" t="n">
        <v>41.6</v>
      </c>
      <c r="P21" s="121" t="s">
        <v>20</v>
      </c>
      <c r="Q21" s="130" t="n">
        <f aca="false">(O21-N21)/N21</f>
        <v>0.04</v>
      </c>
    </row>
    <row r="22" customFormat="false" ht="14.4" hidden="false" customHeight="false" outlineLevel="0" collapsed="false">
      <c r="C22" s="120" t="s">
        <v>94</v>
      </c>
      <c r="D22" s="95" t="n">
        <f aca="false">E22*(1-H22)</f>
        <v>36.0359470333776</v>
      </c>
      <c r="E22" s="95" t="n">
        <f aca="false">(Component_Selection!E84+Component_Selection!E85)/Component_Selection!E85*Error_Calculation!$N$7</f>
        <v>36.5871886120996</v>
      </c>
      <c r="F22" s="95" t="n">
        <f aca="false">E22*(1+H22)</f>
        <v>37.1384301908217</v>
      </c>
      <c r="G22" s="121" t="s">
        <v>13</v>
      </c>
      <c r="H22" s="122" t="n">
        <f aca="false">SQRT(Component_Selection!F84^2+Component_Selection!F85^2+Error_Calculation!Q7^2)</f>
        <v>0.0150665191733193</v>
      </c>
      <c r="L22" s="131" t="s">
        <v>221</v>
      </c>
      <c r="M22" s="15" t="n">
        <v>15</v>
      </c>
      <c r="N22" s="15" t="n">
        <v>20</v>
      </c>
      <c r="O22" s="15" t="n">
        <v>25</v>
      </c>
      <c r="P22" s="121" t="s">
        <v>159</v>
      </c>
      <c r="Q22" s="130" t="n">
        <f aca="false">(O22-N22)/N22</f>
        <v>0.25</v>
      </c>
    </row>
    <row r="23" customFormat="false" ht="14.4" hidden="false" customHeight="false" outlineLevel="0" collapsed="false">
      <c r="C23" s="120" t="s">
        <v>95</v>
      </c>
      <c r="D23" s="95" t="n">
        <f aca="false">E23*(1-H23)</f>
        <v>1.75999166681134</v>
      </c>
      <c r="E23" s="95" t="n">
        <f aca="false">Error_Calculation!$N$9*Component_Selection!E84*0.001</f>
        <v>2</v>
      </c>
      <c r="F23" s="95" t="n">
        <f aca="false">E23*(1+H23)</f>
        <v>2.24000833318866</v>
      </c>
      <c r="G23" s="121" t="s">
        <v>13</v>
      </c>
      <c r="H23" s="122" t="n">
        <f aca="false">SQRT(Component_Selection!F84^2+Error_Calculation!Q9^2)</f>
        <v>0.120004166594331</v>
      </c>
      <c r="L23" s="131" t="s">
        <v>222</v>
      </c>
      <c r="N23" s="15" t="n">
        <v>400</v>
      </c>
      <c r="P23" s="121" t="s">
        <v>159</v>
      </c>
      <c r="Q23" s="130"/>
    </row>
    <row r="24" customFormat="false" ht="14.4" hidden="false" customHeight="false" outlineLevel="0" collapsed="false">
      <c r="C24" s="120" t="s">
        <v>96</v>
      </c>
      <c r="D24" s="95" t="n">
        <f aca="false">D22-F23</f>
        <v>33.7959387001889</v>
      </c>
      <c r="E24" s="95" t="n">
        <f aca="false">E22-E23</f>
        <v>34.5871886120996</v>
      </c>
      <c r="F24" s="95" t="n">
        <f aca="false">F22-D23</f>
        <v>35.3784385240104</v>
      </c>
      <c r="G24" s="121" t="s">
        <v>13</v>
      </c>
      <c r="H24" s="122" t="s">
        <v>211</v>
      </c>
      <c r="L24" s="131"/>
      <c r="N24" s="15"/>
      <c r="P24" s="121"/>
      <c r="Q24" s="130"/>
    </row>
    <row r="25" customFormat="false" ht="14.4" hidden="false" customHeight="false" outlineLevel="0" collapsed="false">
      <c r="C25" s="120" t="s">
        <v>97</v>
      </c>
      <c r="D25" s="95" t="n">
        <f aca="false">E25*(1-H25)</f>
        <v>63.0778382235264</v>
      </c>
      <c r="E25" s="95" t="n">
        <f aca="false">(Component_Selection!E86+Component_Selection!E87)/Component_Selection!E87*Error_Calculation!$N$7</f>
        <v>64.3684210526316</v>
      </c>
      <c r="F25" s="95" t="n">
        <f aca="false">E25*(1+H25)</f>
        <v>65.6590038817368</v>
      </c>
      <c r="G25" s="121" t="s">
        <v>13</v>
      </c>
      <c r="H25" s="122" t="n">
        <f aca="false">SQRT(Component_Selection!F86^2+Component_Selection!F87^2+Error_Calculation!Q8^2)</f>
        <v>0.0200499376557634</v>
      </c>
      <c r="L25" s="131" t="s">
        <v>223</v>
      </c>
      <c r="N25" s="15"/>
      <c r="O25" s="0" t="n">
        <v>1.1</v>
      </c>
      <c r="P25" s="121" t="s">
        <v>224</v>
      </c>
      <c r="Q25" s="130"/>
    </row>
    <row r="26" customFormat="false" ht="14.4" hidden="false" customHeight="false" outlineLevel="0" collapsed="false">
      <c r="C26" s="120" t="s">
        <v>98</v>
      </c>
      <c r="D26" s="95" t="n">
        <f aca="false">E26*(1-H26)</f>
        <v>2.64878745855106</v>
      </c>
      <c r="E26" s="95" t="n">
        <f aca="false">Error_Calculation!$N$9*Component_Selection!E86*0.001</f>
        <v>3.01</v>
      </c>
      <c r="F26" s="95" t="n">
        <f aca="false">E26*(1+H26)</f>
        <v>3.37121254144894</v>
      </c>
      <c r="G26" s="121" t="s">
        <v>13</v>
      </c>
      <c r="H26" s="122" t="n">
        <f aca="false">SQRT(Component_Selection!F86^2+Error_Calculation!Q10^2)</f>
        <v>0.120004166594331</v>
      </c>
      <c r="L26" s="131" t="s">
        <v>225</v>
      </c>
      <c r="M26" s="0" t="n">
        <v>10</v>
      </c>
      <c r="N26" s="15" t="n">
        <v>14.5</v>
      </c>
      <c r="P26" s="121"/>
      <c r="Q26" s="130"/>
    </row>
    <row r="27" customFormat="false" ht="14.4" hidden="false" customHeight="false" outlineLevel="0" collapsed="false">
      <c r="C27" s="120" t="s">
        <v>99</v>
      </c>
      <c r="D27" s="95" t="n">
        <f aca="false">D25-F26</f>
        <v>59.7066256820775</v>
      </c>
      <c r="E27" s="95" t="n">
        <f aca="false">E25-E26</f>
        <v>61.3584210526316</v>
      </c>
      <c r="F27" s="95" t="n">
        <f aca="false">F25-D26</f>
        <v>63.0102164231857</v>
      </c>
      <c r="G27" s="121" t="s">
        <v>13</v>
      </c>
      <c r="H27" s="122" t="s">
        <v>211</v>
      </c>
      <c r="L27" s="131"/>
      <c r="M27" s="15"/>
      <c r="N27" s="15"/>
      <c r="O27" s="15"/>
      <c r="P27" s="121"/>
      <c r="Q27" s="130"/>
    </row>
    <row r="28" customFormat="false" ht="14.4" hidden="false" customHeight="false" outlineLevel="0" collapsed="false">
      <c r="C28" s="120" t="s">
        <v>100</v>
      </c>
      <c r="D28" s="95" t="n">
        <f aca="false">E28*(1-H28)</f>
        <v>19.1121967089588</v>
      </c>
      <c r="E28" s="95" t="n">
        <f aca="false">(Component_Selection!E88+Error_Calculation!N17)/Error_Calculation!N17*Error_Calculation!N16</f>
        <v>20.2</v>
      </c>
      <c r="F28" s="95" t="n">
        <f aca="false">E28*(1+H28)</f>
        <v>21.2878032910412</v>
      </c>
      <c r="G28" s="121" t="s">
        <v>13</v>
      </c>
      <c r="H28" s="130" t="n">
        <f aca="false">SQRT(Error_Calculation!Q16^2+Error_Calculation!Q17^2)</f>
        <v>0.053851648071345</v>
      </c>
      <c r="L28" s="136"/>
      <c r="M28" s="15"/>
      <c r="N28" s="15"/>
      <c r="O28" s="15"/>
      <c r="P28" s="15"/>
      <c r="Q28" s="130"/>
      <c r="R28" s="0" t="n">
        <f aca="false">(33-10)/(1.1*1.2)</f>
        <v>17.4242424242424</v>
      </c>
    </row>
    <row r="29" customFormat="false" ht="14.4" hidden="false" customHeight="false" outlineLevel="0" collapsed="false">
      <c r="C29" s="120" t="s">
        <v>101</v>
      </c>
      <c r="D29" s="95" t="n">
        <f aca="false">E29*(1-H29)</f>
        <v>0.3656925097228</v>
      </c>
      <c r="E29" s="95" t="n">
        <f aca="false">Component_Selection!F16*Error_Calculation!N22/Component_Selection!E89*0.001</f>
        <v>0.6</v>
      </c>
      <c r="F29" s="95" t="n">
        <f aca="false">E29*(1+H29)</f>
        <v>0.8343074902772</v>
      </c>
      <c r="G29" s="121" t="s">
        <v>22</v>
      </c>
      <c r="H29" s="122" t="n">
        <f aca="false">SQRT(Component_Selection!F89^2+Error_Calculation!Q22^2)</f>
        <v>0.390512483795333</v>
      </c>
      <c r="L29" s="136" t="s">
        <v>161</v>
      </c>
      <c r="M29" s="15"/>
      <c r="N29" s="15"/>
      <c r="O29" s="15" t="n">
        <v>1</v>
      </c>
      <c r="P29" s="15" t="s">
        <v>162</v>
      </c>
    </row>
    <row r="30" customFormat="false" ht="14.4" hidden="false" customHeight="false" outlineLevel="0" collapsed="false">
      <c r="C30" s="120" t="s">
        <v>102</v>
      </c>
      <c r="D30" s="95" t="n">
        <f aca="false">E30*(1-H30)</f>
        <v>1.92863572071557</v>
      </c>
      <c r="E30" s="135" t="n">
        <f aca="false">Component_Selection!E91*Error_Calculation!N11/Error_Calculation!N14</f>
        <v>2.25</v>
      </c>
      <c r="F30" s="95" t="n">
        <f aca="false">E30*(1+H30)</f>
        <v>2.57136427928443</v>
      </c>
      <c r="G30" s="121" t="s">
        <v>54</v>
      </c>
      <c r="H30" s="130" t="n">
        <f aca="false">SQRT(Error_Calculation!Q11^2+Error_Calculation!Q14^2+Component_Selection!F91^2)</f>
        <v>0.142828568570857</v>
      </c>
    </row>
    <row r="31" customFormat="false" ht="14.4" hidden="false" customHeight="false" outlineLevel="0" collapsed="false">
      <c r="C31" s="120" t="s">
        <v>103</v>
      </c>
      <c r="D31" s="95" t="n">
        <f aca="false">E31*(1-H31)</f>
        <v>0.964317860357786</v>
      </c>
      <c r="E31" s="135" t="n">
        <f aca="false">Error_Calculation!N12*Component_Selection!E91/Error_Calculation!N14</f>
        <v>1.125</v>
      </c>
      <c r="F31" s="95" t="n">
        <f aca="false">E31*(1+H31)</f>
        <v>1.28568213964221</v>
      </c>
      <c r="G31" s="121" t="s">
        <v>54</v>
      </c>
      <c r="H31" s="130" t="n">
        <f aca="false">SQRT(Error_Calculation!Q12^2+Error_Calculation!Q14^2+Component_Selection!F91^2)</f>
        <v>0.142828568570857</v>
      </c>
    </row>
    <row r="32" customFormat="false" ht="14.4" hidden="false" customHeight="false" outlineLevel="0" collapsed="false">
      <c r="C32" s="137" t="s">
        <v>104</v>
      </c>
      <c r="D32" s="138" t="n">
        <f aca="false">E32*(1-H32)</f>
        <v>0.192863572071557</v>
      </c>
      <c r="E32" s="139" t="n">
        <f aca="false">Component_Selection!E91*Error_Calculation!N12/Error_Calculation!N15</f>
        <v>0.225</v>
      </c>
      <c r="F32" s="138" t="n">
        <f aca="false">E32*(1+H32)</f>
        <v>0.257136427928443</v>
      </c>
      <c r="G32" s="134" t="s">
        <v>54</v>
      </c>
      <c r="H32" s="140" t="n">
        <f aca="false">SQRT(Error_Calculation!Q12^2+Error_Calculation!Q15^2+Component_Selection!F91^2)</f>
        <v>0.142828568570857</v>
      </c>
    </row>
  </sheetData>
  <mergeCells count="1">
    <mergeCell ref="L5:Q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V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2" activeCellId="0" sqref="D12"/>
    </sheetView>
  </sheetViews>
  <sheetFormatPr defaultRowHeight="14.4" outlineLevelRow="0" outlineLevelCol="0"/>
  <cols>
    <col collapsed="false" customWidth="true" hidden="false" outlineLevel="0" max="2" min="1" style="0" width="8.67"/>
    <col collapsed="false" customWidth="true" hidden="false" outlineLevel="0" max="3" min="3" style="0" width="11.65"/>
    <col collapsed="false" customWidth="true" hidden="false" outlineLevel="0" max="4" min="4" style="0" width="8.67"/>
    <col collapsed="false" customWidth="true" hidden="false" outlineLevel="0" max="5" min="5" style="0" width="12.1"/>
    <col collapsed="false" customWidth="true" hidden="false" outlineLevel="0" max="1025" min="6" style="0" width="8.67"/>
  </cols>
  <sheetData>
    <row r="3" customFormat="false" ht="14.4" hidden="false" customHeight="false" outlineLevel="0" collapsed="false">
      <c r="B3" s="141" t="s">
        <v>226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customFormat="false" ht="14.4" hidden="false" customHeight="false" outlineLevel="0" collapsed="false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6" customFormat="false" ht="14.4" hidden="false" customHeight="false" outlineLevel="0" collapsed="false">
      <c r="C6" s="0" t="s">
        <v>22</v>
      </c>
      <c r="D6" s="0" t="n">
        <v>20</v>
      </c>
      <c r="E6" s="0" t="s">
        <v>151</v>
      </c>
    </row>
    <row r="7" customFormat="false" ht="14.4" hidden="false" customHeight="false" outlineLevel="0" collapsed="false">
      <c r="C7" s="0" t="s">
        <v>156</v>
      </c>
      <c r="D7" s="0" t="n">
        <v>30</v>
      </c>
      <c r="E7" s="0" t="s">
        <v>35</v>
      </c>
    </row>
    <row r="8" customFormat="false" ht="14.4" hidden="false" customHeight="false" outlineLevel="0" collapsed="false">
      <c r="C8" s="0" t="s">
        <v>157</v>
      </c>
      <c r="D8" s="0" t="n">
        <v>130</v>
      </c>
      <c r="E8" s="0" t="s">
        <v>35</v>
      </c>
    </row>
    <row r="9" customFormat="false" ht="14.4" hidden="false" customHeight="false" outlineLevel="0" collapsed="false">
      <c r="C9" s="0" t="s">
        <v>158</v>
      </c>
      <c r="D9" s="0" t="n">
        <v>20</v>
      </c>
      <c r="E9" s="0" t="s">
        <v>159</v>
      </c>
    </row>
    <row r="10" customFormat="false" ht="14.4" hidden="false" customHeight="false" outlineLevel="0" collapsed="false">
      <c r="C10" s="0" t="s">
        <v>136</v>
      </c>
      <c r="D10" s="0" t="n">
        <v>1.5</v>
      </c>
      <c r="E10" s="0" t="s">
        <v>22</v>
      </c>
    </row>
    <row r="11" customFormat="false" ht="14.4" hidden="false" customHeight="false" outlineLevel="0" collapsed="false">
      <c r="C11" s="0" t="s">
        <v>161</v>
      </c>
      <c r="D11" s="0" t="n">
        <v>1</v>
      </c>
      <c r="E11" s="0" t="s">
        <v>162</v>
      </c>
    </row>
    <row r="12" customFormat="false" ht="14.4" hidden="false" customHeight="false" outlineLevel="0" collapsed="false">
      <c r="C12" s="0" t="s">
        <v>227</v>
      </c>
      <c r="D12" s="0" t="n">
        <v>60</v>
      </c>
      <c r="E12" s="0" t="s">
        <v>13</v>
      </c>
    </row>
    <row r="14" customFormat="false" ht="14.4" hidden="false" customHeight="false" outlineLevel="0" collapsed="false">
      <c r="B14" s="0" t="s">
        <v>166</v>
      </c>
      <c r="C14" s="142" t="s">
        <v>228</v>
      </c>
      <c r="D14" s="142" t="s">
        <v>229</v>
      </c>
      <c r="E14" s="142" t="s">
        <v>230</v>
      </c>
      <c r="F14" s="142" t="s">
        <v>231</v>
      </c>
      <c r="G14" s="142" t="s">
        <v>232</v>
      </c>
      <c r="H14" s="142" t="s">
        <v>233</v>
      </c>
      <c r="I14" s="142" t="s">
        <v>234</v>
      </c>
      <c r="J14" s="142" t="s">
        <v>235</v>
      </c>
      <c r="K14" s="142" t="s">
        <v>236</v>
      </c>
      <c r="L14" s="142" t="s">
        <v>237</v>
      </c>
    </row>
    <row r="15" customFormat="false" ht="14.4" hidden="false" customHeight="false" outlineLevel="0" collapsed="false">
      <c r="C15" s="0" t="n">
        <f aca="false">I15/$D$9</f>
        <v>0</v>
      </c>
      <c r="D15" s="0" t="n">
        <v>0</v>
      </c>
      <c r="E15" s="0" t="n">
        <f aca="false">$D$11*D15</f>
        <v>0</v>
      </c>
      <c r="F15" s="0" t="n">
        <f aca="false">SQRT(D15/$D$6)</f>
        <v>0</v>
      </c>
      <c r="G15" s="0" t="n">
        <f aca="false">E15*$D$7</f>
        <v>0</v>
      </c>
      <c r="H15" s="0" t="n">
        <f aca="false">F15*($D$8+$D$7)</f>
        <v>0</v>
      </c>
      <c r="I15" s="0" t="n">
        <f aca="false">G15+H15</f>
        <v>0</v>
      </c>
      <c r="J15" s="0" t="n">
        <f aca="false">$D$12-E15</f>
        <v>60</v>
      </c>
      <c r="K15" s="0" t="n">
        <f aca="false">J15*D15</f>
        <v>0</v>
      </c>
    </row>
    <row r="16" customFormat="false" ht="14.4" hidden="false" customHeight="false" outlineLevel="0" collapsed="false">
      <c r="B16" s="0" t="n">
        <f aca="false">(D16-D15)/(C16-C15)</f>
        <v>0.124502416018684</v>
      </c>
      <c r="C16" s="0" t="n">
        <f aca="false">I16/$D$9</f>
        <v>0.602397948556636</v>
      </c>
      <c r="D16" s="0" t="n">
        <f aca="false">D15+$D$10*0.05</f>
        <v>0.075</v>
      </c>
      <c r="E16" s="0" t="n">
        <f aca="false">$D$11*D16</f>
        <v>0.075</v>
      </c>
      <c r="F16" s="0" t="n">
        <f aca="false">SQRT(D16/$D$6)</f>
        <v>0.0612372435695795</v>
      </c>
      <c r="G16" s="0" t="n">
        <f aca="false">E16*$D$7</f>
        <v>2.25</v>
      </c>
      <c r="H16" s="0" t="n">
        <f aca="false">F16*($D$8+$D$7)</f>
        <v>9.79795897113271</v>
      </c>
      <c r="I16" s="0" t="n">
        <f aca="false">G16+H16</f>
        <v>12.0479589711327</v>
      </c>
      <c r="J16" s="0" t="n">
        <f aca="false">$D$12-E16</f>
        <v>59.925</v>
      </c>
      <c r="K16" s="0" t="n">
        <f aca="false">J16*D16</f>
        <v>4.494375</v>
      </c>
      <c r="L16" s="0" t="n">
        <f aca="false">AVERAGE(K16,K15)*(C16-C15)</f>
        <v>1.35370114002211</v>
      </c>
    </row>
    <row r="17" customFormat="false" ht="14.4" hidden="false" customHeight="false" outlineLevel="0" collapsed="false">
      <c r="B17" s="0" t="n">
        <f aca="false">(D17-D16)/(C17-C16)</f>
        <v>0.237776410521935</v>
      </c>
      <c r="C17" s="0" t="n">
        <f aca="false">I17/$D$9</f>
        <v>0.917820323027551</v>
      </c>
      <c r="D17" s="0" t="n">
        <f aca="false">D16+$D$10*0.05</f>
        <v>0.15</v>
      </c>
      <c r="E17" s="0" t="n">
        <f aca="false">$D$11*D17</f>
        <v>0.15</v>
      </c>
      <c r="F17" s="0" t="n">
        <f aca="false">SQRT(D17/$D$6)</f>
        <v>0.0866025403784439</v>
      </c>
      <c r="G17" s="0" t="n">
        <f aca="false">E17*$D$7</f>
        <v>4.5</v>
      </c>
      <c r="H17" s="0" t="n">
        <f aca="false">F17*($D$8+$D$7)</f>
        <v>13.856406460551</v>
      </c>
      <c r="I17" s="0" t="n">
        <f aca="false">G17+H17</f>
        <v>18.356406460551</v>
      </c>
      <c r="J17" s="0" t="n">
        <f aca="false">$D$12-E17</f>
        <v>59.85</v>
      </c>
      <c r="K17" s="0" t="n">
        <f aca="false">J17*D17</f>
        <v>8.9775</v>
      </c>
      <c r="L17" s="0" t="n">
        <f aca="false">AVERAGE(K17,K16)*(C17-C16)</f>
        <v>2.12466540053768</v>
      </c>
    </row>
    <row r="18" customFormat="false" ht="14.4" hidden="false" customHeight="false" outlineLevel="0" collapsed="false">
      <c r="B18" s="0" t="n">
        <f aca="false">(D18-D17)/(C18-C17)</f>
        <v>0.279633910625659</v>
      </c>
      <c r="C18" s="0" t="n">
        <f aca="false">I18/$D$9</f>
        <v>1.18602813742386</v>
      </c>
      <c r="D18" s="0" t="n">
        <f aca="false">D17+$D$10*0.05</f>
        <v>0.225</v>
      </c>
      <c r="E18" s="0" t="n">
        <f aca="false">$D$11*D18</f>
        <v>0.225</v>
      </c>
      <c r="F18" s="0" t="n">
        <f aca="false">SQRT(D18/$D$6)</f>
        <v>0.106066017177982</v>
      </c>
      <c r="G18" s="0" t="n">
        <f aca="false">E18*$D$7</f>
        <v>6.75</v>
      </c>
      <c r="H18" s="0" t="n">
        <f aca="false">F18*($D$8+$D$7)</f>
        <v>16.9705627484771</v>
      </c>
      <c r="I18" s="0" t="n">
        <f aca="false">G18+H18</f>
        <v>23.7205627484771</v>
      </c>
      <c r="J18" s="0" t="n">
        <f aca="false">$D$12-E18</f>
        <v>59.775</v>
      </c>
      <c r="K18" s="0" t="n">
        <f aca="false">J18*D18</f>
        <v>13.449375</v>
      </c>
      <c r="L18" s="0" t="n">
        <f aca="false">AVERAGE(K18,K17)*(C18-C17)</f>
        <v>3.00753156374458</v>
      </c>
    </row>
    <row r="19" customFormat="false" ht="14.4" hidden="false" customHeight="false" outlineLevel="0" collapsed="false">
      <c r="B19" s="0" t="n">
        <f aca="false">(D19-D18)/(C19-C18)</f>
        <v>0.307669890782759</v>
      </c>
      <c r="C19" s="0" t="n">
        <f aca="false">I19/$D$9</f>
        <v>1.42979589711327</v>
      </c>
      <c r="D19" s="0" t="n">
        <f aca="false">D18+$D$10*0.05</f>
        <v>0.3</v>
      </c>
      <c r="E19" s="0" t="n">
        <f aca="false">$D$11*D19</f>
        <v>0.3</v>
      </c>
      <c r="F19" s="0" t="n">
        <f aca="false">SQRT(D19/$D$6)</f>
        <v>0.122474487139159</v>
      </c>
      <c r="G19" s="0" t="n">
        <f aca="false">E19*$D$7</f>
        <v>9</v>
      </c>
      <c r="H19" s="0" t="n">
        <f aca="false">F19*($D$8+$D$7)</f>
        <v>19.5959179422654</v>
      </c>
      <c r="I19" s="0" t="n">
        <f aca="false">G19+H19</f>
        <v>28.5959179422654</v>
      </c>
      <c r="J19" s="0" t="n">
        <f aca="false">$D$12-E19</f>
        <v>59.7</v>
      </c>
      <c r="K19" s="0" t="n">
        <f aca="false">J19*D19</f>
        <v>17.91</v>
      </c>
      <c r="L19" s="0" t="n">
        <f aca="false">AVERAGE(K19,K18)*(C19-C18)</f>
        <v>3.82220229450512</v>
      </c>
    </row>
    <row r="20" customFormat="false" ht="14.4" hidden="false" customHeight="false" outlineLevel="0" collapsed="false">
      <c r="B20" s="0" t="n">
        <f aca="false">(D20-D19)/(C20-C19)</f>
        <v>0.328732224862763</v>
      </c>
      <c r="C20" s="0" t="n">
        <f aca="false">I20/$D$9</f>
        <v>1.65794511501033</v>
      </c>
      <c r="D20" s="0" t="n">
        <f aca="false">D19+$D$10*0.05</f>
        <v>0.375</v>
      </c>
      <c r="E20" s="0" t="n">
        <f aca="false">$D$11*D20</f>
        <v>0.375</v>
      </c>
      <c r="F20" s="0" t="n">
        <f aca="false">SQRT(D20/$D$6)</f>
        <v>0.136930639376292</v>
      </c>
      <c r="G20" s="0" t="n">
        <f aca="false">E20*$D$7</f>
        <v>11.25</v>
      </c>
      <c r="H20" s="0" t="n">
        <f aca="false">F20*($D$8+$D$7)</f>
        <v>21.9089023002066</v>
      </c>
      <c r="I20" s="0" t="n">
        <f aca="false">G20+H20</f>
        <v>33.1589023002066</v>
      </c>
      <c r="J20" s="0" t="n">
        <f aca="false">$D$12-E20</f>
        <v>59.625</v>
      </c>
      <c r="K20" s="0" t="n">
        <f aca="false">J20*D20</f>
        <v>22.359375</v>
      </c>
      <c r="L20" s="0" t="n">
        <f aca="false">AVERAGE(K20,K19)*(C20-C19)</f>
        <v>4.59371320572673</v>
      </c>
    </row>
    <row r="21" customFormat="false" ht="14.4" hidden="false" customHeight="false" outlineLevel="0" collapsed="false">
      <c r="B21" s="0" t="n">
        <f aca="false">(D21-D20)/(C21-C20)</f>
        <v>0.345534725023904</v>
      </c>
      <c r="C21" s="0" t="n">
        <f aca="false">I21/$D$9</f>
        <v>1.875</v>
      </c>
      <c r="D21" s="0" t="n">
        <f aca="false">D20+$D$10*0.05</f>
        <v>0.45</v>
      </c>
      <c r="E21" s="0" t="n">
        <f aca="false">$D$11*D21</f>
        <v>0.45</v>
      </c>
      <c r="F21" s="0" t="n">
        <f aca="false">SQRT(D21/$D$6)</f>
        <v>0.15</v>
      </c>
      <c r="G21" s="0" t="n">
        <f aca="false">E21*$D$7</f>
        <v>13.5</v>
      </c>
      <c r="H21" s="0" t="n">
        <f aca="false">F21*($D$8+$D$7)</f>
        <v>24</v>
      </c>
      <c r="I21" s="0" t="n">
        <f aca="false">G21+H21</f>
        <v>37.5</v>
      </c>
      <c r="J21" s="0" t="n">
        <f aca="false">$D$12-E21</f>
        <v>59.55</v>
      </c>
      <c r="K21" s="0" t="n">
        <f aca="false">J21*D21</f>
        <v>26.7975</v>
      </c>
      <c r="L21" s="0" t="n">
        <f aca="false">AVERAGE(K21,K20)*(C21-C20)</f>
        <v>5.33486992478825</v>
      </c>
    </row>
    <row r="22" customFormat="false" ht="14.4" hidden="false" customHeight="false" outlineLevel="0" collapsed="false">
      <c r="B22" s="0" t="n">
        <f aca="false">(D22-D21)/(C22-C21)</f>
        <v>0.359456835390247</v>
      </c>
      <c r="C22" s="0" t="n">
        <f aca="false">I22/$D$9</f>
        <v>2.08364813968157</v>
      </c>
      <c r="D22" s="0" t="n">
        <f aca="false">D21+$D$10*0.05</f>
        <v>0.525</v>
      </c>
      <c r="E22" s="0" t="n">
        <f aca="false">$D$11*D22</f>
        <v>0.525</v>
      </c>
      <c r="F22" s="0" t="n">
        <f aca="false">SQRT(D22/$D$6)</f>
        <v>0.162018517460197</v>
      </c>
      <c r="G22" s="0" t="n">
        <f aca="false">E22*$D$7</f>
        <v>15.75</v>
      </c>
      <c r="H22" s="0" t="n">
        <f aca="false">F22*($D$8+$D$7)</f>
        <v>25.9229627936314</v>
      </c>
      <c r="I22" s="0" t="n">
        <f aca="false">G22+H22</f>
        <v>41.6729627936314</v>
      </c>
      <c r="J22" s="0" t="n">
        <f aca="false">$D$12-E22</f>
        <v>59.475</v>
      </c>
      <c r="K22" s="0" t="n">
        <f aca="false">J22*D22</f>
        <v>31.224375</v>
      </c>
      <c r="L22" s="0" t="n">
        <f aca="false">AVERAGE(K22,K21)*(C22-C21)</f>
        <v>6.05307813979335</v>
      </c>
    </row>
    <row r="23" customFormat="false" ht="14.4" hidden="false" customHeight="false" outlineLevel="0" collapsed="false">
      <c r="B23" s="0" t="n">
        <f aca="false">(D23-D22)/(C23-C22)</f>
        <v>0.371300902922151</v>
      </c>
      <c r="C23" s="0" t="n">
        <f aca="false">I23/$D$9</f>
        <v>2.2856406460551</v>
      </c>
      <c r="D23" s="0" t="n">
        <f aca="false">D22+$D$10*0.05</f>
        <v>0.6</v>
      </c>
      <c r="E23" s="0" t="n">
        <f aca="false">$D$11*D23</f>
        <v>0.6</v>
      </c>
      <c r="F23" s="0" t="n">
        <f aca="false">SQRT(D23/$D$6)</f>
        <v>0.173205080756888</v>
      </c>
      <c r="G23" s="0" t="n">
        <f aca="false">E23*$D$7</f>
        <v>18</v>
      </c>
      <c r="H23" s="0" t="n">
        <f aca="false">F23*($D$8+$D$7)</f>
        <v>27.712812921102</v>
      </c>
      <c r="I23" s="0" t="n">
        <f aca="false">G23+H23</f>
        <v>45.712812921102</v>
      </c>
      <c r="J23" s="0" t="n">
        <f aca="false">$D$12-E23</f>
        <v>59.4</v>
      </c>
      <c r="K23" s="0" t="n">
        <f aca="false">J23*D23</f>
        <v>35.64</v>
      </c>
      <c r="L23" s="0" t="n">
        <f aca="false">AVERAGE(K23,K22)*(C23-C22)</f>
        <v>6.7530513466748</v>
      </c>
    </row>
    <row r="24" customFormat="false" ht="14.4" hidden="false" customHeight="false" outlineLevel="0" collapsed="false">
      <c r="B24" s="0" t="n">
        <f aca="false">(D24-D23)/(C24-C23)</f>
        <v>0.381576082948439</v>
      </c>
      <c r="C24" s="0" t="n">
        <f aca="false">I24/$D$9</f>
        <v>2.48219384566991</v>
      </c>
      <c r="D24" s="0" t="n">
        <f aca="false">D23+$D$10*0.05</f>
        <v>0.675</v>
      </c>
      <c r="E24" s="0" t="n">
        <f aca="false">$D$11*D24</f>
        <v>0.675</v>
      </c>
      <c r="F24" s="0" t="n">
        <f aca="false">SQRT(D24/$D$6)</f>
        <v>0.183711730708738</v>
      </c>
      <c r="G24" s="0" t="n">
        <f aca="false">E24*$D$7</f>
        <v>20.25</v>
      </c>
      <c r="H24" s="0" t="n">
        <f aca="false">F24*($D$8+$D$7)</f>
        <v>29.3938769133981</v>
      </c>
      <c r="I24" s="0" t="n">
        <f aca="false">G24+H24</f>
        <v>49.6438769133981</v>
      </c>
      <c r="J24" s="0" t="n">
        <f aca="false">$D$12-E24</f>
        <v>59.325</v>
      </c>
      <c r="K24" s="0" t="n">
        <f aca="false">J24*D24</f>
        <v>40.044375</v>
      </c>
      <c r="L24" s="0" t="n">
        <f aca="false">AVERAGE(K24,K23)*(C24-C23)</f>
        <v>7.43800303354838</v>
      </c>
    </row>
    <row r="25" customFormat="false" ht="14.4" hidden="false" customHeight="false" outlineLevel="0" collapsed="false">
      <c r="B25" s="0" t="n">
        <f aca="false">(D25-D24)/(C25-C24)</f>
        <v>0.390626031877197</v>
      </c>
      <c r="C25" s="0" t="n">
        <f aca="false">I25/$D$9</f>
        <v>2.67419333848297</v>
      </c>
      <c r="D25" s="0" t="n">
        <f aca="false">D24+$D$10*0.05</f>
        <v>0.75</v>
      </c>
      <c r="E25" s="0" t="n">
        <f aca="false">$D$11*D25</f>
        <v>0.75</v>
      </c>
      <c r="F25" s="0" t="n">
        <f aca="false">SQRT(D25/$D$6)</f>
        <v>0.193649167310371</v>
      </c>
      <c r="G25" s="0" t="n">
        <f aca="false">E25*$D$7</f>
        <v>22.5</v>
      </c>
      <c r="H25" s="0" t="n">
        <f aca="false">F25*($D$8+$D$7)</f>
        <v>30.9838667696593</v>
      </c>
      <c r="I25" s="0" t="n">
        <f aca="false">G25+H25</f>
        <v>53.4838667696593</v>
      </c>
      <c r="J25" s="0" t="n">
        <f aca="false">$D$12-E25</f>
        <v>59.25</v>
      </c>
      <c r="K25" s="0" t="n">
        <f aca="false">J25*D25</f>
        <v>44.4375</v>
      </c>
      <c r="L25" s="0" t="n">
        <f aca="false">AVERAGE(K25,K24)*(C25-C24)</f>
        <v>8.11023857594816</v>
      </c>
    </row>
    <row r="26" customFormat="false" ht="14.4" hidden="false" customHeight="false" outlineLevel="0" collapsed="false">
      <c r="B26" s="0" t="n">
        <f aca="false">(D26-D25)/(C26-C25)</f>
        <v>0.398693682924453</v>
      </c>
      <c r="C26" s="0" t="n">
        <f aca="false">I26/$D$9</f>
        <v>2.86230768092719</v>
      </c>
      <c r="D26" s="0" t="n">
        <f aca="false">D25+$D$10*0.05</f>
        <v>0.825</v>
      </c>
      <c r="E26" s="0" t="n">
        <f aca="false">$D$11*D26</f>
        <v>0.825</v>
      </c>
      <c r="F26" s="0" t="n">
        <f aca="false">SQRT(D26/$D$6)</f>
        <v>0.203100960115899</v>
      </c>
      <c r="G26" s="0" t="n">
        <f aca="false">E26*$D$7</f>
        <v>24.75</v>
      </c>
      <c r="H26" s="0" t="n">
        <f aca="false">F26*($D$8+$D$7)</f>
        <v>32.4961536185438</v>
      </c>
      <c r="I26" s="0" t="n">
        <f aca="false">G26+H26</f>
        <v>57.2461536185439</v>
      </c>
      <c r="J26" s="0" t="n">
        <f aca="false">$D$12-E26</f>
        <v>59.175</v>
      </c>
      <c r="K26" s="0" t="n">
        <f aca="false">J26*D26</f>
        <v>48.819375</v>
      </c>
      <c r="L26" s="0" t="n">
        <f aca="false">AVERAGE(K26,K25)*(C26-C25)</f>
        <v>8.77147785951417</v>
      </c>
    </row>
    <row r="27" customFormat="false" ht="14.4" hidden="false" customHeight="false" outlineLevel="0" collapsed="false">
      <c r="B27" s="0" t="n">
        <f aca="false">(D27-D26)/(C27-C26)</f>
        <v>0.405957081504312</v>
      </c>
      <c r="C27" s="0" t="n">
        <f aca="false">I27/$D$9</f>
        <v>3.04705627484771</v>
      </c>
      <c r="D27" s="0" t="n">
        <f aca="false">D26+$D$10*0.05</f>
        <v>0.9</v>
      </c>
      <c r="E27" s="0" t="n">
        <f aca="false">$D$11*D27</f>
        <v>0.9</v>
      </c>
      <c r="F27" s="0" t="n">
        <f aca="false">SQRT(D27/$D$6)</f>
        <v>0.212132034355964</v>
      </c>
      <c r="G27" s="0" t="n">
        <f aca="false">E27*$D$7</f>
        <v>27</v>
      </c>
      <c r="H27" s="0" t="n">
        <f aca="false">F27*($D$8+$D$7)</f>
        <v>33.9411254969543</v>
      </c>
      <c r="I27" s="0" t="n">
        <f aca="false">G27+H27</f>
        <v>60.9411254969543</v>
      </c>
      <c r="J27" s="0" t="n">
        <f aca="false">$D$12-E27</f>
        <v>59.1</v>
      </c>
      <c r="K27" s="0" t="n">
        <f aca="false">J27*D27</f>
        <v>53.19</v>
      </c>
      <c r="L27" s="0" t="n">
        <f aca="false">AVERAGE(K27,K26)*(C27-C26)</f>
        <v>9.42304429898058</v>
      </c>
    </row>
    <row r="28" customFormat="false" ht="14.4" hidden="false" customHeight="false" outlineLevel="0" collapsed="false">
      <c r="B28" s="0" t="n">
        <f aca="false">(D28-D27)/(C28-C27)</f>
        <v>0.41255056166126</v>
      </c>
      <c r="C28" s="0" t="n">
        <f aca="false">I28/$D$9</f>
        <v>3.22885217326557</v>
      </c>
      <c r="D28" s="0" t="n">
        <f aca="false">D27+$D$10*0.05</f>
        <v>0.975</v>
      </c>
      <c r="E28" s="0" t="n">
        <f aca="false">$D$11*D28</f>
        <v>0.975</v>
      </c>
      <c r="F28" s="0" t="n">
        <f aca="false">SQRT(D28/$D$6)</f>
        <v>0.220794021658196</v>
      </c>
      <c r="G28" s="0" t="n">
        <f aca="false">E28*$D$7</f>
        <v>29.25</v>
      </c>
      <c r="H28" s="0" t="n">
        <f aca="false">F28*($D$8+$D$7)</f>
        <v>35.3270434653114</v>
      </c>
      <c r="I28" s="0" t="n">
        <f aca="false">G28+H28</f>
        <v>64.5770434653114</v>
      </c>
      <c r="J28" s="0" t="n">
        <f aca="false">$D$12-E28</f>
        <v>59.025</v>
      </c>
      <c r="K28" s="0" t="n">
        <f aca="false">J28*D28</f>
        <v>57.549375</v>
      </c>
      <c r="L28" s="0" t="n">
        <f aca="false">AVERAGE(K28,K27)*(C28-C27)</f>
        <v>10.0659820841784</v>
      </c>
    </row>
    <row r="29" customFormat="false" ht="14.4" hidden="false" customHeight="false" outlineLevel="0" collapsed="false">
      <c r="B29" s="0" t="n">
        <f aca="false">(D29-D28)/(C29-C28)</f>
        <v>0.418577929030757</v>
      </c>
      <c r="C29" s="0" t="n">
        <f aca="false">I29/$D$9</f>
        <v>3.40803027798234</v>
      </c>
      <c r="D29" s="0" t="n">
        <f aca="false">D28+$D$10*0.05</f>
        <v>1.05</v>
      </c>
      <c r="E29" s="0" t="n">
        <f aca="false">$D$11*D29</f>
        <v>1.05</v>
      </c>
      <c r="F29" s="0" t="n">
        <f aca="false">SQRT(D29/$D$6)</f>
        <v>0.229128784747792</v>
      </c>
      <c r="G29" s="0" t="n">
        <f aca="false">E29*$D$7</f>
        <v>31.5</v>
      </c>
      <c r="H29" s="0" t="n">
        <f aca="false">F29*($D$8+$D$7)</f>
        <v>36.6606055596467</v>
      </c>
      <c r="I29" s="0" t="n">
        <f aca="false">G29+H29</f>
        <v>68.1606055596467</v>
      </c>
      <c r="J29" s="0" t="n">
        <f aca="false">$D$12-E29</f>
        <v>58.95</v>
      </c>
      <c r="K29" s="0" t="n">
        <f aca="false">J29*D29</f>
        <v>61.8975</v>
      </c>
      <c r="L29" s="0" t="n">
        <f aca="false">AVERAGE(K29,K28)*(C29-C28)</f>
        <v>10.7011323384202</v>
      </c>
    </row>
    <row r="30" customFormat="false" ht="14.4" hidden="false" customHeight="false" outlineLevel="0" collapsed="false">
      <c r="B30" s="0" t="n">
        <f aca="false">(D30-D29)/(C30-C29)</f>
        <v>0.424121022185388</v>
      </c>
      <c r="C30" s="0" t="n">
        <f aca="false">I30/$D$9</f>
        <v>3.58486659610103</v>
      </c>
      <c r="D30" s="0" t="n">
        <f aca="false">D29+$D$10*0.05</f>
        <v>1.125</v>
      </c>
      <c r="E30" s="0" t="n">
        <f aca="false">$D$11*D30</f>
        <v>1.125</v>
      </c>
      <c r="F30" s="0" t="n">
        <f aca="false">SQRT(D30/$D$6)</f>
        <v>0.237170824512628</v>
      </c>
      <c r="G30" s="0" t="n">
        <f aca="false">E30*$D$7</f>
        <v>33.75</v>
      </c>
      <c r="H30" s="0" t="n">
        <f aca="false">F30*($D$8+$D$7)</f>
        <v>37.9473319220205</v>
      </c>
      <c r="I30" s="0" t="n">
        <f aca="false">G30+H30</f>
        <v>71.6973319220205</v>
      </c>
      <c r="J30" s="0" t="n">
        <f aca="false">$D$12-E30</f>
        <v>58.875</v>
      </c>
      <c r="K30" s="0" t="n">
        <f aca="false">J30*D30</f>
        <v>66.234375</v>
      </c>
      <c r="L30" s="0" t="n">
        <f aca="false">AVERAGE(K30,K29)*(C30-C29)</f>
        <v>11.3291845043222</v>
      </c>
    </row>
    <row r="31" customFormat="false" ht="14.4" hidden="false" customHeight="false" outlineLevel="0" collapsed="false">
      <c r="B31" s="0" t="n">
        <f aca="false">(D31-D30)/(C31-C30)</f>
        <v>0.429245471200573</v>
      </c>
      <c r="C31" s="0" t="n">
        <f aca="false">I31/$D$9</f>
        <v>3.75959179422654</v>
      </c>
      <c r="D31" s="0" t="n">
        <f aca="false">D30+$D$10*0.05</f>
        <v>1.2</v>
      </c>
      <c r="E31" s="0" t="n">
        <f aca="false">$D$11*D31</f>
        <v>1.2</v>
      </c>
      <c r="F31" s="0" t="n">
        <f aca="false">SQRT(D31/$D$6)</f>
        <v>0.244948974278318</v>
      </c>
      <c r="G31" s="0" t="n">
        <f aca="false">E31*$D$7</f>
        <v>36</v>
      </c>
      <c r="H31" s="0" t="n">
        <f aca="false">F31*($D$8+$D$7)</f>
        <v>39.1918358845308</v>
      </c>
      <c r="I31" s="0" t="n">
        <f aca="false">G31+H31</f>
        <v>75.1918358845308</v>
      </c>
      <c r="J31" s="0" t="n">
        <f aca="false">$D$12-E31</f>
        <v>58.8</v>
      </c>
      <c r="K31" s="0" t="n">
        <f aca="false">J31*D31</f>
        <v>70.56</v>
      </c>
      <c r="L31" s="0" t="n">
        <f aca="false">AVERAGE(K31,K30)*(C31-C30)</f>
        <v>11.9507121371655</v>
      </c>
    </row>
    <row r="32" customFormat="false" ht="14.4" hidden="false" customHeight="false" outlineLevel="0" collapsed="false">
      <c r="B32" s="0" t="n">
        <f aca="false">(D32-D31)/(C32-C31)</f>
        <v>0.434004687508083</v>
      </c>
      <c r="C32" s="0" t="n">
        <f aca="false">I32/$D$9</f>
        <v>3.93240098767241</v>
      </c>
      <c r="D32" s="0" t="n">
        <f aca="false">D31+$D$10*0.05</f>
        <v>1.275</v>
      </c>
      <c r="E32" s="0" t="n">
        <f aca="false">$D$11*D32</f>
        <v>1.275</v>
      </c>
      <c r="F32" s="0" t="n">
        <f aca="false">SQRT(D32/$D$6)</f>
        <v>0.252487623459052</v>
      </c>
      <c r="G32" s="0" t="n">
        <f aca="false">E32*$D$7</f>
        <v>38.25</v>
      </c>
      <c r="H32" s="0" t="n">
        <f aca="false">F32*($D$8+$D$7)</f>
        <v>40.3980197534483</v>
      </c>
      <c r="I32" s="0" t="n">
        <f aca="false">G32+H32</f>
        <v>78.6480197534483</v>
      </c>
      <c r="J32" s="0" t="n">
        <f aca="false">$D$12-E32</f>
        <v>58.725</v>
      </c>
      <c r="K32" s="0" t="n">
        <f aca="false">J32*D32</f>
        <v>74.874375</v>
      </c>
      <c r="L32" s="0" t="n">
        <f aca="false">AVERAGE(K32,K31)*(C32-C31)</f>
        <v>12.5661985215273</v>
      </c>
    </row>
    <row r="33" customFormat="false" ht="14.4" hidden="false" customHeight="false" outlineLevel="0" collapsed="false">
      <c r="B33" s="0" t="n">
        <f aca="false">(D33-D32)/(C33-C32)</f>
        <v>0.438442699348451</v>
      </c>
      <c r="C33" s="0" t="n">
        <f aca="false">I33/$D$9</f>
        <v>4.10346096908265</v>
      </c>
      <c r="D33" s="0" t="n">
        <f aca="false">D32+$D$10*0.05</f>
        <v>1.35</v>
      </c>
      <c r="E33" s="0" t="n">
        <f aca="false">$D$11*D33</f>
        <v>1.35</v>
      </c>
      <c r="F33" s="0" t="n">
        <f aca="false">SQRT(D33/$D$6)</f>
        <v>0.259807621135332</v>
      </c>
      <c r="G33" s="0" t="n">
        <f aca="false">E33*$D$7</f>
        <v>40.5</v>
      </c>
      <c r="H33" s="0" t="n">
        <f aca="false">F33*($D$8+$D$7)</f>
        <v>41.5692193816531</v>
      </c>
      <c r="I33" s="0" t="n">
        <f aca="false">G33+H33</f>
        <v>82.069219381653</v>
      </c>
      <c r="J33" s="0" t="n">
        <f aca="false">$D$12-E33</f>
        <v>58.65</v>
      </c>
      <c r="K33" s="0" t="n">
        <f aca="false">J33*D33</f>
        <v>79.1775</v>
      </c>
      <c r="L33" s="0" t="n">
        <f aca="false">AVERAGE(K33,K32)*(C33-C32)</f>
        <v>13.1760554368561</v>
      </c>
    </row>
    <row r="34" customFormat="false" ht="14.4" hidden="false" customHeight="false" outlineLevel="0" collapsed="false">
      <c r="B34" s="0" t="n">
        <f aca="false">(D34-D33)/(C34-C33)</f>
        <v>0.442596211648892</v>
      </c>
      <c r="C34" s="0" t="n">
        <f aca="false">I34/$D$9</f>
        <v>4.27291565040626</v>
      </c>
      <c r="D34" s="0" t="n">
        <f aca="false">D33+$D$10*0.05</f>
        <v>1.425</v>
      </c>
      <c r="E34" s="0" t="n">
        <f aca="false">$D$11*D34</f>
        <v>1.425</v>
      </c>
      <c r="F34" s="0" t="n">
        <f aca="false">SQRT(D34/$D$6)</f>
        <v>0.266926956300783</v>
      </c>
      <c r="G34" s="0" t="n">
        <f aca="false">E34*$D$7</f>
        <v>42.75</v>
      </c>
      <c r="H34" s="0" t="n">
        <f aca="false">F34*($D$8+$D$7)</f>
        <v>42.7083130081252</v>
      </c>
      <c r="I34" s="0" t="n">
        <f aca="false">G34+H34</f>
        <v>85.4583130081252</v>
      </c>
      <c r="J34" s="0" t="n">
        <f aca="false">$D$12-E34</f>
        <v>58.575</v>
      </c>
      <c r="K34" s="0" t="n">
        <f aca="false">J34*D34</f>
        <v>83.469375</v>
      </c>
      <c r="L34" s="0" t="n">
        <f aca="false">AVERAGE(K34,K33)*(C34-C33)</f>
        <v>13.780637185703</v>
      </c>
    </row>
    <row r="35" customFormat="false" ht="14.4" hidden="false" customHeight="false" outlineLevel="0" collapsed="false">
      <c r="B35" s="0" t="n">
        <f aca="false">(D35-D34)/(C35-C34)</f>
        <v>0.446496131570432</v>
      </c>
      <c r="C35" s="0" t="n">
        <f aca="false">I35/$D$9</f>
        <v>4.44089023002066</v>
      </c>
      <c r="D35" s="0" t="n">
        <f aca="false">D34+$D$10*0.05</f>
        <v>1.5</v>
      </c>
      <c r="E35" s="0" t="n">
        <f aca="false">$D$11*D35</f>
        <v>1.5</v>
      </c>
      <c r="F35" s="0" t="n">
        <f aca="false">SQRT(D35/$D$6)</f>
        <v>0.273861278752583</v>
      </c>
      <c r="G35" s="0" t="n">
        <f aca="false">E35*$D$7</f>
        <v>45</v>
      </c>
      <c r="H35" s="0" t="n">
        <f aca="false">F35*($D$8+$D$7)</f>
        <v>43.8178046004133</v>
      </c>
      <c r="I35" s="0" t="n">
        <f aca="false">G35+H35</f>
        <v>88.8178046004133</v>
      </c>
      <c r="J35" s="0" t="n">
        <f aca="false">$D$12-E35</f>
        <v>58.5</v>
      </c>
      <c r="K35" s="0" t="n">
        <f aca="false">J35*D35</f>
        <v>87.75</v>
      </c>
      <c r="L35" s="0" t="n">
        <f aca="false">AVERAGE(K35,K34)*(C35-C34)</f>
        <v>14.3802512687328</v>
      </c>
    </row>
    <row r="37" customFormat="false" ht="14.4" hidden="false" customHeight="false" outlineLevel="0" collapsed="false">
      <c r="K37" s="0" t="s">
        <v>238</v>
      </c>
      <c r="L37" s="0" t="n">
        <f aca="false">SUM(L16:L35)</f>
        <v>164.735730260689</v>
      </c>
      <c r="M37" s="0" t="s">
        <v>239</v>
      </c>
    </row>
    <row r="38" customFormat="false" ht="14.4" hidden="false" customHeight="false" outlineLevel="0" collapsed="false">
      <c r="K38" s="0" t="s">
        <v>240</v>
      </c>
      <c r="L38" s="0" t="n">
        <f aca="false">L37/(D10*D12)</f>
        <v>1.83039700289655</v>
      </c>
      <c r="M38" s="0" t="s">
        <v>54</v>
      </c>
    </row>
  </sheetData>
  <mergeCells count="1">
    <mergeCell ref="B3:V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E2:I22"/>
  <sheetViews>
    <sheetView showFormulas="false" showGridLines="true" showRowColHeaders="true" showZeros="true" rightToLeft="false" tabSelected="false" showOutlineSymbols="true" defaultGridColor="true" view="normal" topLeftCell="B25" colorId="64" zoomScale="90" zoomScaleNormal="90" zoomScalePageLayoutView="100" workbookViewId="0">
      <selection pane="topLeft" activeCell="H32" activeCellId="0" sqref="H32"/>
    </sheetView>
  </sheetViews>
  <sheetFormatPr defaultRowHeight="14.4" outlineLevelRow="0" outlineLevelCol="0"/>
  <cols>
    <col collapsed="false" customWidth="true" hidden="false" outlineLevel="0" max="4" min="1" style="0" width="8.67"/>
    <col collapsed="false" customWidth="true" hidden="false" outlineLevel="0" max="5" min="5" style="0" width="10.22"/>
    <col collapsed="false" customWidth="true" hidden="false" outlineLevel="0" max="1025" min="6" style="0" width="8.67"/>
  </cols>
  <sheetData>
    <row r="2" customFormat="false" ht="14.4" hidden="false" customHeight="false" outlineLevel="0" collapsed="false">
      <c r="E2" s="0" t="s">
        <v>241</v>
      </c>
      <c r="F2" s="0" t="n">
        <f aca="false">Component_Selection!F15</f>
        <v>56</v>
      </c>
      <c r="G2" s="0" t="s">
        <v>13</v>
      </c>
    </row>
    <row r="3" customFormat="false" ht="14.4" hidden="false" customHeight="false" outlineLevel="0" collapsed="false">
      <c r="E3" s="0" t="s">
        <v>242</v>
      </c>
      <c r="F3" s="0" t="n">
        <f aca="false">Component_Selection!F16</f>
        <v>720</v>
      </c>
      <c r="G3" s="0" t="s">
        <v>15</v>
      </c>
    </row>
    <row r="4" customFormat="false" ht="14.4" hidden="false" customHeight="false" outlineLevel="0" collapsed="false">
      <c r="E4" s="0" t="s">
        <v>243</v>
      </c>
      <c r="F4" s="0" t="n">
        <f aca="false">SOA_Checks!D27</f>
        <v>0.6</v>
      </c>
      <c r="G4" s="0" t="s">
        <v>22</v>
      </c>
      <c r="H4" s="0" t="s">
        <v>244</v>
      </c>
    </row>
    <row r="6" customFormat="false" ht="14.4" hidden="false" customHeight="false" outlineLevel="0" collapsed="false">
      <c r="E6" s="0" t="s">
        <v>197</v>
      </c>
      <c r="F6" s="0" t="s">
        <v>245</v>
      </c>
      <c r="G6" s="0" t="s">
        <v>235</v>
      </c>
      <c r="H6" s="0" t="s">
        <v>246</v>
      </c>
      <c r="I6" s="0" t="s">
        <v>247</v>
      </c>
    </row>
    <row r="7" customFormat="false" ht="14.4" hidden="false" customHeight="false" outlineLevel="0" collapsed="false">
      <c r="E7" s="0" t="n">
        <v>0</v>
      </c>
      <c r="F7" s="0" t="n">
        <v>0</v>
      </c>
      <c r="G7" s="0" t="n">
        <f aca="false">F2</f>
        <v>56</v>
      </c>
      <c r="H7" s="0" t="n">
        <f aca="false">G7*F7</f>
        <v>0</v>
      </c>
      <c r="I7" s="0" t="n">
        <v>0</v>
      </c>
    </row>
    <row r="8" customFormat="false" ht="14.4" hidden="false" customHeight="false" outlineLevel="0" collapsed="false">
      <c r="E8" s="0" t="n">
        <v>10</v>
      </c>
      <c r="F8" s="0" t="n">
        <v>0</v>
      </c>
      <c r="G8" s="0" t="n">
        <f aca="false">G7</f>
        <v>56</v>
      </c>
      <c r="H8" s="0" t="n">
        <f aca="false">G8*F8</f>
        <v>0</v>
      </c>
      <c r="I8" s="0" t="n">
        <v>0</v>
      </c>
    </row>
    <row r="9" customFormat="false" ht="14.4" hidden="false" customHeight="false" outlineLevel="0" collapsed="false">
      <c r="E9" s="0" t="n">
        <f aca="false">E8+0.01</f>
        <v>10.01</v>
      </c>
      <c r="F9" s="0" t="n">
        <f aca="false">$F$4</f>
        <v>0.6</v>
      </c>
      <c r="G9" s="0" t="n">
        <f aca="false">G8</f>
        <v>56</v>
      </c>
      <c r="H9" s="0" t="n">
        <f aca="false">G9*F9</f>
        <v>33.6</v>
      </c>
      <c r="I9" s="0" t="n">
        <f aca="false">H9</f>
        <v>33.6</v>
      </c>
    </row>
    <row r="10" customFormat="false" ht="14.4" hidden="false" customHeight="false" outlineLevel="0" collapsed="false">
      <c r="E10" s="0" t="n">
        <f aca="false">AVERAGE(E9,E12)</f>
        <v>43.61</v>
      </c>
      <c r="F10" s="0" t="n">
        <f aca="false">F9</f>
        <v>0.6</v>
      </c>
      <c r="G10" s="0" t="n">
        <v>30</v>
      </c>
      <c r="H10" s="0" t="n">
        <f aca="false">G10*F10</f>
        <v>18</v>
      </c>
      <c r="I10" s="0" t="n">
        <f aca="false">I9</f>
        <v>33.6</v>
      </c>
    </row>
    <row r="11" customFormat="false" ht="14.4" hidden="false" customHeight="false" outlineLevel="0" collapsed="false">
      <c r="E11" s="0" t="n">
        <f aca="false">E10+0.01</f>
        <v>43.62</v>
      </c>
      <c r="F11" s="0" t="n">
        <f aca="false">F10</f>
        <v>0.6</v>
      </c>
      <c r="G11" s="0" t="n">
        <f aca="false">G10</f>
        <v>30</v>
      </c>
      <c r="H11" s="0" t="n">
        <f aca="false">G11*F11</f>
        <v>18</v>
      </c>
      <c r="I11" s="0" t="n">
        <v>0</v>
      </c>
    </row>
    <row r="12" customFormat="false" ht="14.4" hidden="false" customHeight="false" outlineLevel="0" collapsed="false">
      <c r="E12" s="0" t="n">
        <f aca="false">E9+F3*F2/F12/1000</f>
        <v>77.21</v>
      </c>
      <c r="F12" s="0" t="n">
        <f aca="false">F10</f>
        <v>0.6</v>
      </c>
      <c r="G12" s="0" t="n">
        <v>0</v>
      </c>
      <c r="H12" s="0" t="n">
        <f aca="false">G12*F12</f>
        <v>0</v>
      </c>
      <c r="I12" s="0" t="n">
        <v>0</v>
      </c>
    </row>
    <row r="13" customFormat="false" ht="14.4" hidden="false" customHeight="false" outlineLevel="0" collapsed="false">
      <c r="E13" s="0" t="n">
        <f aca="false">E12+0.01</f>
        <v>77.22</v>
      </c>
      <c r="F13" s="0" t="n">
        <v>0</v>
      </c>
      <c r="G13" s="0" t="n">
        <v>0</v>
      </c>
      <c r="H13" s="0" t="n">
        <f aca="false">G13*F13</f>
        <v>0</v>
      </c>
      <c r="I13" s="0" t="n">
        <v>0</v>
      </c>
    </row>
    <row r="14" customFormat="false" ht="14.4" hidden="false" customHeight="false" outlineLevel="0" collapsed="false">
      <c r="E14" s="0" t="n">
        <f aca="false">E13+10</f>
        <v>87.22</v>
      </c>
      <c r="F14" s="0" t="n">
        <f aca="false">F13</f>
        <v>0</v>
      </c>
      <c r="G14" s="0" t="n">
        <f aca="false">G13</f>
        <v>0</v>
      </c>
      <c r="H14" s="0" t="n">
        <f aca="false">G14*F14</f>
        <v>0</v>
      </c>
      <c r="I14" s="0" t="n">
        <v>0</v>
      </c>
    </row>
    <row r="18" customFormat="false" ht="14.4" hidden="false" customHeight="false" outlineLevel="0" collapsed="false">
      <c r="G18" s="0" t="s">
        <v>235</v>
      </c>
      <c r="H18" s="0" t="s">
        <v>136</v>
      </c>
    </row>
    <row r="19" customFormat="false" ht="14.4" hidden="false" customHeight="false" outlineLevel="0" collapsed="false">
      <c r="G19" s="0" t="n">
        <v>1</v>
      </c>
      <c r="H19" s="95" t="n">
        <f aca="false">SOA_Checks!E10</f>
        <v>41.6666666666667</v>
      </c>
    </row>
    <row r="20" customFormat="false" ht="14.4" hidden="false" customHeight="false" outlineLevel="0" collapsed="false">
      <c r="G20" s="95" t="n">
        <f aca="false">SOA_Checks!E5</f>
        <v>20.2</v>
      </c>
      <c r="H20" s="95" t="n">
        <f aca="false">H19</f>
        <v>41.6666666666667</v>
      </c>
    </row>
    <row r="21" customFormat="false" ht="14.4" hidden="false" customHeight="false" outlineLevel="0" collapsed="false">
      <c r="G21" s="95" t="n">
        <f aca="false">G20+0.01</f>
        <v>20.21</v>
      </c>
      <c r="H21" s="95" t="n">
        <f aca="false">SOA_Checks!E11</f>
        <v>5</v>
      </c>
    </row>
    <row r="22" customFormat="false" ht="14.4" hidden="false" customHeight="false" outlineLevel="0" collapsed="false">
      <c r="G22" s="0" t="n">
        <v>100</v>
      </c>
      <c r="H22" s="95" t="n">
        <f aca="false">H21</f>
        <v>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I2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2" activeCellId="0" sqref="A22"/>
    </sheetView>
  </sheetViews>
  <sheetFormatPr defaultRowHeight="14.4" outlineLevelRow="0" outlineLevelCol="0"/>
  <cols>
    <col collapsed="false" customWidth="true" hidden="false" outlineLevel="0" max="1025" min="1" style="0" width="8.67"/>
  </cols>
  <sheetData>
    <row r="3" customFormat="false" ht="14.4" hidden="false" customHeight="false" outlineLevel="0" collapsed="false">
      <c r="C3" s="0" t="s">
        <v>22</v>
      </c>
      <c r="D3" s="95" t="n">
        <f aca="false">BrownOut!C10/BrownOut!C15</f>
        <v>0.01584</v>
      </c>
      <c r="E3" s="106" t="s">
        <v>248</v>
      </c>
      <c r="F3" s="0" t="s">
        <v>249</v>
      </c>
    </row>
    <row r="4" customFormat="false" ht="14.4" hidden="false" customHeight="false" outlineLevel="0" collapsed="false">
      <c r="C4" s="0" t="s">
        <v>250</v>
      </c>
      <c r="D4" s="95" t="n">
        <f aca="false">BrownOut!C11/BrownOut!C15</f>
        <v>28.8</v>
      </c>
      <c r="E4" s="106" t="s">
        <v>13</v>
      </c>
      <c r="F4" s="0" t="s">
        <v>251</v>
      </c>
    </row>
    <row r="5" customFormat="false" ht="14.4" hidden="false" customHeight="false" outlineLevel="0" collapsed="false">
      <c r="C5" s="0" t="s">
        <v>252</v>
      </c>
      <c r="D5" s="95" t="e">
        <f aca="false">D3*(BrownOut!C6-BrownOut!C17)+D3*D4*LN((BrownOut!C6-D4)/(BrownOut!C17-D4))</f>
        <v>#VALUE!</v>
      </c>
      <c r="E5" s="106" t="s">
        <v>54</v>
      </c>
      <c r="F5" s="0" t="s">
        <v>253</v>
      </c>
    </row>
    <row r="6" customFormat="false" ht="14.4" hidden="false" customHeight="false" outlineLevel="0" collapsed="false">
      <c r="C6" s="0" t="s">
        <v>254</v>
      </c>
      <c r="D6" s="95" t="e">
        <f aca="false">AVERAGE(BrownOut!C17,BrownOut!C6)</f>
        <v>#VALUE!</v>
      </c>
      <c r="E6" s="106" t="s">
        <v>13</v>
      </c>
    </row>
    <row r="7" customFormat="false" ht="14.4" hidden="false" customHeight="false" outlineLevel="0" collapsed="false">
      <c r="C7" s="0" t="s">
        <v>255</v>
      </c>
      <c r="D7" s="95" t="e">
        <f aca="false">D3*(D6-BrownOut!C17)+D3*D4*LN((D6-D4)/(BrownOut!C17-D4))</f>
        <v>#VALUE!</v>
      </c>
      <c r="E7" s="106" t="s">
        <v>54</v>
      </c>
    </row>
    <row r="8" customFormat="false" ht="14.4" hidden="false" customHeight="false" outlineLevel="0" collapsed="false">
      <c r="E8" s="48"/>
    </row>
    <row r="9" customFormat="false" ht="14.4" hidden="false" customHeight="false" outlineLevel="0" collapsed="false">
      <c r="E9" s="48"/>
    </row>
    <row r="10" customFormat="false" ht="14.4" hidden="false" customHeight="false" outlineLevel="0" collapsed="false">
      <c r="C10" s="133" t="s">
        <v>197</v>
      </c>
      <c r="D10" s="62" t="s">
        <v>256</v>
      </c>
      <c r="E10" s="143" t="s">
        <v>257</v>
      </c>
      <c r="F10" s="15" t="s">
        <v>258</v>
      </c>
      <c r="G10" s="15" t="s">
        <v>259</v>
      </c>
    </row>
    <row r="11" customFormat="false" ht="14.4" hidden="false" customHeight="false" outlineLevel="0" collapsed="false">
      <c r="C11" s="0" t="n">
        <v>0</v>
      </c>
      <c r="D11" s="76" t="n">
        <f aca="false">BrownOut!$C$3</f>
        <v>54</v>
      </c>
      <c r="E11" s="48" t="n">
        <f aca="false">BrownOut!$C$3</f>
        <v>54</v>
      </c>
      <c r="F11" s="0" t="n">
        <f aca="false">IF(D11=E11,G11,IF(E11&gt;D11,0,BrownOut!$C$15))</f>
        <v>22.2222222222222</v>
      </c>
      <c r="G11" s="95" t="n">
        <f aca="false">BrownOut!$C$11/E11</f>
        <v>22.2222222222222</v>
      </c>
    </row>
    <row r="12" customFormat="false" ht="14.4" hidden="false" customHeight="false" outlineLevel="0" collapsed="false">
      <c r="C12" s="0" t="n">
        <v>2.5</v>
      </c>
      <c r="D12" s="76" t="n">
        <f aca="false">BrownOut!$C$3</f>
        <v>54</v>
      </c>
      <c r="E12" s="48" t="n">
        <f aca="false">BrownOut!$C$3</f>
        <v>54</v>
      </c>
      <c r="F12" s="0" t="n">
        <f aca="false">IF(D12=E12,G12,IF(E12&gt;D12,0,BrownOut!$C$15))</f>
        <v>22.2222222222222</v>
      </c>
      <c r="G12" s="95" t="n">
        <f aca="false">BrownOut!$C$11/E12</f>
        <v>22.2222222222222</v>
      </c>
    </row>
    <row r="13" customFormat="false" ht="14.4" hidden="false" customHeight="false" outlineLevel="0" collapsed="false">
      <c r="B13" s="144" t="s">
        <v>260</v>
      </c>
      <c r="C13" s="0" t="n">
        <f aca="false">C12+0.01</f>
        <v>2.51</v>
      </c>
      <c r="D13" s="76" t="n">
        <f aca="false">BrownOut!$C$4</f>
        <v>10</v>
      </c>
      <c r="E13" s="48" t="n">
        <f aca="false">BrownOut!$C$3</f>
        <v>54</v>
      </c>
      <c r="F13" s="0" t="n">
        <f aca="false">IF(D13=E13,G13,IF(E13&gt;D13,0,BrownOut!$C$15))</f>
        <v>0</v>
      </c>
      <c r="G13" s="95" t="n">
        <f aca="false">BrownOut!$C$11/E13</f>
        <v>22.2222222222222</v>
      </c>
    </row>
    <row r="14" customFormat="false" ht="14.4" hidden="false" customHeight="false" outlineLevel="0" collapsed="false">
      <c r="C14" s="0" t="n">
        <f aca="false">C13+BrownOut!$C$5/4</f>
        <v>2.76</v>
      </c>
      <c r="D14" s="76" t="n">
        <f aca="false">BrownOut!$C$4</f>
        <v>10</v>
      </c>
      <c r="E14" s="145" t="n">
        <f aca="false">SQRT(E13^2-2*(C14-C13)*BrownOut!$C$11*(1+BrownOut!$C$12)/BrownOut!$C$14)-BrownOut!$C$8*BrownOut!$C$9/BrownOut!$C$14</f>
        <v>44.6969594247549</v>
      </c>
      <c r="F14" s="0" t="n">
        <f aca="false">IF(D14=E14,G14,IF(E14&gt;D14,0,BrownOut!$C$15))</f>
        <v>0</v>
      </c>
      <c r="G14" s="95" t="n">
        <f aca="false">BrownOut!$C$11/E14</f>
        <v>26.8474637971771</v>
      </c>
      <c r="I14" s="0" t="s">
        <v>261</v>
      </c>
    </row>
    <row r="15" customFormat="false" ht="14.4" hidden="false" customHeight="false" outlineLevel="0" collapsed="false">
      <c r="C15" s="0" t="n">
        <f aca="false">C14+BrownOut!$C$5/4</f>
        <v>3.01</v>
      </c>
      <c r="D15" s="76" t="n">
        <f aca="false">BrownOut!$C$4</f>
        <v>10</v>
      </c>
      <c r="E15" s="145" t="n">
        <f aca="false">SQRT(E14^2-2*(C15-C14)*BrownOut!$C$11*(1+BrownOut!$C$12)/BrownOut!$C$14)</f>
        <v>32.8578204334427</v>
      </c>
      <c r="F15" s="0" t="n">
        <f aca="false">IF(D15=E15,G15,IF(E15&gt;D15,0,BrownOut!$C$15))</f>
        <v>0</v>
      </c>
      <c r="G15" s="95" t="n">
        <f aca="false">BrownOut!$C$11/E15</f>
        <v>36.5209859987743</v>
      </c>
    </row>
    <row r="16" customFormat="false" ht="14.4" hidden="false" customHeight="false" outlineLevel="0" collapsed="false">
      <c r="C16" s="0" t="n">
        <f aca="false">C15+BrownOut!$C$5/4</f>
        <v>3.26</v>
      </c>
      <c r="D16" s="76" t="n">
        <f aca="false">BrownOut!$C$4</f>
        <v>10</v>
      </c>
      <c r="E16" s="145" t="n">
        <f aca="false">SQRT(E15^2-2*(C16-C15)*BrownOut!$C$11*(1+BrownOut!$C$12)/BrownOut!$C$14)</f>
        <v>12.7064765161136</v>
      </c>
      <c r="F16" s="0" t="n">
        <f aca="false">IF(D16=E16,G16,IF(E16&gt;D16,0,BrownOut!$C$15))</f>
        <v>0</v>
      </c>
      <c r="G16" s="95" t="n">
        <f aca="false">BrownOut!$C$11/E16</f>
        <v>94.4400281603034</v>
      </c>
    </row>
    <row r="17" customFormat="false" ht="14.4" hidden="false" customHeight="false" outlineLevel="0" collapsed="false">
      <c r="B17" s="144" t="s">
        <v>262</v>
      </c>
      <c r="C17" s="0" t="n">
        <f aca="false">C13+BrownOut!C5</f>
        <v>3.51</v>
      </c>
      <c r="D17" s="76" t="n">
        <f aca="false">BrownOut!$C$4</f>
        <v>10</v>
      </c>
      <c r="E17" s="145" t="e">
        <f aca="false">SQRT(E16^2-2*(C17-C16)*BrownOut!$C$11*(1+BrownOut!$C$12)/BrownOut!$C$14)</f>
        <v>#VALUE!</v>
      </c>
      <c r="F17" s="0" t="e">
        <f aca="false">IF(D17=E17,G17,IF(E17&gt;D17,0,BrownOut!$C$15))</f>
        <v>#VALUE!</v>
      </c>
      <c r="G17" s="95" t="e">
        <f aca="false">BrownOut!$C$11/E17</f>
        <v>#VALUE!</v>
      </c>
    </row>
    <row r="18" customFormat="false" ht="14.4" hidden="false" customHeight="false" outlineLevel="0" collapsed="false">
      <c r="B18" s="144" t="s">
        <v>263</v>
      </c>
      <c r="C18" s="0" t="n">
        <f aca="false">C17+0.001</f>
        <v>3.511</v>
      </c>
      <c r="D18" s="76" t="n">
        <f aca="false">BrownOut!$C$6</f>
        <v>54</v>
      </c>
      <c r="E18" s="145" t="e">
        <f aca="false">SQRT(E17^2-2*(C18-C17)*BrownOut!$C$11*(1+BrownOut!$C$12)/BrownOut!$C$14)</f>
        <v>#VALUE!</v>
      </c>
      <c r="F18" s="0" t="n">
        <v>0</v>
      </c>
      <c r="G18" s="95" t="e">
        <f aca="false">BrownOut!$C$11/E18</f>
        <v>#VALUE!</v>
      </c>
    </row>
    <row r="19" customFormat="false" ht="14.4" hidden="false" customHeight="false" outlineLevel="0" collapsed="false">
      <c r="B19" s="0" t="s">
        <v>264</v>
      </c>
      <c r="C19" s="0" t="n">
        <f aca="false">C18+BrownOut!C13</f>
        <v>3.711</v>
      </c>
      <c r="D19" s="76" t="n">
        <f aca="false">BrownOut!$C$6</f>
        <v>54</v>
      </c>
      <c r="E19" s="145" t="e">
        <f aca="false">SQRT(E18^2-2*(C19-C18)*BrownOut!$C$11*(1+BrownOut!$C$12)/BrownOut!$C$14)</f>
        <v>#VALUE!</v>
      </c>
      <c r="F19" s="0" t="e">
        <f aca="false">IF(D19=E19,G19,IF(E19&gt;D19,0,BrownOut!$C$15))</f>
        <v>#VALUE!</v>
      </c>
      <c r="G19" s="95" t="e">
        <f aca="false">BrownOut!$C$11/E19</f>
        <v>#VALUE!</v>
      </c>
    </row>
    <row r="20" customFormat="false" ht="14.4" hidden="false" customHeight="false" outlineLevel="0" collapsed="false">
      <c r="C20" s="95" t="e">
        <f aca="false">C19+$D$3*(E20-E19)+$D$3*$D$4*LN((E20-$D$4)/(E19-$D$4))</f>
        <v>#VALUE!</v>
      </c>
      <c r="D20" s="76" t="n">
        <f aca="false">BrownOut!$C$6</f>
        <v>54</v>
      </c>
      <c r="E20" s="145" t="e">
        <f aca="false">E19+($E$23-$E$19)*1/4</f>
        <v>#VALUE!</v>
      </c>
      <c r="F20" s="0" t="e">
        <f aca="false">IF(D20=E20,G20,IF(E20&gt;D20,0,BrownOut!$C$15))</f>
        <v>#VALUE!</v>
      </c>
      <c r="G20" s="95" t="e">
        <f aca="false">BrownOut!$C$11/E20</f>
        <v>#VALUE!</v>
      </c>
    </row>
    <row r="21" customFormat="false" ht="14.4" hidden="false" customHeight="false" outlineLevel="0" collapsed="false">
      <c r="C21" s="95" t="e">
        <f aca="false">C20+$D$3*(E21-E20)+$D$3*$D$4*LN((E21-$D$4)/(E20-$D$4))</f>
        <v>#VALUE!</v>
      </c>
      <c r="D21" s="76" t="n">
        <f aca="false">BrownOut!$C$6</f>
        <v>54</v>
      </c>
      <c r="E21" s="145" t="e">
        <f aca="false">E20+($E$23-$E$19)*1/4</f>
        <v>#VALUE!</v>
      </c>
      <c r="F21" s="0" t="e">
        <f aca="false">IF(D21=E21,G21,IF(E21&gt;D21,0,BrownOut!$C$15))</f>
        <v>#VALUE!</v>
      </c>
      <c r="G21" s="95" t="e">
        <f aca="false">BrownOut!$C$11/E21</f>
        <v>#VALUE!</v>
      </c>
    </row>
    <row r="22" customFormat="false" ht="14.4" hidden="false" customHeight="false" outlineLevel="0" collapsed="false">
      <c r="B22" s="144" t="s">
        <v>265</v>
      </c>
      <c r="C22" s="95" t="e">
        <f aca="false">C21+$D$3*(E22-E21)+$D$3*$D$4*LN((E22-$D$4)/(E21-$D$4))</f>
        <v>#VALUE!</v>
      </c>
      <c r="D22" s="76" t="n">
        <f aca="false">BrownOut!$C$6</f>
        <v>54</v>
      </c>
      <c r="E22" s="145" t="e">
        <f aca="false">E21+($E$23-$E$19)*1/4</f>
        <v>#VALUE!</v>
      </c>
      <c r="F22" s="0" t="e">
        <f aca="false">IF(D22=E22,G22,IF(E22&gt;D22,0,BrownOut!$C$15))</f>
        <v>#VALUE!</v>
      </c>
      <c r="G22" s="95" t="e">
        <f aca="false">BrownOut!$C$11/E22</f>
        <v>#VALUE!</v>
      </c>
    </row>
    <row r="23" customFormat="false" ht="14.4" hidden="false" customHeight="false" outlineLevel="0" collapsed="false">
      <c r="C23" s="95" t="e">
        <f aca="false">C22+$D$3*(E23-E22)+$D$3*$D$4*LN((E23-$D$4)/(E22-$D$4))</f>
        <v>#VALUE!</v>
      </c>
      <c r="D23" s="76" t="n">
        <f aca="false">BrownOut!$C$6</f>
        <v>54</v>
      </c>
      <c r="E23" s="48" t="n">
        <f aca="false">D23</f>
        <v>54</v>
      </c>
      <c r="F23" s="0" t="n">
        <f aca="false">IF(D23=E23,G23,IF(E23&gt;D23,0,BrownOut!$C$15))</f>
        <v>22.2222222222222</v>
      </c>
      <c r="G23" s="95" t="n">
        <f aca="false">BrownOut!$C$11/E23</f>
        <v>22.2222222222222</v>
      </c>
    </row>
    <row r="24" customFormat="false" ht="14.4" hidden="false" customHeight="false" outlineLevel="0" collapsed="false">
      <c r="C24" s="95" t="e">
        <f aca="false">C23+2.5</f>
        <v>#VALUE!</v>
      </c>
      <c r="D24" s="76" t="n">
        <f aca="false">BrownOut!$C$6</f>
        <v>54</v>
      </c>
      <c r="E24" s="48" t="n">
        <f aca="false">D24</f>
        <v>54</v>
      </c>
      <c r="F24" s="0" t="n">
        <f aca="false">IF(D24=E24,G24,IF(E24&gt;D24,0,BrownOut!$C$15))</f>
        <v>22.2222222222222</v>
      </c>
      <c r="G24" s="95" t="n">
        <f aca="false">BrownOut!$C$11/E24</f>
        <v>22.2222222222222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LibreOffice/5.3.0.3$Windows_X86_64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en-IN</dc:language>
  <cp:lastModifiedBy/>
  <dcterms:modified xsi:type="dcterms:W3CDTF">2020-09-07T20:45:38Z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