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0"/>
  <workbookPr codeName="ThisWorkbook" defaultThemeVersion="124226"/>
  <mc:AlternateContent xmlns:mc="http://schemas.openxmlformats.org/markup-compatibility/2006">
    <mc:Choice Requires="x15">
      <x15ac:absPath xmlns:x15ac="http://schemas.microsoft.com/office/spreadsheetml/2010/11/ac" url="C:\Users\A0489929\Documents\My Documents\"/>
    </mc:Choice>
  </mc:AlternateContent>
  <xr:revisionPtr revIDLastSave="0" documentId="13_ncr:1_{0A2BD289-9FAB-4E47-BC15-927E5D347240}" xr6:coauthVersionLast="36" xr6:coauthVersionMax="46" xr10:uidLastSave="{00000000-0000-0000-0000-000000000000}"/>
  <workbookProtection workbookPassword="EC53" lockStructure="1"/>
  <bookViews>
    <workbookView xWindow="540" yWindow="270" windowWidth="15500" windowHeight="15570" tabRatio="616" activeTab="1" xr2:uid="{00000000-000D-0000-FFFF-FFFF00000000}"/>
  </bookViews>
  <sheets>
    <sheet name="Instructions" sheetId="14" r:id="rId1"/>
    <sheet name="Design Calculator" sheetId="1" r:id="rId2"/>
    <sheet name="Device Parmaters" sheetId="6" state="hidden" r:id="rId3"/>
    <sheet name="Equations" sheetId="3" state="hidden" r:id="rId4"/>
    <sheet name="Start_up" sheetId="13" state="hidden" r:id="rId5"/>
    <sheet name="FET Data" sheetId="5" state="hidden" r:id="rId6"/>
    <sheet name="SOA" sheetId="7" state="hidden" r:id="rId7"/>
  </sheets>
  <externalReferences>
    <externalReference r:id="rId8"/>
    <externalReference r:id="rId9"/>
  </externalReferences>
  <definedNames>
    <definedName name="C_ISS">'Design Calculator'!$F$68</definedName>
    <definedName name="CLMAX">Equations!$E$19</definedName>
    <definedName name="CLMAX_Threshold">Equations!$E$29</definedName>
    <definedName name="CLMIN">Equations!$E$17</definedName>
    <definedName name="CLMIN_Threshold">Equations!$E$27</definedName>
    <definedName name="CLNOM">Equations!$E$18</definedName>
    <definedName name="CLNOM_Threshold">Equations!$E$28</definedName>
    <definedName name="COUTMAX">'Design Calculator'!$F$31</definedName>
    <definedName name="CTIMER">'Design Calculator'!#REF!</definedName>
    <definedName name="FBmax">'Device Parmaters'!$D$62</definedName>
    <definedName name="FETPDISS">'Design Calculator'!$F$62</definedName>
    <definedName name="FoldBack_max">'Device Parmaters'!$D$16</definedName>
    <definedName name="I_Cout_ss">Equations!#REF!</definedName>
    <definedName name="ILIM" localSheetId="6">[1]ILIM_SOA_considerations!$C$25</definedName>
    <definedName name="ILIM">[2]ILIM_SOA_considerations!$C$25</definedName>
    <definedName name="Ilim_min" localSheetId="6">[1]ILIM_SOA_considerations!$C$61</definedName>
    <definedName name="Ilim_min">[2]ILIM_SOA_considerations!$C$61</definedName>
    <definedName name="ILIM_tgt">'Design Calculator'!$F$38</definedName>
    <definedName name="IOUTMAX">'Design Calculator'!$F$30</definedName>
    <definedName name="MaxFETPW">'Design Calculator'!#REF!</definedName>
    <definedName name="NUMFETS">'Design Calculator'!$F$54</definedName>
    <definedName name="PLIM" localSheetId="6">[1]ILIM_SOA_considerations!$C$40</definedName>
    <definedName name="PLIM">[2]ILIM_SOA_considerations!$C$40</definedName>
    <definedName name="PLIMMAX">'Design Calculator'!#REF!</definedName>
    <definedName name="PLIMMIN">'Design Calculator'!#REF!</definedName>
    <definedName name="PLIMNOM">'Design Calculator'!#REF!</definedName>
    <definedName name="_xlnm.Print_Area" localSheetId="1">'Design Calculator'!$A$1:$M$206</definedName>
    <definedName name="RDIV1">'Design Calculator'!$F$45</definedName>
    <definedName name="RDIV2">'Design Calculator'!#REF!</definedName>
    <definedName name="RDSON">'Design Calculator'!$AN$55</definedName>
    <definedName name="RIMON">'Design Calculator'!$F$45</definedName>
    <definedName name="Rimon_recom">Equations!$E$23</definedName>
    <definedName name="RPROG">'Design Calculator'!$F$67</definedName>
    <definedName name="RPWR">'Design Calculator'!$F$67</definedName>
    <definedName name="Rrflt" localSheetId="6">[1]ILIM_SOA_considerations!$C$46</definedName>
    <definedName name="Rrflt">[2]ILIM_SOA_considerations!$C$46</definedName>
    <definedName name="Rs">'Design Calculator'!$F$41</definedName>
    <definedName name="RsEFF">Equations!$E$16</definedName>
    <definedName name="Rsense" localSheetId="6">[1]ILIM_SOA_considerations!$C$30</definedName>
    <definedName name="Rsense">[2]ILIM_SOA_considerations!$C$30</definedName>
    <definedName name="Rset_recom">Equations!$E$22</definedName>
    <definedName name="RsMAX">'Design Calculator'!$F$40</definedName>
    <definedName name="SOA_av" localSheetId="6">[1]ILIM_SOA_considerations!$C$52</definedName>
    <definedName name="SOA_av">[2]ILIM_SOA_considerations!$C$52</definedName>
    <definedName name="solver_adj" localSheetId="6" hidden="1">SOA!$J$8</definedName>
    <definedName name="solver_cvg" localSheetId="6" hidden="1">0.0001</definedName>
    <definedName name="solver_drv" localSheetId="6" hidden="1">1</definedName>
    <definedName name="solver_eng" localSheetId="6" hidden="1">1</definedName>
    <definedName name="solver_est" localSheetId="6" hidden="1">1</definedName>
    <definedName name="solver_itr" localSheetId="6" hidden="1">2147483647</definedName>
    <definedName name="solver_mip" localSheetId="6" hidden="1">2147483647</definedName>
    <definedName name="solver_mni" localSheetId="6" hidden="1">30</definedName>
    <definedName name="solver_mrt" localSheetId="6" hidden="1">0.075</definedName>
    <definedName name="solver_msl" localSheetId="6" hidden="1">2</definedName>
    <definedName name="solver_neg" localSheetId="6" hidden="1">1</definedName>
    <definedName name="solver_nod" localSheetId="6" hidden="1">2147483647</definedName>
    <definedName name="solver_num" localSheetId="6" hidden="1">0</definedName>
    <definedName name="solver_nwt" localSheetId="6" hidden="1">1</definedName>
    <definedName name="solver_opt" localSheetId="6" hidden="1">SOA!$J$27</definedName>
    <definedName name="solver_pre" localSheetId="6" hidden="1">0.000001</definedName>
    <definedName name="solver_rbv" localSheetId="6" hidden="1">1</definedName>
    <definedName name="solver_rlx" localSheetId="6" hidden="1">2</definedName>
    <definedName name="solver_rsd" localSheetId="6" hidden="1">0</definedName>
    <definedName name="solver_scl" localSheetId="6" hidden="1">1</definedName>
    <definedName name="solver_sho" localSheetId="6" hidden="1">2</definedName>
    <definedName name="solver_ssz" localSheetId="6" hidden="1">100</definedName>
    <definedName name="solver_tim" localSheetId="6" hidden="1">2147483647</definedName>
    <definedName name="solver_tol" localSheetId="6" hidden="1">0.01</definedName>
    <definedName name="solver_typ" localSheetId="6" hidden="1">3</definedName>
    <definedName name="solver_val" localSheetId="6" hidden="1">0</definedName>
    <definedName name="solver_ver" localSheetId="6" hidden="1">3</definedName>
    <definedName name="ss_rate">Equations!$F$61</definedName>
    <definedName name="T_cap_charge" localSheetId="6">[1]ILIM_SOA_considerations!$C$45</definedName>
    <definedName name="T_cap_charge">[2]ILIM_SOA_considerations!$C$45</definedName>
    <definedName name="T_margin" localSheetId="6">[1]ILIM_SOA_considerations!$C$9</definedName>
    <definedName name="T_margin">[2]ILIM_SOA_considerations!$C$9</definedName>
    <definedName name="T_total" localSheetId="6">[1]ILIM_SOA_considerations!$C$47</definedName>
    <definedName name="T_total">[2]ILIM_SOA_considerations!$C$47</definedName>
    <definedName name="TAMB">'Design Calculator'!$F$32</definedName>
    <definedName name="Tfault">'Design Calculator'!$F$80</definedName>
    <definedName name="Tfaultmax">'Design Calculator'!#REF!</definedName>
    <definedName name="ThetaJA">'Design Calculator'!$F$53</definedName>
    <definedName name="TINSERT">'Design Calculator'!$F$101</definedName>
    <definedName name="TINSERTMAX">Equations!#REF!</definedName>
    <definedName name="TINSERTMIN">Equations!#REF!</definedName>
    <definedName name="TJ">'Design Calculator'!$F$63</definedName>
    <definedName name="TJMAX">'Design Calculator'!$AN$56</definedName>
    <definedName name="Tsd" localSheetId="6">[1]ILIM_SOA_considerations!$C$67</definedName>
    <definedName name="Tsd">[2]ILIM_SOA_considerations!$C$67</definedName>
    <definedName name="TSTARTMAX">Equations!#REF!</definedName>
    <definedName name="TSTARTMIN">Equations!#REF!</definedName>
    <definedName name="TSTARTNOM">Equations!#REF!</definedName>
    <definedName name="V_sns_cl_max" localSheetId="6">[1]ILIM_SOA_considerations!$C$15</definedName>
    <definedName name="V_sns_cl_max">[2]ILIM_SOA_considerations!$C$15</definedName>
    <definedName name="Vbus" localSheetId="6">[1]ILIM_SOA_considerations!$C$23</definedName>
    <definedName name="Vbus">[2]ILIM_SOA_considerations!$C$23</definedName>
    <definedName name="VINMAX">'Design Calculator'!$F$29</definedName>
    <definedName name="VINMIN">'Design Calculator'!$F$27</definedName>
    <definedName name="VINNOM">'Design Calculator'!$F$28</definedName>
    <definedName name="Vsns_min">'Device Parmaters'!$D$18</definedName>
    <definedName name="yesno">'Design Calculator'!$AR$15:$AR$16</definedName>
  </definedNames>
  <calcPr calcId="191029"/>
</workbook>
</file>

<file path=xl/calcChain.xml><?xml version="1.0" encoding="utf-8"?>
<calcChain xmlns="http://schemas.openxmlformats.org/spreadsheetml/2006/main">
  <c r="F42" i="3" l="1"/>
  <c r="F108" i="1" l="1"/>
  <c r="AN56" i="1" l="1"/>
  <c r="AN57" i="1"/>
  <c r="AN58" i="1"/>
  <c r="AN59" i="1"/>
  <c r="AN60" i="1"/>
  <c r="AN61" i="1"/>
  <c r="AN55" i="1"/>
  <c r="F62" i="1" s="1"/>
  <c r="F130" i="1" l="1"/>
  <c r="AO77" i="1"/>
  <c r="K126" i="1" l="1"/>
  <c r="F123" i="1"/>
  <c r="F76" i="3" l="1"/>
  <c r="F49" i="1" l="1"/>
  <c r="J29" i="3"/>
  <c r="E25" i="3"/>
  <c r="E23" i="3"/>
  <c r="E22" i="3"/>
  <c r="E15" i="3"/>
  <c r="E16" i="3"/>
  <c r="E28" i="3" l="1"/>
  <c r="F42" i="1"/>
  <c r="F40" i="1"/>
  <c r="E29" i="3" l="1"/>
  <c r="G29" i="3" s="1"/>
  <c r="F38" i="3"/>
  <c r="F64" i="1" s="1"/>
  <c r="E18" i="3"/>
  <c r="F47" i="1" s="1"/>
  <c r="E27" i="3"/>
  <c r="G27" i="3" s="1"/>
  <c r="F77" i="3" l="1"/>
  <c r="F79" i="3"/>
  <c r="F78" i="3"/>
  <c r="F113" i="1" s="1"/>
  <c r="D113" i="1"/>
  <c r="F125" i="1"/>
  <c r="F54" i="3" l="1"/>
  <c r="F39" i="3"/>
  <c r="E17" i="3" l="1"/>
  <c r="F46" i="1" s="1"/>
  <c r="E19" i="3"/>
  <c r="F39" i="1" l="1"/>
  <c r="F87" i="3" l="1"/>
  <c r="F86" i="3"/>
  <c r="E116" i="1" s="1"/>
  <c r="F85" i="3"/>
  <c r="F81" i="3"/>
  <c r="F80" i="3"/>
  <c r="F84" i="3"/>
  <c r="F83" i="3"/>
  <c r="F82" i="3"/>
  <c r="F116" i="1" l="1"/>
  <c r="D116" i="1"/>
  <c r="F115" i="1"/>
  <c r="E115" i="1"/>
  <c r="D115" i="1"/>
  <c r="F114" i="1"/>
  <c r="E114" i="1"/>
  <c r="D114" i="1"/>
  <c r="E113" i="1"/>
  <c r="F72" i="3"/>
  <c r="F74" i="3" s="1"/>
  <c r="F73" i="3" s="1"/>
  <c r="F107" i="1" l="1"/>
  <c r="F106" i="1"/>
  <c r="F122" i="1" l="1"/>
  <c r="F56" i="3"/>
  <c r="F78" i="1" s="1"/>
  <c r="F40" i="3" l="1"/>
  <c r="F41" i="3"/>
  <c r="F44" i="1"/>
  <c r="F4" i="7" l="1"/>
  <c r="Q2" i="13" l="1"/>
  <c r="P2" i="13"/>
  <c r="A112" i="13"/>
  <c r="B112" i="13"/>
  <c r="A111" i="13"/>
  <c r="B111" i="13"/>
  <c r="A110" i="13"/>
  <c r="B110"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8" i="13"/>
  <c r="H2" i="13"/>
  <c r="O155" i="3" l="1"/>
  <c r="E159" i="3"/>
  <c r="F57" i="3"/>
  <c r="F58" i="3" l="1"/>
  <c r="F80" i="1" s="1"/>
  <c r="D2" i="13"/>
  <c r="G2" i="13"/>
  <c r="N65" i="6"/>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X20" i="13"/>
  <c r="X13" i="13"/>
  <c r="X16" i="13" s="1"/>
  <c r="N66" i="6"/>
  <c r="L66" i="6"/>
  <c r="M66" i="6" s="1"/>
  <c r="L65" i="6"/>
  <c r="M65" i="6" s="1"/>
  <c r="C8" i="7" l="1"/>
  <c r="Q65" i="6"/>
  <c r="C112" i="13"/>
  <c r="C111" i="13"/>
  <c r="C110" i="13"/>
  <c r="C78" i="13"/>
  <c r="C60" i="13"/>
  <c r="C109" i="13"/>
  <c r="C73" i="13"/>
  <c r="C41" i="13"/>
  <c r="C93" i="13"/>
  <c r="C89" i="13"/>
  <c r="C100" i="13"/>
  <c r="C74" i="13"/>
  <c r="C70" i="13"/>
  <c r="C13" i="13"/>
  <c r="C9" i="13"/>
  <c r="C99" i="13"/>
  <c r="C98" i="13"/>
  <c r="C96" i="13"/>
  <c r="C88" i="13"/>
  <c r="C77" i="13"/>
  <c r="C72" i="13"/>
  <c r="C56" i="13"/>
  <c r="C52" i="13"/>
  <c r="C47" i="13"/>
  <c r="C45" i="13"/>
  <c r="C37" i="13"/>
  <c r="C30" i="13"/>
  <c r="C21" i="13"/>
  <c r="C17" i="13"/>
  <c r="C108" i="13"/>
  <c r="C107" i="13"/>
  <c r="C105" i="13"/>
  <c r="C97" i="13"/>
  <c r="C94" i="13"/>
  <c r="C82" i="13"/>
  <c r="C80" i="13"/>
  <c r="C67" i="13"/>
  <c r="C65" i="13"/>
  <c r="C63" i="13"/>
  <c r="C61" i="13"/>
  <c r="C57" i="13"/>
  <c r="C34" i="13"/>
  <c r="C18" i="13"/>
  <c r="C103" i="13"/>
  <c r="C101" i="13"/>
  <c r="C90" i="13"/>
  <c r="C86" i="13"/>
  <c r="C85" i="13"/>
  <c r="C81" i="13"/>
  <c r="C69" i="13"/>
  <c r="C66" i="13"/>
  <c r="C64" i="13"/>
  <c r="C55" i="13"/>
  <c r="C53" i="13"/>
  <c r="C49" i="13"/>
  <c r="C44" i="13"/>
  <c r="C42" i="13"/>
  <c r="C38" i="13"/>
  <c r="C33" i="13"/>
  <c r="C29" i="13"/>
  <c r="C25" i="13"/>
  <c r="C48" i="13"/>
  <c r="C26" i="13"/>
  <c r="C22" i="13"/>
  <c r="C14" i="13"/>
  <c r="C10" i="13"/>
  <c r="C106" i="13"/>
  <c r="C92" i="13"/>
  <c r="C75" i="13"/>
  <c r="C104" i="13"/>
  <c r="C91" i="13"/>
  <c r="C84" i="13"/>
  <c r="C102" i="13"/>
  <c r="C83" i="13"/>
  <c r="C76" i="13"/>
  <c r="C95" i="13"/>
  <c r="C87" i="13"/>
  <c r="C79" i="13"/>
  <c r="C71" i="13"/>
  <c r="C59" i="13"/>
  <c r="C51" i="13"/>
  <c r="C68" i="13"/>
  <c r="C58" i="13"/>
  <c r="C50" i="13"/>
  <c r="C62" i="13"/>
  <c r="C54" i="13"/>
  <c r="C46" i="13"/>
  <c r="C43" i="13"/>
  <c r="C40" i="13"/>
  <c r="C39" i="13"/>
  <c r="C36" i="13"/>
  <c r="C35" i="13"/>
  <c r="C32" i="13"/>
  <c r="C31" i="13"/>
  <c r="C28" i="13"/>
  <c r="C27" i="13"/>
  <c r="C24" i="13"/>
  <c r="C23" i="13"/>
  <c r="C20" i="13"/>
  <c r="C19" i="13"/>
  <c r="C16" i="13"/>
  <c r="C15" i="13"/>
  <c r="C12" i="13"/>
  <c r="C11" i="13"/>
  <c r="X22" i="13"/>
  <c r="C8" i="13"/>
  <c r="AN45" i="1"/>
  <c r="C10" i="7" l="1"/>
  <c r="C11" i="7" s="1"/>
  <c r="J8" i="7"/>
  <c r="J10" i="7" s="1"/>
  <c r="F121" i="1"/>
  <c r="AO53" i="1" l="1"/>
  <c r="E4" i="7"/>
  <c r="D4" i="7"/>
  <c r="C4" i="7"/>
  <c r="B4" i="7"/>
  <c r="J18" i="5"/>
  <c r="N14" i="5" s="1"/>
  <c r="J17" i="5"/>
  <c r="N12" i="5" s="1"/>
  <c r="J16" i="5"/>
  <c r="N10" i="5" s="1"/>
  <c r="J15" i="5"/>
  <c r="N6" i="5" s="1"/>
  <c r="G17" i="5"/>
  <c r="G16" i="5"/>
  <c r="G15" i="5"/>
  <c r="G14" i="5"/>
  <c r="I40" i="7" l="1"/>
  <c r="I39" i="7" s="1"/>
  <c r="H40" i="7"/>
  <c r="G40" i="7"/>
  <c r="J40" i="7"/>
  <c r="C13" i="7"/>
  <c r="C12" i="7"/>
  <c r="K4" i="7"/>
  <c r="J4" i="7"/>
  <c r="L4" i="7"/>
  <c r="K6" i="5"/>
  <c r="G13" i="5"/>
  <c r="G12" i="5"/>
  <c r="G11" i="5"/>
  <c r="O10" i="5" s="1"/>
  <c r="G10" i="5"/>
  <c r="O6" i="5" s="1"/>
  <c r="L5" i="5"/>
  <c r="G39" i="7" l="1"/>
  <c r="J39" i="7"/>
  <c r="H39" i="7"/>
  <c r="I12" i="5"/>
  <c r="I17" i="5" s="1"/>
  <c r="O11" i="5" s="1"/>
  <c r="N11" i="5" s="1"/>
  <c r="I13" i="5"/>
  <c r="I18" i="5" s="1"/>
  <c r="O13" i="5" s="1"/>
  <c r="N13" i="5" s="1"/>
  <c r="I10" i="5"/>
  <c r="I15" i="5" s="1"/>
  <c r="O5" i="5" s="1"/>
  <c r="N5" i="5" s="1"/>
  <c r="I11" i="5"/>
  <c r="I16" i="5" s="1"/>
  <c r="O9" i="5" s="1"/>
  <c r="N9" i="5" s="1"/>
  <c r="F124" i="1"/>
  <c r="E158" i="3" l="1"/>
  <c r="F66" i="1" l="1"/>
  <c r="I2" i="13"/>
  <c r="F123" i="3"/>
  <c r="F63" i="1" l="1"/>
  <c r="F47" i="3"/>
  <c r="F69" i="1"/>
  <c r="B2" i="13" s="1"/>
  <c r="D8" i="13" s="1"/>
  <c r="K124" i="1"/>
  <c r="C2" i="13"/>
  <c r="E112" i="13" s="1"/>
  <c r="G112" i="13" s="1"/>
  <c r="F48" i="1"/>
  <c r="E20" i="3"/>
  <c r="F50" i="1" s="1"/>
  <c r="AN53" i="1"/>
  <c r="J9" i="7"/>
  <c r="H13" i="7"/>
  <c r="G12" i="7"/>
  <c r="C9" i="7"/>
  <c r="F128" i="3" l="1"/>
  <c r="F144" i="3" s="1"/>
  <c r="G144" i="3" s="1"/>
  <c r="K125" i="1"/>
  <c r="C24" i="7"/>
  <c r="D112" i="13"/>
  <c r="F48" i="3"/>
  <c r="F46" i="3"/>
  <c r="L112" i="13"/>
  <c r="E110" i="13"/>
  <c r="G110" i="13" s="1"/>
  <c r="E109" i="13"/>
  <c r="G109" i="13" s="1"/>
  <c r="E111" i="13"/>
  <c r="G111" i="13" s="1"/>
  <c r="D21" i="13"/>
  <c r="E21" i="13" s="1"/>
  <c r="G21" i="13" s="1"/>
  <c r="D110" i="13"/>
  <c r="D111" i="13"/>
  <c r="D64" i="13"/>
  <c r="D109" i="13"/>
  <c r="D39" i="13"/>
  <c r="D45" i="13"/>
  <c r="E45" i="13" s="1"/>
  <c r="G45" i="13" s="1"/>
  <c r="D106" i="13"/>
  <c r="D73" i="13"/>
  <c r="D13" i="13"/>
  <c r="E13" i="13" s="1"/>
  <c r="G13" i="13" s="1"/>
  <c r="D38" i="13"/>
  <c r="D75" i="13"/>
  <c r="D43" i="13"/>
  <c r="D15" i="13"/>
  <c r="D55" i="13"/>
  <c r="D32" i="13"/>
  <c r="D63" i="13"/>
  <c r="D71" i="13"/>
  <c r="D90" i="13"/>
  <c r="D22" i="13"/>
  <c r="D105" i="13"/>
  <c r="D49" i="13"/>
  <c r="D31" i="13"/>
  <c r="D80" i="13"/>
  <c r="D35" i="13"/>
  <c r="E35" i="13" s="1"/>
  <c r="G35" i="13" s="1"/>
  <c r="D107" i="13"/>
  <c r="D58" i="13"/>
  <c r="D69" i="13"/>
  <c r="D10" i="13"/>
  <c r="D101" i="13"/>
  <c r="D42" i="13"/>
  <c r="D23" i="13"/>
  <c r="D51" i="13"/>
  <c r="D9" i="13"/>
  <c r="D84" i="13"/>
  <c r="D86" i="13"/>
  <c r="D18" i="13"/>
  <c r="D50" i="13"/>
  <c r="D57" i="13"/>
  <c r="D79" i="13"/>
  <c r="D11" i="13"/>
  <c r="D28" i="13"/>
  <c r="D24" i="13"/>
  <c r="D56" i="13"/>
  <c r="D89" i="13"/>
  <c r="D16" i="13"/>
  <c r="D92" i="13"/>
  <c r="D46" i="13"/>
  <c r="D97" i="13"/>
  <c r="D108" i="13"/>
  <c r="D102" i="13"/>
  <c r="D53" i="13"/>
  <c r="D100" i="13"/>
  <c r="D67" i="13"/>
  <c r="D41" i="13"/>
  <c r="D91" i="13"/>
  <c r="D26" i="13"/>
  <c r="D93" i="13"/>
  <c r="D66" i="13"/>
  <c r="D33" i="13"/>
  <c r="D27" i="13"/>
  <c r="D20" i="13"/>
  <c r="D19" i="13"/>
  <c r="D68" i="13"/>
  <c r="D104" i="13"/>
  <c r="D99" i="13"/>
  <c r="D40" i="13"/>
  <c r="D59" i="13"/>
  <c r="D36" i="13"/>
  <c r="D98" i="13"/>
  <c r="D85" i="13"/>
  <c r="D25" i="13"/>
  <c r="D94" i="13"/>
  <c r="D65" i="13"/>
  <c r="D29" i="13"/>
  <c r="D74" i="13"/>
  <c r="D17" i="13"/>
  <c r="D83" i="13"/>
  <c r="D61" i="13"/>
  <c r="D30" i="13"/>
  <c r="D62" i="13"/>
  <c r="D88" i="13"/>
  <c r="D96" i="13"/>
  <c r="D54" i="13"/>
  <c r="D81" i="13"/>
  <c r="D12" i="13"/>
  <c r="D48" i="13"/>
  <c r="D72" i="13"/>
  <c r="D76" i="13"/>
  <c r="D47" i="13"/>
  <c r="D103" i="13"/>
  <c r="D78" i="13"/>
  <c r="D77" i="13"/>
  <c r="D37" i="13"/>
  <c r="D82" i="13"/>
  <c r="D60" i="13"/>
  <c r="D34" i="13"/>
  <c r="D95" i="13"/>
  <c r="D52" i="13"/>
  <c r="D14" i="13"/>
  <c r="D87" i="13"/>
  <c r="D70" i="13"/>
  <c r="D44" i="13"/>
  <c r="H12" i="7"/>
  <c r="G13" i="7"/>
  <c r="G18" i="7" s="1"/>
  <c r="G17" i="7" s="1"/>
  <c r="F152" i="3" l="1"/>
  <c r="B152" i="3" s="1"/>
  <c r="F139" i="3"/>
  <c r="B139" i="3" s="1"/>
  <c r="F147" i="3"/>
  <c r="B147" i="3" s="1"/>
  <c r="E144" i="3"/>
  <c r="F138" i="3"/>
  <c r="G138" i="3" s="1"/>
  <c r="F153" i="3"/>
  <c r="G153" i="3" s="1"/>
  <c r="F149" i="3"/>
  <c r="E149" i="3" s="1"/>
  <c r="B144" i="3"/>
  <c r="F141" i="3"/>
  <c r="B141" i="3" s="1"/>
  <c r="F148" i="3"/>
  <c r="E148" i="3" s="1"/>
  <c r="F150" i="3"/>
  <c r="E150" i="3" s="1"/>
  <c r="F143" i="3"/>
  <c r="B143" i="3" s="1"/>
  <c r="F145" i="3"/>
  <c r="B145" i="3" s="1"/>
  <c r="F146" i="3"/>
  <c r="E146" i="3" s="1"/>
  <c r="F142" i="3"/>
  <c r="E142" i="3" s="1"/>
  <c r="F140" i="3"/>
  <c r="G140" i="3" s="1"/>
  <c r="F151" i="3"/>
  <c r="E151" i="3" s="1"/>
  <c r="F137" i="3"/>
  <c r="E137" i="3" s="1"/>
  <c r="F127" i="3"/>
  <c r="F129" i="3"/>
  <c r="L110" i="13"/>
  <c r="L111" i="13"/>
  <c r="L109" i="13"/>
  <c r="L13" i="13"/>
  <c r="L35" i="13"/>
  <c r="L45" i="13"/>
  <c r="L21" i="13"/>
  <c r="E87" i="13"/>
  <c r="G87" i="13" s="1"/>
  <c r="E34" i="13"/>
  <c r="G34" i="13" s="1"/>
  <c r="E12" i="13"/>
  <c r="G12" i="13" s="1"/>
  <c r="E96" i="13"/>
  <c r="G96" i="13" s="1"/>
  <c r="E17" i="13"/>
  <c r="G17" i="13" s="1"/>
  <c r="E36" i="13"/>
  <c r="G36" i="13" s="1"/>
  <c r="E27" i="13"/>
  <c r="G27" i="13" s="1"/>
  <c r="E100" i="13"/>
  <c r="G100" i="13" s="1"/>
  <c r="E89" i="13"/>
  <c r="G89" i="13" s="1"/>
  <c r="E9" i="13"/>
  <c r="G9" i="13" s="1"/>
  <c r="E107" i="13"/>
  <c r="G107" i="13" s="1"/>
  <c r="E90" i="13"/>
  <c r="G90" i="13" s="1"/>
  <c r="E38" i="13"/>
  <c r="G38" i="13" s="1"/>
  <c r="E44" i="13"/>
  <c r="G44" i="13" s="1"/>
  <c r="E52" i="13"/>
  <c r="G52" i="13" s="1"/>
  <c r="E82" i="13"/>
  <c r="G82" i="13" s="1"/>
  <c r="E78" i="13"/>
  <c r="G78" i="13" s="1"/>
  <c r="E72" i="13"/>
  <c r="G72" i="13" s="1"/>
  <c r="E81" i="13"/>
  <c r="G81" i="13" s="1"/>
  <c r="E62" i="13"/>
  <c r="G62" i="13" s="1"/>
  <c r="E61" i="13"/>
  <c r="G61" i="13" s="1"/>
  <c r="E29" i="13"/>
  <c r="G29" i="13" s="1"/>
  <c r="E85" i="13"/>
  <c r="G85" i="13" s="1"/>
  <c r="E40" i="13"/>
  <c r="G40" i="13" s="1"/>
  <c r="E19" i="13"/>
  <c r="G19" i="13" s="1"/>
  <c r="E66" i="13"/>
  <c r="G66" i="13" s="1"/>
  <c r="E41" i="13"/>
  <c r="G41" i="13" s="1"/>
  <c r="E102" i="13"/>
  <c r="G102" i="13" s="1"/>
  <c r="E92" i="13"/>
  <c r="G92" i="13" s="1"/>
  <c r="E24" i="13"/>
  <c r="G24" i="13" s="1"/>
  <c r="E79" i="13"/>
  <c r="G79" i="13" s="1"/>
  <c r="E86" i="13"/>
  <c r="G86" i="13" s="1"/>
  <c r="E23" i="13"/>
  <c r="G23" i="13" s="1"/>
  <c r="E69" i="13"/>
  <c r="G69" i="13" s="1"/>
  <c r="E80" i="13"/>
  <c r="G80" i="13" s="1"/>
  <c r="E105" i="13"/>
  <c r="G105" i="13" s="1"/>
  <c r="E63" i="13"/>
  <c r="G63" i="13" s="1"/>
  <c r="E43" i="13"/>
  <c r="G43" i="13" s="1"/>
  <c r="E73" i="13"/>
  <c r="G73" i="13" s="1"/>
  <c r="E106" i="13"/>
  <c r="G106" i="13" s="1"/>
  <c r="E70" i="13"/>
  <c r="G70" i="13" s="1"/>
  <c r="E95" i="13"/>
  <c r="G95" i="13" s="1"/>
  <c r="E103" i="13"/>
  <c r="G103" i="13" s="1"/>
  <c r="E48" i="13"/>
  <c r="G48" i="13" s="1"/>
  <c r="E54" i="13"/>
  <c r="G54" i="13" s="1"/>
  <c r="E8" i="13"/>
  <c r="G8" i="13" s="1"/>
  <c r="E83" i="13"/>
  <c r="G83" i="13" s="1"/>
  <c r="E65" i="13"/>
  <c r="G65" i="13" s="1"/>
  <c r="E98" i="13"/>
  <c r="G98" i="13" s="1"/>
  <c r="E99" i="13"/>
  <c r="G99" i="13" s="1"/>
  <c r="E20" i="13"/>
  <c r="G20" i="13" s="1"/>
  <c r="E93" i="13"/>
  <c r="G93" i="13" s="1"/>
  <c r="E67" i="13"/>
  <c r="G67" i="13" s="1"/>
  <c r="E108" i="13"/>
  <c r="G108" i="13" s="1"/>
  <c r="E16" i="13"/>
  <c r="G16" i="13" s="1"/>
  <c r="E28" i="13"/>
  <c r="G28" i="13" s="1"/>
  <c r="E57" i="13"/>
  <c r="G57" i="13" s="1"/>
  <c r="E84" i="13"/>
  <c r="G84" i="13" s="1"/>
  <c r="E42" i="13"/>
  <c r="G42" i="13" s="1"/>
  <c r="E58" i="13"/>
  <c r="G58" i="13" s="1"/>
  <c r="E31" i="13"/>
  <c r="G31" i="13" s="1"/>
  <c r="E22" i="13"/>
  <c r="G22" i="13" s="1"/>
  <c r="E32" i="13"/>
  <c r="G32" i="13" s="1"/>
  <c r="E75" i="13"/>
  <c r="G75" i="13" s="1"/>
  <c r="E64" i="13"/>
  <c r="G64" i="13" s="1"/>
  <c r="E37" i="13"/>
  <c r="G37" i="13" s="1"/>
  <c r="E47" i="13"/>
  <c r="G47" i="13" s="1"/>
  <c r="E94" i="13"/>
  <c r="G94" i="13" s="1"/>
  <c r="E104" i="13"/>
  <c r="G104" i="13" s="1"/>
  <c r="E26" i="13"/>
  <c r="G26" i="13" s="1"/>
  <c r="E97" i="13"/>
  <c r="G97" i="13" s="1"/>
  <c r="E11" i="13"/>
  <c r="G11" i="13" s="1"/>
  <c r="E50" i="13"/>
  <c r="G50" i="13" s="1"/>
  <c r="E101" i="13"/>
  <c r="G101" i="13" s="1"/>
  <c r="E55" i="13"/>
  <c r="G55" i="13" s="1"/>
  <c r="E39" i="13"/>
  <c r="G39" i="13" s="1"/>
  <c r="E14" i="13"/>
  <c r="G14" i="13" s="1"/>
  <c r="E60" i="13"/>
  <c r="G60" i="13" s="1"/>
  <c r="E77" i="13"/>
  <c r="G77" i="13" s="1"/>
  <c r="E76" i="13"/>
  <c r="G76" i="13" s="1"/>
  <c r="E88" i="13"/>
  <c r="G88" i="13" s="1"/>
  <c r="E30" i="13"/>
  <c r="G30" i="13" s="1"/>
  <c r="E74" i="13"/>
  <c r="G74" i="13" s="1"/>
  <c r="E25" i="13"/>
  <c r="G25" i="13" s="1"/>
  <c r="E59" i="13"/>
  <c r="G59" i="13" s="1"/>
  <c r="E68" i="13"/>
  <c r="G68" i="13" s="1"/>
  <c r="E33" i="13"/>
  <c r="G33" i="13" s="1"/>
  <c r="E91" i="13"/>
  <c r="G91" i="13" s="1"/>
  <c r="E53" i="13"/>
  <c r="G53" i="13" s="1"/>
  <c r="E46" i="13"/>
  <c r="G46" i="13" s="1"/>
  <c r="E56" i="13"/>
  <c r="G56" i="13" s="1"/>
  <c r="E18" i="13"/>
  <c r="G18" i="13" s="1"/>
  <c r="E51" i="13"/>
  <c r="G51" i="13" s="1"/>
  <c r="E10" i="13"/>
  <c r="G10" i="13" s="1"/>
  <c r="E49" i="13"/>
  <c r="G49" i="13" s="1"/>
  <c r="E71" i="13"/>
  <c r="G71" i="13" s="1"/>
  <c r="E15" i="13"/>
  <c r="G15" i="13" s="1"/>
  <c r="H18" i="7"/>
  <c r="H17" i="7" s="1"/>
  <c r="G38" i="5"/>
  <c r="G152" i="3" l="1"/>
  <c r="E152" i="3"/>
  <c r="E139" i="3"/>
  <c r="G139" i="3"/>
  <c r="G147" i="3"/>
  <c r="E143" i="3"/>
  <c r="E147" i="3"/>
  <c r="E153" i="3"/>
  <c r="G143" i="3"/>
  <c r="E140" i="3"/>
  <c r="G148" i="3"/>
  <c r="G149" i="3"/>
  <c r="B150" i="3"/>
  <c r="B149" i="3"/>
  <c r="E138" i="3"/>
  <c r="B148" i="3"/>
  <c r="B153" i="3"/>
  <c r="B138" i="3"/>
  <c r="B137" i="3"/>
  <c r="E141" i="3"/>
  <c r="G141" i="3"/>
  <c r="G150" i="3"/>
  <c r="E145" i="3"/>
  <c r="B142" i="3"/>
  <c r="G137" i="3"/>
  <c r="B146" i="3"/>
  <c r="G145" i="3"/>
  <c r="G146" i="3"/>
  <c r="G142" i="3"/>
  <c r="B140" i="3"/>
  <c r="G151" i="3"/>
  <c r="B151" i="3"/>
  <c r="L49" i="13"/>
  <c r="L33" i="13"/>
  <c r="L77" i="13"/>
  <c r="L97" i="13"/>
  <c r="L32" i="13"/>
  <c r="L16" i="13"/>
  <c r="L103" i="13"/>
  <c r="L15" i="13"/>
  <c r="L51" i="13"/>
  <c r="L53" i="13"/>
  <c r="L59" i="13"/>
  <c r="L88" i="13"/>
  <c r="L14" i="13"/>
  <c r="L50" i="13"/>
  <c r="L104" i="13"/>
  <c r="L64" i="13"/>
  <c r="L31" i="13"/>
  <c r="L57" i="13"/>
  <c r="L67" i="13"/>
  <c r="L98" i="13"/>
  <c r="L54" i="13"/>
  <c r="L70" i="13"/>
  <c r="L43" i="13"/>
  <c r="L69" i="13"/>
  <c r="L24" i="13"/>
  <c r="L66" i="13"/>
  <c r="L29" i="13"/>
  <c r="L72" i="13"/>
  <c r="L44" i="13"/>
  <c r="L9" i="13"/>
  <c r="L36" i="13"/>
  <c r="L34" i="13"/>
  <c r="L71" i="13"/>
  <c r="L18" i="13"/>
  <c r="L91" i="13"/>
  <c r="L25" i="13"/>
  <c r="L76" i="13"/>
  <c r="L39" i="13"/>
  <c r="L11" i="13"/>
  <c r="L94" i="13"/>
  <c r="L75" i="13"/>
  <c r="L58" i="13"/>
  <c r="L28" i="13"/>
  <c r="L93" i="13"/>
  <c r="L65" i="13"/>
  <c r="L48" i="13"/>
  <c r="L63" i="13"/>
  <c r="L23" i="13"/>
  <c r="L92" i="13"/>
  <c r="L19" i="13"/>
  <c r="L61" i="13"/>
  <c r="L78" i="13"/>
  <c r="L38" i="13"/>
  <c r="L89" i="13"/>
  <c r="L17" i="13"/>
  <c r="L87" i="13"/>
  <c r="L56" i="13"/>
  <c r="L74" i="13"/>
  <c r="L55" i="13"/>
  <c r="L47" i="13"/>
  <c r="L42" i="13"/>
  <c r="L20" i="13"/>
  <c r="L83" i="13"/>
  <c r="L106" i="13"/>
  <c r="L105" i="13"/>
  <c r="L86" i="13"/>
  <c r="L102" i="13"/>
  <c r="L40" i="13"/>
  <c r="L62" i="13"/>
  <c r="L82" i="13"/>
  <c r="L90" i="13"/>
  <c r="L100" i="13"/>
  <c r="L96" i="13"/>
  <c r="L10" i="13"/>
  <c r="L46" i="13"/>
  <c r="L68" i="13"/>
  <c r="L30" i="13"/>
  <c r="L60" i="13"/>
  <c r="L101" i="13"/>
  <c r="L26" i="13"/>
  <c r="L37" i="13"/>
  <c r="L22" i="13"/>
  <c r="L84" i="13"/>
  <c r="L108" i="13"/>
  <c r="L99" i="13"/>
  <c r="L8" i="13"/>
  <c r="L95" i="13"/>
  <c r="L73" i="13"/>
  <c r="L80" i="13"/>
  <c r="L79" i="13"/>
  <c r="L41" i="13"/>
  <c r="L85" i="13"/>
  <c r="L81" i="13"/>
  <c r="L52" i="13"/>
  <c r="L107" i="13"/>
  <c r="L27" i="13"/>
  <c r="L12" i="13"/>
  <c r="F36" i="3"/>
  <c r="F35" i="3"/>
  <c r="F34" i="3"/>
  <c r="F33" i="3"/>
  <c r="G72" i="1" l="1"/>
  <c r="F96" i="3" l="1"/>
  <c r="F95" i="3"/>
  <c r="O160" i="3"/>
  <c r="H35" i="3" l="1"/>
  <c r="H33" i="3"/>
  <c r="H36" i="3"/>
  <c r="H34" i="3"/>
  <c r="F97" i="3"/>
  <c r="O159" i="3"/>
  <c r="O156" i="3"/>
  <c r="O158" i="3"/>
  <c r="O157" i="3"/>
  <c r="F121" i="3"/>
  <c r="U156" i="3" s="1"/>
  <c r="F120" i="3"/>
  <c r="F119" i="3"/>
  <c r="F125" i="3"/>
  <c r="F128" i="1"/>
  <c r="F127" i="1"/>
  <c r="F126" i="1"/>
  <c r="K130" i="1" l="1"/>
  <c r="K129" i="1"/>
  <c r="K127" i="1"/>
  <c r="K128" i="1"/>
  <c r="F124" i="3"/>
  <c r="T152" i="3"/>
  <c r="T153" i="3"/>
  <c r="T154" i="3"/>
  <c r="T155" i="3"/>
  <c r="T156" i="3"/>
  <c r="S152" i="3"/>
  <c r="U152" i="3"/>
  <c r="S153" i="3"/>
  <c r="U153" i="3"/>
  <c r="S154" i="3"/>
  <c r="U154" i="3"/>
  <c r="S155" i="3"/>
  <c r="U155" i="3"/>
  <c r="S156" i="3"/>
  <c r="K137" i="3" l="1"/>
  <c r="T137" i="3" s="1"/>
  <c r="K139" i="3"/>
  <c r="T139" i="3" s="1"/>
  <c r="K141" i="3"/>
  <c r="T141" i="3" s="1"/>
  <c r="K143" i="3"/>
  <c r="T143" i="3" s="1"/>
  <c r="K145" i="3"/>
  <c r="T145" i="3" s="1"/>
  <c r="K147" i="3"/>
  <c r="T147" i="3" s="1"/>
  <c r="K149" i="3"/>
  <c r="T149" i="3" s="1"/>
  <c r="K151" i="3"/>
  <c r="T151" i="3" s="1"/>
  <c r="K153" i="3"/>
  <c r="K138" i="3"/>
  <c r="T138" i="3" s="1"/>
  <c r="K140" i="3"/>
  <c r="T140" i="3" s="1"/>
  <c r="K142" i="3"/>
  <c r="T142" i="3" s="1"/>
  <c r="K144" i="3"/>
  <c r="T144" i="3" s="1"/>
  <c r="K146" i="3"/>
  <c r="T146" i="3" s="1"/>
  <c r="K148" i="3"/>
  <c r="T148" i="3" s="1"/>
  <c r="K150" i="3"/>
  <c r="T150" i="3" s="1"/>
  <c r="K152" i="3"/>
  <c r="L143" i="3" l="1"/>
  <c r="U143" i="3" s="1"/>
  <c r="L147" i="3"/>
  <c r="U147" i="3" s="1"/>
  <c r="L151" i="3"/>
  <c r="U151" i="3" s="1"/>
  <c r="L144" i="3"/>
  <c r="U144" i="3" s="1"/>
  <c r="L148" i="3"/>
  <c r="U148" i="3" s="1"/>
  <c r="L152" i="3"/>
  <c r="L141" i="3"/>
  <c r="U141" i="3" s="1"/>
  <c r="L145" i="3"/>
  <c r="U145" i="3" s="1"/>
  <c r="L149" i="3"/>
  <c r="U149" i="3" s="1"/>
  <c r="L138" i="3"/>
  <c r="U138" i="3" s="1"/>
  <c r="L142" i="3"/>
  <c r="U142" i="3" s="1"/>
  <c r="J137" i="3"/>
  <c r="S137" i="3" s="1"/>
  <c r="J145" i="3"/>
  <c r="S145" i="3" s="1"/>
  <c r="J153" i="3"/>
  <c r="J142" i="3"/>
  <c r="S142" i="3" s="1"/>
  <c r="J150" i="3"/>
  <c r="S150" i="3" s="1"/>
  <c r="J139" i="3"/>
  <c r="S139" i="3" s="1"/>
  <c r="J143" i="3"/>
  <c r="S143" i="3" s="1"/>
  <c r="J151" i="3"/>
  <c r="S151" i="3" s="1"/>
  <c r="J144" i="3"/>
  <c r="S144" i="3" s="1"/>
  <c r="J152" i="3"/>
  <c r="J141" i="3"/>
  <c r="S141" i="3" s="1"/>
  <c r="L137" i="3"/>
  <c r="U137" i="3" s="1"/>
  <c r="L153" i="3"/>
  <c r="J140" i="3"/>
  <c r="S140" i="3" s="1"/>
  <c r="L146" i="3"/>
  <c r="U146" i="3" s="1"/>
  <c r="L150" i="3"/>
  <c r="U150" i="3" s="1"/>
  <c r="L139" i="3"/>
  <c r="U139" i="3" s="1"/>
  <c r="L140" i="3"/>
  <c r="U140" i="3" s="1"/>
  <c r="J138" i="3"/>
  <c r="S138" i="3" s="1"/>
  <c r="J148" i="3"/>
  <c r="S148" i="3" s="1"/>
  <c r="J147" i="3"/>
  <c r="S147" i="3" s="1"/>
  <c r="J146" i="3"/>
  <c r="S146" i="3" s="1"/>
  <c r="J149" i="3"/>
  <c r="S149" i="3" s="1"/>
  <c r="C18" i="7" l="1"/>
  <c r="C17" i="7" s="1"/>
  <c r="C19" i="7" s="1"/>
  <c r="C21" i="7" s="1"/>
  <c r="C25" i="7" s="1"/>
  <c r="X137" i="3" l="1"/>
  <c r="F59" i="3"/>
  <c r="F81" i="1" s="1"/>
  <c r="F43" i="5"/>
  <c r="O150" i="3" s="1"/>
  <c r="F41" i="5"/>
  <c r="O141" i="3" s="1"/>
  <c r="F42" i="5"/>
  <c r="O145" i="3" s="1"/>
  <c r="O153" i="3" l="1"/>
  <c r="O151" i="3"/>
  <c r="O152" i="3"/>
  <c r="O154" i="3"/>
  <c r="O147" i="3"/>
  <c r="O146" i="3"/>
  <c r="O148" i="3"/>
  <c r="O149" i="3"/>
  <c r="O143" i="3"/>
  <c r="O142" i="3"/>
  <c r="O144" i="3"/>
  <c r="V153" i="3"/>
  <c r="V155" i="3"/>
  <c r="V149" i="3"/>
  <c r="V156" i="3"/>
  <c r="V142" i="3"/>
  <c r="V154" i="3"/>
  <c r="V147" i="3"/>
  <c r="V141" i="3"/>
  <c r="V148" i="3"/>
  <c r="V144" i="3"/>
  <c r="V138" i="3"/>
  <c r="V150" i="3"/>
  <c r="V152" i="3"/>
  <c r="V140" i="3"/>
  <c r="V143" i="3"/>
  <c r="V139" i="3"/>
  <c r="V151" i="3"/>
  <c r="V145" i="3"/>
  <c r="V137" i="3"/>
  <c r="V146" i="3"/>
  <c r="H42" i="13" l="1"/>
  <c r="K42" i="13" s="1"/>
  <c r="N84" i="13"/>
  <c r="N49" i="13"/>
  <c r="N111" i="13"/>
  <c r="H110" i="13"/>
  <c r="H76" i="13"/>
  <c r="I76" i="13" s="1"/>
  <c r="M76" i="13" s="1"/>
  <c r="H91" i="13"/>
  <c r="H28" i="13"/>
  <c r="H79" i="13"/>
  <c r="N89" i="13"/>
  <c r="N29" i="13"/>
  <c r="N10" i="13"/>
  <c r="N66" i="13"/>
  <c r="H24" i="13"/>
  <c r="N38" i="13"/>
  <c r="N60" i="13"/>
  <c r="N71" i="13"/>
  <c r="N20" i="13"/>
  <c r="H58" i="13"/>
  <c r="H44" i="13"/>
  <c r="I44" i="13" s="1"/>
  <c r="M44" i="13" s="1"/>
  <c r="N47" i="13"/>
  <c r="H36" i="13"/>
  <c r="K36" i="13" s="1"/>
  <c r="H54" i="13"/>
  <c r="N85" i="13"/>
  <c r="N103" i="13"/>
  <c r="N101" i="13"/>
  <c r="H96" i="13"/>
  <c r="N68" i="13"/>
  <c r="H45" i="13"/>
  <c r="N13" i="13"/>
  <c r="H21" i="13"/>
  <c r="N27" i="13"/>
  <c r="H52" i="13"/>
  <c r="I52" i="13" s="1"/>
  <c r="M52" i="13" s="1"/>
  <c r="H33" i="13"/>
  <c r="N12" i="13"/>
  <c r="N53" i="13"/>
  <c r="N104" i="13"/>
  <c r="N56" i="13"/>
  <c r="N81" i="13"/>
  <c r="N61" i="13"/>
  <c r="H74" i="13"/>
  <c r="N16" i="13"/>
  <c r="H72" i="13"/>
  <c r="K72" i="13" s="1"/>
  <c r="N39" i="13"/>
  <c r="N40" i="13"/>
  <c r="H51" i="13"/>
  <c r="N46" i="13"/>
  <c r="H86" i="13"/>
  <c r="I86" i="13" s="1"/>
  <c r="M86" i="13" s="1"/>
  <c r="N94" i="13"/>
  <c r="H32" i="13"/>
  <c r="N14" i="13"/>
  <c r="N8" i="13"/>
  <c r="H40" i="13" l="1"/>
  <c r="I40" i="13" s="1"/>
  <c r="M40" i="13" s="1"/>
  <c r="N112" i="13"/>
  <c r="H112" i="13"/>
  <c r="I112" i="13" s="1"/>
  <c r="M112" i="13" s="1"/>
  <c r="N9" i="13"/>
  <c r="H9" i="13"/>
  <c r="I9" i="13" s="1"/>
  <c r="M9" i="13" s="1"/>
  <c r="I32" i="13"/>
  <c r="M32" i="13" s="1"/>
  <c r="K32" i="13"/>
  <c r="H8" i="13"/>
  <c r="H60" i="13"/>
  <c r="K60" i="13" s="1"/>
  <c r="N36" i="13"/>
  <c r="H61" i="13"/>
  <c r="K61" i="13" s="1"/>
  <c r="H53" i="13"/>
  <c r="I53" i="13" s="1"/>
  <c r="M53" i="13" s="1"/>
  <c r="H47" i="13"/>
  <c r="K47" i="13" s="1"/>
  <c r="H66" i="13"/>
  <c r="I66" i="13" s="1"/>
  <c r="M66" i="13" s="1"/>
  <c r="H87" i="13"/>
  <c r="N87" i="13"/>
  <c r="I91" i="13"/>
  <c r="M91" i="13" s="1"/>
  <c r="K91" i="13"/>
  <c r="N15" i="13"/>
  <c r="H15" i="13"/>
  <c r="N37" i="13"/>
  <c r="H37" i="13"/>
  <c r="I37" i="13" s="1"/>
  <c r="M37" i="13" s="1"/>
  <c r="N18" i="13"/>
  <c r="H18" i="13"/>
  <c r="I18" i="13" s="1"/>
  <c r="M18" i="13" s="1"/>
  <c r="H106" i="13"/>
  <c r="I106" i="13" s="1"/>
  <c r="M106" i="13" s="1"/>
  <c r="N106" i="13"/>
  <c r="K79" i="13"/>
  <c r="I79" i="13"/>
  <c r="M79" i="13" s="1"/>
  <c r="N35" i="13"/>
  <c r="H35" i="13"/>
  <c r="H83" i="13"/>
  <c r="N83" i="13"/>
  <c r="N31" i="13"/>
  <c r="H31" i="13"/>
  <c r="N11" i="13"/>
  <c r="H11" i="13"/>
  <c r="I11" i="13" s="1"/>
  <c r="M11" i="13" s="1"/>
  <c r="N88" i="13"/>
  <c r="H88" i="13"/>
  <c r="I88" i="13" s="1"/>
  <c r="M88" i="13" s="1"/>
  <c r="N19" i="13"/>
  <c r="H19" i="13"/>
  <c r="I19" i="13" s="1"/>
  <c r="M19" i="13" s="1"/>
  <c r="N25" i="13"/>
  <c r="H25" i="13"/>
  <c r="N107" i="13"/>
  <c r="H107" i="13"/>
  <c r="H104" i="13"/>
  <c r="N79" i="13"/>
  <c r="K44" i="13"/>
  <c r="N72" i="13"/>
  <c r="I72" i="13"/>
  <c r="M72" i="13" s="1"/>
  <c r="H38" i="13"/>
  <c r="H29" i="13"/>
  <c r="K29" i="13" s="1"/>
  <c r="H111" i="13"/>
  <c r="I111" i="13" s="1"/>
  <c r="M111" i="13" s="1"/>
  <c r="H89" i="13"/>
  <c r="H14" i="13"/>
  <c r="K14" i="13" s="1"/>
  <c r="N32" i="13"/>
  <c r="H94" i="13"/>
  <c r="H81" i="13"/>
  <c r="I81" i="13" s="1"/>
  <c r="M81" i="13" s="1"/>
  <c r="H27" i="13"/>
  <c r="K27" i="13" s="1"/>
  <c r="H16" i="13"/>
  <c r="K16" i="13" s="1"/>
  <c r="N44" i="13"/>
  <c r="H20" i="13"/>
  <c r="I20" i="13" s="1"/>
  <c r="M20" i="13" s="1"/>
  <c r="H10" i="13"/>
  <c r="N42" i="13"/>
  <c r="N78" i="13"/>
  <c r="H78" i="13"/>
  <c r="I74" i="13"/>
  <c r="M74" i="13" s="1"/>
  <c r="K74" i="13"/>
  <c r="H98" i="13"/>
  <c r="N98" i="13"/>
  <c r="N82" i="13"/>
  <c r="H82" i="13"/>
  <c r="H43" i="13"/>
  <c r="N43" i="13"/>
  <c r="N17" i="13"/>
  <c r="H17" i="13"/>
  <c r="N63" i="13"/>
  <c r="H63" i="13"/>
  <c r="N62" i="13"/>
  <c r="H62" i="13"/>
  <c r="N100" i="13"/>
  <c r="H100" i="13"/>
  <c r="I96" i="13"/>
  <c r="M96" i="13" s="1"/>
  <c r="K96" i="13"/>
  <c r="I21" i="13"/>
  <c r="M21" i="13" s="1"/>
  <c r="K21" i="13"/>
  <c r="N64" i="13"/>
  <c r="H64" i="13"/>
  <c r="N102" i="13"/>
  <c r="H102" i="13"/>
  <c r="I51" i="13"/>
  <c r="M51" i="13" s="1"/>
  <c r="K51" i="13"/>
  <c r="H105" i="13"/>
  <c r="N105" i="13"/>
  <c r="N74" i="13"/>
  <c r="I54" i="13"/>
  <c r="M54" i="13" s="1"/>
  <c r="K54" i="13"/>
  <c r="N80" i="13"/>
  <c r="H80" i="13"/>
  <c r="N23" i="13"/>
  <c r="H23" i="13"/>
  <c r="H85" i="13"/>
  <c r="K110" i="13"/>
  <c r="I110" i="13"/>
  <c r="M110" i="13" s="1"/>
  <c r="N110" i="13"/>
  <c r="N77" i="13"/>
  <c r="H77" i="13"/>
  <c r="H30" i="13"/>
  <c r="N30" i="13"/>
  <c r="H56" i="13"/>
  <c r="I45" i="13"/>
  <c r="M45" i="13" s="1"/>
  <c r="K45" i="13"/>
  <c r="H69" i="13"/>
  <c r="N69" i="13"/>
  <c r="N96" i="13"/>
  <c r="N52" i="13"/>
  <c r="I36" i="13"/>
  <c r="M36" i="13" s="1"/>
  <c r="N59" i="13"/>
  <c r="H59" i="13"/>
  <c r="I33" i="13"/>
  <c r="M33" i="13" s="1"/>
  <c r="K33" i="13"/>
  <c r="H92" i="13"/>
  <c r="N92" i="13"/>
  <c r="N75" i="13"/>
  <c r="H75" i="13"/>
  <c r="N93" i="13"/>
  <c r="H93" i="13"/>
  <c r="N109" i="13"/>
  <c r="H109" i="13"/>
  <c r="N41" i="13"/>
  <c r="H41" i="13"/>
  <c r="N34" i="13"/>
  <c r="H34" i="13"/>
  <c r="N22" i="13"/>
  <c r="H22" i="13"/>
  <c r="I24" i="13"/>
  <c r="M24" i="13" s="1"/>
  <c r="K24" i="13"/>
  <c r="N24" i="13"/>
  <c r="N54" i="13"/>
  <c r="N57" i="13"/>
  <c r="H57" i="13"/>
  <c r="N55" i="13"/>
  <c r="H55" i="13"/>
  <c r="N108" i="13"/>
  <c r="H108" i="13"/>
  <c r="H67" i="13"/>
  <c r="N67" i="13"/>
  <c r="N65" i="13"/>
  <c r="H65" i="13"/>
  <c r="I28" i="13"/>
  <c r="M28" i="13" s="1"/>
  <c r="K28" i="13"/>
  <c r="H71" i="13"/>
  <c r="K52" i="13"/>
  <c r="N21" i="13"/>
  <c r="N86" i="13"/>
  <c r="N73" i="13"/>
  <c r="H73" i="13"/>
  <c r="N95" i="13"/>
  <c r="H95" i="13"/>
  <c r="N48" i="13"/>
  <c r="H48" i="13"/>
  <c r="N90" i="13"/>
  <c r="H90" i="13"/>
  <c r="I58" i="13"/>
  <c r="M58" i="13" s="1"/>
  <c r="K58" i="13"/>
  <c r="N45" i="13"/>
  <c r="N97" i="13"/>
  <c r="H97" i="13"/>
  <c r="N50" i="13"/>
  <c r="H50" i="13"/>
  <c r="N70" i="13"/>
  <c r="H70" i="13"/>
  <c r="H46" i="13"/>
  <c r="H39" i="13"/>
  <c r="H12" i="13"/>
  <c r="H13" i="13"/>
  <c r="H68" i="13"/>
  <c r="H101" i="13"/>
  <c r="H103" i="13"/>
  <c r="N26" i="13"/>
  <c r="H26" i="13"/>
  <c r="N58" i="13"/>
  <c r="H84" i="13"/>
  <c r="N51" i="13"/>
  <c r="N28" i="13"/>
  <c r="K86" i="13"/>
  <c r="N33" i="13"/>
  <c r="H99" i="13"/>
  <c r="N99" i="13"/>
  <c r="K76" i="13"/>
  <c r="H49" i="13"/>
  <c r="N76" i="13"/>
  <c r="I42" i="13"/>
  <c r="M42" i="13" s="1"/>
  <c r="N91" i="13"/>
  <c r="K88" i="13" l="1"/>
  <c r="K40" i="13"/>
  <c r="I60" i="13"/>
  <c r="M60" i="13" s="1"/>
  <c r="K66" i="13"/>
  <c r="I16" i="13"/>
  <c r="M16" i="13" s="1"/>
  <c r="I29" i="13"/>
  <c r="M29" i="13" s="1"/>
  <c r="K11" i="13"/>
  <c r="K53" i="13"/>
  <c r="I27" i="13"/>
  <c r="M27" i="13" s="1"/>
  <c r="K112" i="13"/>
  <c r="K20" i="13"/>
  <c r="K106" i="13"/>
  <c r="K9" i="13"/>
  <c r="I47" i="13"/>
  <c r="M47" i="13" s="1"/>
  <c r="I61" i="13"/>
  <c r="M61" i="13" s="1"/>
  <c r="K111" i="13"/>
  <c r="K8" i="13"/>
  <c r="I8" i="13"/>
  <c r="M8" i="13" s="1"/>
  <c r="K107" i="13"/>
  <c r="I107" i="13"/>
  <c r="M107" i="13" s="1"/>
  <c r="K15" i="13"/>
  <c r="I15" i="13"/>
  <c r="M15" i="13" s="1"/>
  <c r="I14" i="13"/>
  <c r="M14" i="13" s="1"/>
  <c r="K38" i="13"/>
  <c r="I38" i="13"/>
  <c r="M38" i="13" s="1"/>
  <c r="K83" i="13"/>
  <c r="I83" i="13"/>
  <c r="M83" i="13" s="1"/>
  <c r="K87" i="13"/>
  <c r="I87" i="13"/>
  <c r="M87" i="13" s="1"/>
  <c r="K19" i="13"/>
  <c r="K81" i="13"/>
  <c r="K94" i="13"/>
  <c r="I94" i="13"/>
  <c r="M94" i="13" s="1"/>
  <c r="I89" i="13"/>
  <c r="M89" i="13" s="1"/>
  <c r="K89" i="13"/>
  <c r="K25" i="13"/>
  <c r="I25" i="13"/>
  <c r="M25" i="13" s="1"/>
  <c r="K31" i="13"/>
  <c r="I31" i="13"/>
  <c r="M31" i="13" s="1"/>
  <c r="K35" i="13"/>
  <c r="I35" i="13"/>
  <c r="M35" i="13" s="1"/>
  <c r="K18" i="13"/>
  <c r="K37" i="13"/>
  <c r="P4" i="13"/>
  <c r="K10" i="13"/>
  <c r="I10" i="13"/>
  <c r="M10" i="13" s="1"/>
  <c r="I104" i="13"/>
  <c r="M104" i="13" s="1"/>
  <c r="K104" i="13"/>
  <c r="K68" i="13"/>
  <c r="I68" i="13"/>
  <c r="M68" i="13" s="1"/>
  <c r="I71" i="13"/>
  <c r="M71" i="13" s="1"/>
  <c r="K71" i="13"/>
  <c r="I41" i="13"/>
  <c r="M41" i="13" s="1"/>
  <c r="K41" i="13"/>
  <c r="K93" i="13"/>
  <c r="I93" i="13"/>
  <c r="M93" i="13" s="1"/>
  <c r="I56" i="13"/>
  <c r="M56" i="13" s="1"/>
  <c r="K56" i="13"/>
  <c r="K99" i="13"/>
  <c r="I99" i="13"/>
  <c r="M99" i="13" s="1"/>
  <c r="I13" i="13"/>
  <c r="M13" i="13" s="1"/>
  <c r="K13" i="13"/>
  <c r="I95" i="13"/>
  <c r="M95" i="13" s="1"/>
  <c r="K95" i="13"/>
  <c r="K55" i="13"/>
  <c r="I55" i="13"/>
  <c r="M55" i="13" s="1"/>
  <c r="K69" i="13"/>
  <c r="I69" i="13"/>
  <c r="M69" i="13" s="1"/>
  <c r="K105" i="13"/>
  <c r="I105" i="13"/>
  <c r="M105" i="13" s="1"/>
  <c r="I100" i="13"/>
  <c r="M100" i="13" s="1"/>
  <c r="K100" i="13"/>
  <c r="I63" i="13"/>
  <c r="M63" i="13" s="1"/>
  <c r="K63" i="13"/>
  <c r="K78" i="13"/>
  <c r="I78" i="13"/>
  <c r="M78" i="13" s="1"/>
  <c r="I103" i="13"/>
  <c r="M103" i="13" s="1"/>
  <c r="K103" i="13"/>
  <c r="I30" i="13"/>
  <c r="M30" i="13" s="1"/>
  <c r="K30" i="13"/>
  <c r="I85" i="13"/>
  <c r="M85" i="13" s="1"/>
  <c r="K85" i="13"/>
  <c r="K43" i="13"/>
  <c r="I43" i="13"/>
  <c r="M43" i="13" s="1"/>
  <c r="K98" i="13"/>
  <c r="I98" i="13"/>
  <c r="M98" i="13" s="1"/>
  <c r="K26" i="13"/>
  <c r="I26" i="13"/>
  <c r="M26" i="13" s="1"/>
  <c r="K39" i="13"/>
  <c r="I39" i="13"/>
  <c r="M39" i="13" s="1"/>
  <c r="K50" i="13"/>
  <c r="I50" i="13"/>
  <c r="M50" i="13" s="1"/>
  <c r="K92" i="13"/>
  <c r="I92" i="13"/>
  <c r="M92" i="13" s="1"/>
  <c r="I59" i="13"/>
  <c r="M59" i="13" s="1"/>
  <c r="K59" i="13"/>
  <c r="I46" i="13"/>
  <c r="M46" i="13" s="1"/>
  <c r="K46" i="13"/>
  <c r="K90" i="13"/>
  <c r="I90" i="13"/>
  <c r="M90" i="13" s="1"/>
  <c r="K22" i="13"/>
  <c r="I22" i="13"/>
  <c r="M22" i="13" s="1"/>
  <c r="I80" i="13"/>
  <c r="M80" i="13" s="1"/>
  <c r="K80" i="13"/>
  <c r="I49" i="13"/>
  <c r="M49" i="13" s="1"/>
  <c r="K49" i="13"/>
  <c r="K70" i="13"/>
  <c r="I70" i="13"/>
  <c r="M70" i="13" s="1"/>
  <c r="K97" i="13"/>
  <c r="I97" i="13"/>
  <c r="M97" i="13" s="1"/>
  <c r="I67" i="13"/>
  <c r="M67" i="13" s="1"/>
  <c r="K67" i="13"/>
  <c r="K109" i="13"/>
  <c r="I109" i="13"/>
  <c r="M109" i="13" s="1"/>
  <c r="I75" i="13"/>
  <c r="M75" i="13" s="1"/>
  <c r="K75" i="13"/>
  <c r="K84" i="13"/>
  <c r="I84" i="13"/>
  <c r="M84" i="13" s="1"/>
  <c r="K101" i="13"/>
  <c r="I101" i="13"/>
  <c r="M101" i="13" s="1"/>
  <c r="K12" i="13"/>
  <c r="I12" i="13"/>
  <c r="M12" i="13" s="1"/>
  <c r="K48" i="13"/>
  <c r="I48" i="13"/>
  <c r="M48" i="13" s="1"/>
  <c r="K73" i="13"/>
  <c r="I73" i="13"/>
  <c r="M73" i="13" s="1"/>
  <c r="I65" i="13"/>
  <c r="M65" i="13" s="1"/>
  <c r="K65" i="13"/>
  <c r="K108" i="13"/>
  <c r="I108" i="13"/>
  <c r="M108" i="13" s="1"/>
  <c r="K57" i="13"/>
  <c r="I57" i="13"/>
  <c r="M57" i="13" s="1"/>
  <c r="K34" i="13"/>
  <c r="I34" i="13"/>
  <c r="M34" i="13" s="1"/>
  <c r="K77" i="13"/>
  <c r="I77" i="13"/>
  <c r="M77" i="13" s="1"/>
  <c r="I23" i="13"/>
  <c r="M23" i="13" s="1"/>
  <c r="K23" i="13"/>
  <c r="K102" i="13"/>
  <c r="I102" i="13"/>
  <c r="M102" i="13" s="1"/>
  <c r="K64" i="13"/>
  <c r="I64" i="13"/>
  <c r="M64" i="13" s="1"/>
  <c r="I62" i="13"/>
  <c r="M62" i="13" s="1"/>
  <c r="K62" i="13"/>
  <c r="I17" i="13"/>
  <c r="M17" i="13" s="1"/>
  <c r="K17" i="13"/>
  <c r="I82" i="13"/>
  <c r="M82" i="13" s="1"/>
  <c r="K82" i="13"/>
  <c r="M5" i="13" l="1"/>
  <c r="N2" i="13"/>
  <c r="F74" i="1" s="1"/>
  <c r="J8" i="13"/>
  <c r="J9" i="13" s="1"/>
  <c r="J10" i="13" s="1"/>
  <c r="J11" i="13" s="1"/>
  <c r="J12" i="13" s="1"/>
  <c r="J13" i="13" s="1"/>
  <c r="J14" i="13" s="1"/>
  <c r="J15" i="13" s="1"/>
  <c r="J16" i="13" s="1"/>
  <c r="J17" i="13" s="1"/>
  <c r="J18" i="13" s="1"/>
  <c r="J19" i="13" s="1"/>
  <c r="J20" i="13" s="1"/>
  <c r="J21" i="13" s="1"/>
  <c r="J22" i="13" s="1"/>
  <c r="J23" i="13" s="1"/>
  <c r="J24" i="13" s="1"/>
  <c r="J25" i="13" s="1"/>
  <c r="J26" i="13" s="1"/>
  <c r="J27" i="13" s="1"/>
  <c r="J28" i="13" s="1"/>
  <c r="J29" i="13" s="1"/>
  <c r="J30" i="13" s="1"/>
  <c r="J31" i="13" s="1"/>
  <c r="J32" i="13" s="1"/>
  <c r="J33" i="13" s="1"/>
  <c r="J34" i="13" s="1"/>
  <c r="J35" i="13" s="1"/>
  <c r="J36" i="13" s="1"/>
  <c r="J37" i="13" s="1"/>
  <c r="J38" i="13" s="1"/>
  <c r="J39" i="13" s="1"/>
  <c r="J40" i="13" s="1"/>
  <c r="J41" i="13" s="1"/>
  <c r="J42" i="13" s="1"/>
  <c r="J43" i="13" s="1"/>
  <c r="J44" i="13" s="1"/>
  <c r="J45" i="13" s="1"/>
  <c r="J46" i="13" s="1"/>
  <c r="J47" i="13" s="1"/>
  <c r="J48" i="13" s="1"/>
  <c r="J49" i="13" s="1"/>
  <c r="J50" i="13" s="1"/>
  <c r="J51" i="13" s="1"/>
  <c r="J52" i="13" s="1"/>
  <c r="J53" i="13" s="1"/>
  <c r="J54" i="13" s="1"/>
  <c r="J55" i="13" s="1"/>
  <c r="J56" i="13" s="1"/>
  <c r="J57" i="13" s="1"/>
  <c r="J58" i="13" s="1"/>
  <c r="J59" i="13" s="1"/>
  <c r="J60" i="13" s="1"/>
  <c r="J61" i="13" s="1"/>
  <c r="J62" i="13" s="1"/>
  <c r="J63" i="13" s="1"/>
  <c r="J64" i="13" s="1"/>
  <c r="J65" i="13" s="1"/>
  <c r="J66" i="13" s="1"/>
  <c r="J67" i="13" s="1"/>
  <c r="J68" i="13" s="1"/>
  <c r="J69" i="13" s="1"/>
  <c r="J70" i="13" s="1"/>
  <c r="J71" i="13" s="1"/>
  <c r="J72" i="13" s="1"/>
  <c r="J73" i="13" s="1"/>
  <c r="J74" i="13" s="1"/>
  <c r="J75" i="13" s="1"/>
  <c r="J76" i="13" s="1"/>
  <c r="J77" i="13" s="1"/>
  <c r="J78" i="13" s="1"/>
  <c r="J79" i="13" s="1"/>
  <c r="J80" i="13" s="1"/>
  <c r="J81" i="13" s="1"/>
  <c r="J82" i="13" s="1"/>
  <c r="J83" i="13" s="1"/>
  <c r="J84" i="13" s="1"/>
  <c r="J85" i="13" s="1"/>
  <c r="J86" i="13" s="1"/>
  <c r="J87" i="13" s="1"/>
  <c r="J88" i="13" s="1"/>
  <c r="J89" i="13" s="1"/>
  <c r="J90" i="13" s="1"/>
  <c r="J91" i="13" s="1"/>
  <c r="J92" i="13" s="1"/>
  <c r="J93" i="13" s="1"/>
  <c r="J94" i="13" s="1"/>
  <c r="J95" i="13" s="1"/>
  <c r="J96" i="13" s="1"/>
  <c r="J97" i="13" s="1"/>
  <c r="J98" i="13" s="1"/>
  <c r="J99" i="13" s="1"/>
  <c r="J100" i="13" s="1"/>
  <c r="J101" i="13" s="1"/>
  <c r="J102" i="13" s="1"/>
  <c r="J103" i="13" s="1"/>
  <c r="J104" i="13" s="1"/>
  <c r="J105" i="13" s="1"/>
  <c r="J106" i="13" s="1"/>
  <c r="J107" i="13" s="1"/>
  <c r="J108" i="13" s="1"/>
  <c r="J109" i="13" s="1"/>
  <c r="J110" i="13" s="1"/>
  <c r="J111" i="13" s="1"/>
  <c r="J112" i="13" s="1"/>
  <c r="L2" i="13" s="1"/>
  <c r="F73" i="1" s="1"/>
  <c r="F53" i="3" l="1"/>
  <c r="F55" i="3" s="1"/>
  <c r="F75" i="1" l="1"/>
  <c r="F76" i="1" s="1"/>
  <c r="J11" i="7"/>
  <c r="J13" i="7" s="1"/>
  <c r="J12" i="7"/>
  <c r="J18" i="7" l="1"/>
  <c r="J17" i="7" s="1"/>
  <c r="J19" i="7" s="1"/>
  <c r="J21" i="7" s="1"/>
  <c r="J25" i="7" s="1"/>
  <c r="J2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dmorgan</author>
    <author>Naveen, Bevara</author>
    <author>a0272042</author>
    <author>TI User</author>
    <author>bdemsc</author>
  </authors>
  <commentList>
    <comment ref="F27" authorId="0" shapeId="0" xr:uid="{00000000-0006-0000-0100-000001000000}">
      <text>
        <r>
          <rPr>
            <b/>
            <sz val="8"/>
            <color indexed="81"/>
            <rFont val="Tahoma"/>
            <family val="2"/>
          </rPr>
          <t>The minimum system voltage must be no less than 2.9V.</t>
        </r>
      </text>
    </comment>
    <comment ref="F29" authorId="0" shapeId="0" xr:uid="{00000000-0006-0000-0100-000002000000}">
      <text>
        <r>
          <rPr>
            <b/>
            <sz val="8"/>
            <color indexed="81"/>
            <rFont val="Tahoma"/>
            <family val="2"/>
          </rPr>
          <t>The maximum system voltage must be no greater than 17V.</t>
        </r>
      </text>
    </comment>
    <comment ref="F31" authorId="0" shapeId="0" xr:uid="{00000000-0006-0000-0100-000003000000}">
      <text>
        <r>
          <rPr>
            <b/>
            <sz val="8"/>
            <color indexed="81"/>
            <rFont val="Tahoma"/>
            <family val="2"/>
          </rPr>
          <t xml:space="preserve">This is the capacitance at Vout. This should not be zero. A minimum of 10 </t>
        </r>
        <r>
          <rPr>
            <b/>
            <sz val="8"/>
            <color indexed="81"/>
            <rFont val="Arial"/>
            <family val="2"/>
          </rPr>
          <t>μ</t>
        </r>
        <r>
          <rPr>
            <b/>
            <sz val="8"/>
            <color indexed="81"/>
            <rFont val="Tahoma"/>
            <family val="2"/>
          </rPr>
          <t>F is recommended.</t>
        </r>
      </text>
    </comment>
    <comment ref="F38" authorId="1" shapeId="0" xr:uid="{00000000-0006-0000-0100-000004000000}">
      <text>
        <r>
          <rPr>
            <sz val="9"/>
            <color indexed="81"/>
            <rFont val="Tahoma"/>
            <family val="2"/>
          </rPr>
          <t xml:space="preserve">It's recommended to set this &gt;10% above max load current. </t>
        </r>
      </text>
    </comment>
    <comment ref="F41" authorId="1" shapeId="0" xr:uid="{00000000-0006-0000-0100-000005000000}">
      <text>
        <r>
          <rPr>
            <sz val="9"/>
            <color indexed="81"/>
            <rFont val="Tahoma"/>
            <family val="2"/>
          </rPr>
          <t xml:space="preserve">Pick a sense resistor in the recommended range. 
Higher Rsns will lead to better accuracy and lower fast trip threshold, and allow lower power limits, while a lower Rsns will improve efficiency. </t>
        </r>
      </text>
    </comment>
    <comment ref="F50" authorId="0" shapeId="0" xr:uid="{00000000-0006-0000-0100-000006000000}">
      <text>
        <r>
          <rPr>
            <b/>
            <sz val="8"/>
            <color indexed="81"/>
            <rFont val="Tahoma"/>
            <family val="2"/>
          </rPr>
          <t>The power dissipation is calculated using the maximum normal load current.
Ensure the selected resistor is rated for this power dissipation.</t>
        </r>
      </text>
    </comment>
    <comment ref="F53" authorId="1" shapeId="0" xr:uid="{00000000-0006-0000-0100-000007000000}">
      <text>
        <r>
          <rPr>
            <sz val="9"/>
            <color indexed="81"/>
            <rFont val="Tahoma"/>
            <family val="2"/>
          </rPr>
          <t xml:space="preserve">Note that this parameter is heavily dependent on the board layout and amount of copper connected to the Drain of the FET. 
The TI EVM is ~30C / W number and is a good starting point. It's recommended to measure this value again once the boards are built and plugging this back into the calculator. 
</t>
        </r>
      </text>
    </comment>
    <comment ref="F55" authorId="2" shapeId="0" xr:uid="{00000000-0006-0000-0100-000008000000}">
      <text>
        <r>
          <rPr>
            <b/>
            <sz val="9"/>
            <color indexed="81"/>
            <rFont val="Tahoma"/>
            <family val="2"/>
          </rPr>
          <t>This number may need to be adjusted iteratively based on the result of cell C44.</t>
        </r>
        <r>
          <rPr>
            <sz val="9"/>
            <color indexed="81"/>
            <rFont val="Tahoma"/>
            <family val="2"/>
          </rPr>
          <t xml:space="preserve">
</t>
        </r>
      </text>
    </comment>
    <comment ref="F63" authorId="2" shapeId="0" xr:uid="{00000000-0006-0000-0100-000009000000}">
      <text>
        <r>
          <rPr>
            <sz val="9"/>
            <color indexed="81"/>
            <rFont val="Tahoma"/>
            <family val="2"/>
          </rPr>
          <t xml:space="preserve">If FET temperature is too high, increase the # of FETs, reduce the load, or reduce the RθJA by adding more heat sinking to MOSFETs. 
</t>
        </r>
      </text>
    </comment>
    <comment ref="F65" authorId="2" shapeId="0" xr:uid="{00000000-0006-0000-0100-00000A000000}">
      <text>
        <r>
          <rPr>
            <sz val="9"/>
            <color indexed="81"/>
            <rFont val="Tahoma"/>
            <family val="2"/>
          </rPr>
          <t xml:space="preserve">Usually this can be set to PLIM,MIN.  If a load is present during start-up a higher Plim, may be preferred. </t>
        </r>
        <r>
          <rPr>
            <b/>
            <sz val="9"/>
            <color indexed="81"/>
            <rFont val="Tahoma"/>
            <family val="2"/>
          </rPr>
          <t xml:space="preserve">
</t>
        </r>
      </text>
    </comment>
    <comment ref="I68" authorId="3" shapeId="0" xr:uid="{00000000-0006-0000-0100-00000B000000}">
      <text>
        <r>
          <rPr>
            <sz val="9"/>
            <color indexed="81"/>
            <rFont val="Tahoma"/>
            <family val="2"/>
          </rPr>
          <t>3 Parameters:
Step 1: Max Ambient Operating Temperature 
Step 3: Estimated MOSFET RQJA
Step 3: FET Power Dissipation at full load 
**This includes air flow</t>
        </r>
      </text>
    </comment>
    <comment ref="F69" authorId="2" shapeId="0" xr:uid="{00000000-0006-0000-0100-00000C000000}">
      <text>
        <r>
          <rPr>
            <sz val="9"/>
            <color indexed="81"/>
            <rFont val="Tahoma"/>
            <family val="2"/>
          </rPr>
          <t xml:space="preserve">Cell turns Red if the actual power limit is below Minimum Power Limit (cell F46)
</t>
        </r>
      </text>
    </comment>
    <comment ref="F71" authorId="4" shapeId="0" xr:uid="{00000000-0006-0000-0100-00000D000000}">
      <text>
        <r>
          <rPr>
            <b/>
            <sz val="8"/>
            <color indexed="81"/>
            <rFont val="Tahoma"/>
            <family val="2"/>
          </rPr>
          <t>Select if the load will draw current during start-up. 
For no Load, choose constant current and set to zero</t>
        </r>
      </text>
    </comment>
    <comment ref="F74" authorId="2" shapeId="0" xr:uid="{00000000-0006-0000-0100-00000E000000}">
      <text>
        <r>
          <rPr>
            <b/>
            <sz val="9"/>
            <color indexed="81"/>
            <rFont val="Tahoma"/>
            <family val="2"/>
          </rPr>
          <t xml:space="preserve">If IFET - ILOAD margin is too low, there may be start-up issues due to variation in power limit or load profile.  A margin &gt; 25% is recommended. 
If margin is &lt; 25%, the power limit should be increased or the load should be kept completely OFF during start-up. </t>
        </r>
        <r>
          <rPr>
            <sz val="9"/>
            <color indexed="81"/>
            <rFont val="Tahoma"/>
            <family val="2"/>
          </rPr>
          <t xml:space="preserve">
</t>
        </r>
      </text>
    </comment>
    <comment ref="F75" authorId="0" shapeId="0" xr:uid="{00000000-0006-0000-0100-00000F000000}">
      <text>
        <r>
          <rPr>
            <b/>
            <sz val="8"/>
            <color indexed="81"/>
            <rFont val="Tahoma"/>
            <family val="2"/>
          </rPr>
          <t xml:space="preserve">TO ensure start-up the faul time out must be longer than the start-up time. It is recommended to choose a fault timer that is larger than the typical start-time to account for variations in Plim, timer current, and timer capacitance. </t>
        </r>
      </text>
    </comment>
    <comment ref="F77" authorId="1" shapeId="0" xr:uid="{00000000-0006-0000-0100-000010000000}">
      <text>
        <r>
          <rPr>
            <b/>
            <sz val="9"/>
            <color indexed="81"/>
            <rFont val="Tahoma"/>
            <family val="2"/>
          </rPr>
          <t>Select the value greater than Target Fault Timer but less than the value that is suitable for MOSFET for the Maximum load current based on SOA of MOSFET (F63 should not be red)</t>
        </r>
      </text>
    </comment>
    <comment ref="F79" authorId="2" shapeId="0" xr:uid="{00000000-0006-0000-0100-000011000000}">
      <text>
        <r>
          <rPr>
            <b/>
            <sz val="9"/>
            <color indexed="81"/>
            <rFont val="Tahoma"/>
            <family val="2"/>
          </rPr>
          <t>Pick closest capacitor that is larger than the Target capacitance</t>
        </r>
        <r>
          <rPr>
            <sz val="9"/>
            <color indexed="81"/>
            <rFont val="Tahoma"/>
            <family val="2"/>
          </rPr>
          <t xml:space="preserve">
</t>
        </r>
      </text>
    </comment>
    <comment ref="F81" authorId="2" shapeId="0" xr:uid="{00000000-0006-0000-0100-000012000000}">
      <text>
        <r>
          <rPr>
            <sz val="9"/>
            <color indexed="81"/>
            <rFont val="Tahoma"/>
            <family val="2"/>
          </rPr>
          <t xml:space="preserve">A ratio over 1.1 is required and over 1.3 is preferred.  This will account for variation in Power limit and timer.
If there isn't enough margin consider reducing the power limit, reducing the timer, or picking a FET with better SOA, or using more FETs in parallel. </t>
        </r>
      </text>
    </comment>
    <comment ref="F103" authorId="0" shapeId="0" xr:uid="{00000000-0006-0000-0100-000013000000}">
      <text>
        <r>
          <rPr>
            <b/>
            <sz val="8"/>
            <color indexed="81"/>
            <rFont val="Tahoma"/>
            <family val="2"/>
          </rPr>
          <t>This threshold must be greater than 2.9V.</t>
        </r>
      </text>
    </comment>
    <comment ref="F104" authorId="0" shapeId="0" xr:uid="{00000000-0006-0000-0100-000014000000}">
      <text>
        <r>
          <rPr>
            <b/>
            <sz val="8"/>
            <color indexed="81"/>
            <rFont val="Tahoma"/>
            <family val="2"/>
          </rPr>
          <t>This threshold must be less than 17V.</t>
        </r>
      </text>
    </comment>
    <comment ref="F105" authorId="1" shapeId="0" xr:uid="{00000000-0006-0000-0100-000015000000}">
      <text>
        <r>
          <rPr>
            <sz val="9"/>
            <color indexed="81"/>
            <rFont val="Tahoma"/>
            <family val="2"/>
          </rPr>
          <t xml:space="preserve">Assumed Value
</t>
        </r>
      </text>
    </comment>
    <comment ref="F118" authorId="1" shapeId="0" xr:uid="{00000000-0006-0000-0100-000016000000}">
      <text>
        <r>
          <rPr>
            <sz val="9"/>
            <color indexed="81"/>
            <rFont val="Tahoma"/>
            <family val="2"/>
          </rPr>
          <t>If MOSFET selected has input capacitance less than 200 pF, then 33</t>
        </r>
        <r>
          <rPr>
            <sz val="9"/>
            <color indexed="81"/>
            <rFont val="Times New Roman"/>
            <family val="1"/>
          </rPr>
          <t>Ω</t>
        </r>
        <r>
          <rPr>
            <sz val="10.35"/>
            <color indexed="81"/>
            <rFont val="Tahoma"/>
            <family val="2"/>
          </rPr>
          <t xml:space="preserve"> </t>
        </r>
        <r>
          <rPr>
            <sz val="9"/>
            <color indexed="81"/>
            <rFont val="Tahoma"/>
            <family val="2"/>
          </rPr>
          <t>is prefered</t>
        </r>
        <r>
          <rPr>
            <sz val="10.35"/>
            <color indexed="81"/>
            <rFont val="Tahoma"/>
            <family val="2"/>
          </rPr>
          <t xml:space="preserve">. </t>
        </r>
        <r>
          <rPr>
            <sz val="9"/>
            <color indexed="81"/>
            <rFont val="Tahoma"/>
            <family val="2"/>
          </rPr>
          <t>Applications with larger MOSFETs and very short wiring may not require RGATE</t>
        </r>
      </text>
    </comment>
    <comment ref="F133" authorId="2" shapeId="0" xr:uid="{00000000-0006-0000-0100-000017000000}">
      <text>
        <r>
          <rPr>
            <b/>
            <sz val="9"/>
            <color indexed="81"/>
            <rFont val="Tahoma"/>
            <family val="2"/>
          </rPr>
          <t xml:space="preserve">TI recomends the SMCJxx TVS for the TPS24710/20 controllers 
Pick the proper value based on the input voltage. </t>
        </r>
      </text>
    </comment>
    <comment ref="F134" authorId="2" shapeId="0" xr:uid="{00000000-0006-0000-0100-000018000000}">
      <text>
        <r>
          <rPr>
            <b/>
            <sz val="9"/>
            <color indexed="81"/>
            <rFont val="Tahoma"/>
            <family val="2"/>
          </rPr>
          <t xml:space="preserve">Used on TI EVM. 
Alternate parts also Ok.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bdemsc</author>
  </authors>
  <commentList>
    <comment ref="F41" authorId="0" shapeId="0" xr:uid="{00000000-0006-0000-0500-000001000000}">
      <text>
        <r>
          <rPr>
            <b/>
            <sz val="8"/>
            <color indexed="81"/>
            <rFont val="Tahoma"/>
            <family val="2"/>
          </rPr>
          <t xml:space="preserve">Enter data from the MOSFET's SOA chart typically found in its datasheet.
</t>
        </r>
        <r>
          <rPr>
            <b/>
            <sz val="8"/>
            <color indexed="10"/>
            <rFont val="Tahoma"/>
            <family val="2"/>
          </rPr>
          <t>Consult the MOSFET vendor for SOA performance detail and appropriate derating criteria.</t>
        </r>
      </text>
    </comment>
    <comment ref="F42" authorId="0" shapeId="0" xr:uid="{00000000-0006-0000-0500-000002000000}">
      <text>
        <r>
          <rPr>
            <b/>
            <sz val="8"/>
            <color indexed="81"/>
            <rFont val="Tahoma"/>
            <family val="2"/>
          </rPr>
          <t xml:space="preserve">Enter data from the MOSFET's SOA chart typically found in its datasheet.
</t>
        </r>
        <r>
          <rPr>
            <b/>
            <sz val="8"/>
            <color indexed="10"/>
            <rFont val="Tahoma"/>
            <family val="2"/>
          </rPr>
          <t>Consult the MOSFET vendor for SOA performance detail and appropriate derating criteria.</t>
        </r>
      </text>
    </comment>
    <comment ref="F43" authorId="0" shapeId="0" xr:uid="{00000000-0006-0000-0500-000003000000}">
      <text>
        <r>
          <rPr>
            <b/>
            <sz val="8"/>
            <color indexed="81"/>
            <rFont val="Tahoma"/>
            <family val="2"/>
          </rPr>
          <t xml:space="preserve">Enter data from the MOSFET's SOA chart typically found in its datasheet.
</t>
        </r>
        <r>
          <rPr>
            <b/>
            <sz val="8"/>
            <color indexed="10"/>
            <rFont val="Tahoma"/>
            <family val="2"/>
          </rPr>
          <t>Consult the MOSFET vendor for SOA performance detail and appropriate derating criteria.</t>
        </r>
      </text>
    </comment>
  </commentList>
</comments>
</file>

<file path=xl/sharedStrings.xml><?xml version="1.0" encoding="utf-8"?>
<sst xmlns="http://schemas.openxmlformats.org/spreadsheetml/2006/main" count="648" uniqueCount="432">
  <si>
    <t>Max Rs =</t>
  </si>
  <si>
    <t>Min. Current limit =</t>
  </si>
  <si>
    <t>Typ. Current limit =</t>
  </si>
  <si>
    <t>Max. Current limit =</t>
  </si>
  <si>
    <t>Rs Power Diss. =</t>
  </si>
  <si>
    <t>Resulting Typical Power Limit =</t>
  </si>
  <si>
    <t>Resulting Minimum Power Limit =</t>
  </si>
  <si>
    <t>Resulting Maximum Power Limit =</t>
  </si>
  <si>
    <t>ms</t>
  </si>
  <si>
    <t>(V)</t>
  </si>
  <si>
    <t>(A)</t>
  </si>
  <si>
    <t>R1 =</t>
  </si>
  <si>
    <t>R2 =</t>
  </si>
  <si>
    <t>R3 =</t>
  </si>
  <si>
    <t xml:space="preserve">   24% tolerance used in this calculation.</t>
  </si>
  <si>
    <r>
      <t>C</t>
    </r>
    <r>
      <rPr>
        <vertAlign val="subscript"/>
        <sz val="10"/>
        <rFont val="Arial"/>
        <family val="2"/>
      </rPr>
      <t>T</t>
    </r>
    <r>
      <rPr>
        <sz val="10"/>
        <rFont val="Arial"/>
        <family val="2"/>
      </rPr>
      <t xml:space="preserve"> =</t>
    </r>
  </si>
  <si>
    <t>Notes:</t>
  </si>
  <si>
    <t>Option A</t>
  </si>
  <si>
    <t>Option B</t>
  </si>
  <si>
    <t>A</t>
  </si>
  <si>
    <t>UVLO lower is F41</t>
  </si>
  <si>
    <t>OVLO upper is F42</t>
  </si>
  <si>
    <t>OVLO lower is F43</t>
  </si>
  <si>
    <t xml:space="preserve">R3 = </t>
  </si>
  <si>
    <t xml:space="preserve">R2 = </t>
  </si>
  <si>
    <t xml:space="preserve">R1 = </t>
  </si>
  <si>
    <t>Minimum</t>
  </si>
  <si>
    <t>Typical</t>
  </si>
  <si>
    <t>Maximum</t>
  </si>
  <si>
    <t>R2 is F49</t>
  </si>
  <si>
    <t>R3 is F50</t>
  </si>
  <si>
    <t>R4 is F51</t>
  </si>
  <si>
    <t>Resulting Thresholds:</t>
  </si>
  <si>
    <r>
      <t>V</t>
    </r>
    <r>
      <rPr>
        <b/>
        <vertAlign val="subscript"/>
        <sz val="10"/>
        <rFont val="Arial"/>
        <family val="2"/>
      </rPr>
      <t>DS</t>
    </r>
  </si>
  <si>
    <t>GRAPH:</t>
  </si>
  <si>
    <t>Selected Rs =</t>
  </si>
  <si>
    <r>
      <t>Selected R</t>
    </r>
    <r>
      <rPr>
        <vertAlign val="subscript"/>
        <sz val="10"/>
        <rFont val="Arial"/>
        <family val="2"/>
      </rPr>
      <t>PWR</t>
    </r>
    <r>
      <rPr>
        <sz val="10"/>
        <rFont val="Arial"/>
        <family val="2"/>
      </rPr>
      <t xml:space="preserve"> =</t>
    </r>
  </si>
  <si>
    <t>Max System voltage =</t>
  </si>
  <si>
    <t>Current Lim (min) =</t>
  </si>
  <si>
    <t>Current Lim (typ) =</t>
  </si>
  <si>
    <t>Current Lim (max) =</t>
  </si>
  <si>
    <t>Power Limit (min) =</t>
  </si>
  <si>
    <t>Power Limit (typ) =</t>
  </si>
  <si>
    <t>Power Limit (max) =</t>
  </si>
  <si>
    <t>A) This table calculates the Ids current based</t>
  </si>
  <si>
    <t>B) This table corrrects the table at left so no</t>
  </si>
  <si>
    <t>on power limit only - no current limit info.</t>
  </si>
  <si>
    <t>current is greater than the current limit.</t>
  </si>
  <si>
    <t>Vds</t>
  </si>
  <si>
    <t>Min</t>
  </si>
  <si>
    <t>Typ</t>
  </si>
  <si>
    <t>Max</t>
  </si>
  <si>
    <t>SOA data points from</t>
  </si>
  <si>
    <t>the customer's SOA</t>
  </si>
  <si>
    <t>data he entered.</t>
  </si>
  <si>
    <t>User's</t>
  </si>
  <si>
    <t>Ids</t>
  </si>
  <si>
    <t>x = customer's entry</t>
  </si>
  <si>
    <t>x</t>
  </si>
  <si>
    <t>SOA</t>
  </si>
  <si>
    <t>C) This table creates the</t>
  </si>
  <si>
    <t>µF</t>
  </si>
  <si>
    <r>
      <t>k</t>
    </r>
    <r>
      <rPr>
        <sz val="10"/>
        <rFont val="Symbol"/>
        <family val="1"/>
        <charset val="2"/>
      </rPr>
      <t>W</t>
    </r>
  </si>
  <si>
    <r>
      <t>m</t>
    </r>
    <r>
      <rPr>
        <sz val="10"/>
        <rFont val="Symbol"/>
        <family val="1"/>
        <charset val="2"/>
      </rPr>
      <t>W</t>
    </r>
  </si>
  <si>
    <t>V</t>
  </si>
  <si>
    <t>W</t>
  </si>
  <si>
    <t>D) This table changes ID values to zero for Vds&gt;Vin(max)</t>
  </si>
  <si>
    <t>and adds the SOA curve. This data is plotted.</t>
  </si>
  <si>
    <t>Resulting Minimum Current Limit</t>
  </si>
  <si>
    <t>Resulting Typical Current Limit</t>
  </si>
  <si>
    <t>Resulting Maximum Current Limit</t>
  </si>
  <si>
    <t>Calculated Values are shown in White Cells</t>
  </si>
  <si>
    <t>www.ti.com/hotswap</t>
  </si>
  <si>
    <t xml:space="preserve">Enter the Resistance for R2 </t>
  </si>
  <si>
    <t xml:space="preserve">Enter the Resistance for R3 </t>
  </si>
  <si>
    <r>
      <t>Minimum Input Operating Voltage: V</t>
    </r>
    <r>
      <rPr>
        <vertAlign val="subscript"/>
        <sz val="10"/>
        <rFont val="Arial"/>
        <family val="2"/>
      </rPr>
      <t>IN(MIN)</t>
    </r>
  </si>
  <si>
    <r>
      <t>Maximum Input Operating Voltage: V</t>
    </r>
    <r>
      <rPr>
        <vertAlign val="subscript"/>
        <sz val="10"/>
        <rFont val="Arial"/>
        <family val="2"/>
      </rPr>
      <t>IN(MAX)</t>
    </r>
  </si>
  <si>
    <r>
      <t>Maximum Power Dissipation in R</t>
    </r>
    <r>
      <rPr>
        <vertAlign val="subscript"/>
        <sz val="10"/>
        <rFont val="Arial"/>
        <family val="2"/>
      </rPr>
      <t>S</t>
    </r>
  </si>
  <si>
    <r>
      <t>I</t>
    </r>
    <r>
      <rPr>
        <b/>
        <vertAlign val="subscript"/>
        <sz val="10"/>
        <rFont val="Arial"/>
        <family val="2"/>
      </rPr>
      <t>D</t>
    </r>
  </si>
  <si>
    <t>Ramp time for output voltage</t>
  </si>
  <si>
    <t>Nominal output voltage</t>
  </si>
  <si>
    <t>Required soft-start capacitance</t>
  </si>
  <si>
    <t>nF</t>
  </si>
  <si>
    <r>
      <t>Nominal Input Operating Voltage: V</t>
    </r>
    <r>
      <rPr>
        <vertAlign val="subscript"/>
        <sz val="10"/>
        <rFont val="Arial"/>
        <family val="2"/>
      </rPr>
      <t>IN(NOM)</t>
    </r>
  </si>
  <si>
    <r>
      <t>Maximum Ambient Operating Temperature: T</t>
    </r>
    <r>
      <rPr>
        <vertAlign val="subscript"/>
        <sz val="10"/>
        <rFont val="Arial"/>
        <family val="2"/>
      </rPr>
      <t>MAX</t>
    </r>
  </si>
  <si>
    <r>
      <t>Maximum Load Current: I</t>
    </r>
    <r>
      <rPr>
        <vertAlign val="subscript"/>
        <sz val="10"/>
        <rFont val="Arial"/>
        <family val="2"/>
      </rPr>
      <t>OUT(MAX)</t>
    </r>
  </si>
  <si>
    <t>Step 3: MOSFET Selection</t>
  </si>
  <si>
    <t>Number of MosFETs</t>
  </si>
  <si>
    <t>#</t>
  </si>
  <si>
    <r>
      <rPr>
        <vertAlign val="superscript"/>
        <sz val="10"/>
        <rFont val="Arial"/>
        <family val="2"/>
      </rPr>
      <t>o</t>
    </r>
    <r>
      <rPr>
        <sz val="10"/>
        <rFont val="Arial"/>
        <family val="2"/>
      </rPr>
      <t>C</t>
    </r>
  </si>
  <si>
    <r>
      <rPr>
        <vertAlign val="superscript"/>
        <sz val="10"/>
        <rFont val="Arial"/>
        <family val="2"/>
      </rPr>
      <t>o</t>
    </r>
    <r>
      <rPr>
        <sz val="10"/>
        <rFont val="Arial"/>
        <family val="2"/>
      </rPr>
      <t>C/W</t>
    </r>
  </si>
  <si>
    <t>Maximum FET Junction Temperature</t>
  </si>
  <si>
    <t>100ms SOA Current Maximum Input Voltage</t>
  </si>
  <si>
    <t>1ms SOA Current Maximum Input Voltage</t>
  </si>
  <si>
    <t>10ms SOA Current Maximum Input Voltage</t>
  </si>
  <si>
    <t>100ms or DC SOA Current at Maximum Input Voltage</t>
  </si>
  <si>
    <t>Pick your MOSFET</t>
  </si>
  <si>
    <t>Current Limit</t>
  </si>
  <si>
    <t>Step 4: Startup</t>
  </si>
  <si>
    <t>Startup Load Type</t>
  </si>
  <si>
    <t>Startup Load Value</t>
  </si>
  <si>
    <t>Constant Current</t>
  </si>
  <si>
    <t>Resistive</t>
  </si>
  <si>
    <t>Vout</t>
  </si>
  <si>
    <t>ILOAD</t>
  </si>
  <si>
    <t xml:space="preserve">Start-up slop </t>
  </si>
  <si>
    <t>QG</t>
  </si>
  <si>
    <t>I_Src</t>
  </si>
  <si>
    <t>RMS</t>
  </si>
  <si>
    <t>PLIM</t>
  </si>
  <si>
    <t>combined</t>
  </si>
  <si>
    <t>I_timer</t>
  </si>
  <si>
    <t>C_timer</t>
  </si>
  <si>
    <t>Final</t>
  </si>
  <si>
    <t>Step 1: Operating Conditions</t>
  </si>
  <si>
    <t>VDS</t>
  </si>
  <si>
    <t>IDS</t>
  </si>
  <si>
    <t>Time</t>
  </si>
  <si>
    <t>Startup</t>
  </si>
  <si>
    <t>FET Selection</t>
  </si>
  <si>
    <t>Nominal</t>
  </si>
  <si>
    <t>Derated at TJ</t>
  </si>
  <si>
    <t>Operating Conditions</t>
  </si>
  <si>
    <t>Input Voltage</t>
  </si>
  <si>
    <t>Units</t>
  </si>
  <si>
    <t>uA</t>
  </si>
  <si>
    <t>Timer</t>
  </si>
  <si>
    <t>Upper Threshold</t>
  </si>
  <si>
    <t>ICAP</t>
  </si>
  <si>
    <t>Junction Temperature</t>
  </si>
  <si>
    <t>VIN</t>
  </si>
  <si>
    <t>Power Limit</t>
  </si>
  <si>
    <t>mV</t>
  </si>
  <si>
    <t>Minimum Power Limit=</t>
  </si>
  <si>
    <t>Look Up</t>
  </si>
  <si>
    <t>1ms</t>
  </si>
  <si>
    <t>10ms</t>
  </si>
  <si>
    <t>100ms</t>
  </si>
  <si>
    <t>Final SOA</t>
  </si>
  <si>
    <t>SOA Predictor</t>
  </si>
  <si>
    <t>time</t>
  </si>
  <si>
    <t>Voltage</t>
  </si>
  <si>
    <t>Lower time</t>
  </si>
  <si>
    <t>Higher timer</t>
  </si>
  <si>
    <t>I (lower time)</t>
  </si>
  <si>
    <t>I (higher time)</t>
  </si>
  <si>
    <t>P = a * t^m</t>
  </si>
  <si>
    <t>a</t>
  </si>
  <si>
    <t>a = P1/t1^m</t>
  </si>
  <si>
    <t>m</t>
  </si>
  <si>
    <t>m = log(P1/P2)/log(t1/t2)</t>
  </si>
  <si>
    <t>Extr. I</t>
  </si>
  <si>
    <t>Final Power</t>
  </si>
  <si>
    <t>&lt;= covers Time &lt; 1ms case</t>
  </si>
  <si>
    <t>Assuming Power vs time is linear on a log-log plot</t>
  </si>
  <si>
    <r>
      <rPr>
        <vertAlign val="superscript"/>
        <sz val="10"/>
        <rFont val="Arial"/>
        <family val="2"/>
      </rPr>
      <t>o</t>
    </r>
    <r>
      <rPr>
        <sz val="10"/>
        <rFont val="Arial"/>
        <family val="2"/>
      </rPr>
      <t>C</t>
    </r>
  </si>
  <si>
    <t>Interpolated Power=</t>
  </si>
  <si>
    <t xml:space="preserve">Max Power with Temp Derating = </t>
  </si>
  <si>
    <t>Load Turn-On Threshold</t>
  </si>
  <si>
    <t>a = iSOA1/tSOA1^m</t>
  </si>
  <si>
    <t>m = log(iSOA1/iSOA2)/log(tSOA1/tSOA2)</t>
  </si>
  <si>
    <t>I = a * t^m</t>
  </si>
  <si>
    <t>Derating factor =</t>
  </si>
  <si>
    <t>No</t>
  </si>
  <si>
    <t>Yes</t>
  </si>
  <si>
    <t>Gate</t>
  </si>
  <si>
    <t>CLMAX =</t>
  </si>
  <si>
    <t xml:space="preserve">CLNOM = </t>
  </si>
  <si>
    <t>CLMIN =</t>
  </si>
  <si>
    <t>If any of the above cells is red, see the  Instrunctions Worksheet</t>
  </si>
  <si>
    <t>Design Summary</t>
  </si>
  <si>
    <t>Current limit</t>
  </si>
  <si>
    <t>Upper UVLO Threshold</t>
  </si>
  <si>
    <t>Lower OVLO Threshold</t>
  </si>
  <si>
    <t>Lower UVLO Threshold</t>
  </si>
  <si>
    <t>Upper OVLO Threshold</t>
  </si>
  <si>
    <t>RDSON</t>
  </si>
  <si>
    <t>Constant Power SOA 100us</t>
  </si>
  <si>
    <t>Constant Power SOA 1ms</t>
  </si>
  <si>
    <t>Constant Power SOA 10ms</t>
  </si>
  <si>
    <t>Constant Power SOA 100ms</t>
  </si>
  <si>
    <t>Second Breakdown 100us</t>
  </si>
  <si>
    <t>Second Breakdown 1ms</t>
  </si>
  <si>
    <t>Second Breakdown 10ms</t>
  </si>
  <si>
    <t>Second Breakdown 100ms</t>
  </si>
  <si>
    <t>Maximum Drain to Source Current</t>
  </si>
  <si>
    <t>Maximum Drain to Source Voltage</t>
  </si>
  <si>
    <t>Power</t>
  </si>
  <si>
    <t>IDS intersec</t>
  </si>
  <si>
    <t>IDS plot</t>
  </si>
  <si>
    <t>100us</t>
  </si>
  <si>
    <t>Constant Power</t>
  </si>
  <si>
    <t>VDS plot</t>
  </si>
  <si>
    <t>Custom</t>
  </si>
  <si>
    <t>Supported FETs</t>
  </si>
  <si>
    <t>Fet Data</t>
  </si>
  <si>
    <t>SOA at VINMAX @ 100us</t>
  </si>
  <si>
    <t>RThetaJA</t>
  </si>
  <si>
    <t>Max Junction Temp</t>
  </si>
  <si>
    <t>SOA at VINMAX @ 1ms</t>
  </si>
  <si>
    <t>SOA at VINMAX @ 10ms</t>
  </si>
  <si>
    <t>SOA at VINMAX @ 100ms</t>
  </si>
  <si>
    <r>
      <t>Maximum Output Load Capacitance: C</t>
    </r>
    <r>
      <rPr>
        <vertAlign val="subscript"/>
        <sz val="10"/>
        <rFont val="Arial"/>
        <family val="2"/>
      </rPr>
      <t>LOAD</t>
    </r>
  </si>
  <si>
    <t>Connect /Retry to</t>
  </si>
  <si>
    <t>Fault Response</t>
  </si>
  <si>
    <t>Retry</t>
  </si>
  <si>
    <t>3. Componet tolerances not accounted for in Min/Max Calculations.</t>
  </si>
  <si>
    <t xml:space="preserve">MOSFET's SOA @ </t>
  </si>
  <si>
    <r>
      <t>Estimated MOSFET R</t>
    </r>
    <r>
      <rPr>
        <sz val="10"/>
        <rFont val="Symbol"/>
        <family val="1"/>
        <charset val="2"/>
      </rPr>
      <t>Q</t>
    </r>
    <r>
      <rPr>
        <vertAlign val="subscript"/>
        <sz val="10"/>
        <rFont val="Arial"/>
        <family val="2"/>
      </rPr>
      <t>JA</t>
    </r>
  </si>
  <si>
    <t>Values Used</t>
  </si>
  <si>
    <t xml:space="preserve"> </t>
  </si>
  <si>
    <r>
      <t>Maximum steady state FET Junction Temperature (T</t>
    </r>
    <r>
      <rPr>
        <vertAlign val="subscript"/>
        <sz val="10"/>
        <rFont val="Arial"/>
        <family val="2"/>
      </rPr>
      <t>J,DC</t>
    </r>
    <r>
      <rPr>
        <sz val="10"/>
        <rFont val="Arial"/>
        <family val="2"/>
      </rPr>
      <t>)</t>
    </r>
  </si>
  <si>
    <r>
      <t>MOSFET On resistance @ T</t>
    </r>
    <r>
      <rPr>
        <vertAlign val="subscript"/>
        <sz val="10"/>
        <rFont val="Arial"/>
        <family val="2"/>
      </rPr>
      <t>J,DC</t>
    </r>
  </si>
  <si>
    <t>Vsns = Rpwr / (A*Vds) + Vos,syst</t>
  </si>
  <si>
    <t>Plim (Vds) = 1/Rs * [ Rpwr/A + Vds * Vos, syst]</t>
  </si>
  <si>
    <t xml:space="preserve">Example: </t>
  </si>
  <si>
    <t>Rpwr</t>
  </si>
  <si>
    <t>Plim</t>
  </si>
  <si>
    <t>Rsns (m-ohm)</t>
  </si>
  <si>
    <t>Vsns (mV)</t>
  </si>
  <si>
    <t>Rpwr =  A * [PLIM(Vds) * Rs - Vds*Vos,syst]</t>
  </si>
  <si>
    <t xml:space="preserve">Key Equations: </t>
  </si>
  <si>
    <t>Plim (Vds) = Plim (Vin,max) + (Vds - Vin,max)*Vos,syst/Rs</t>
  </si>
  <si>
    <t>Ex: Plim @ 13V = 100W, Rs = 0.5; Plim @ (Vds = 5V) = 100W - 7V * 1mV/0.5mili-ohm = 100W - 14W = 86W</t>
  </si>
  <si>
    <t>Target Power Limit</t>
  </si>
  <si>
    <r>
      <t>Minimum Power Limit to Ensure Vsns &gt; 3mV (P</t>
    </r>
    <r>
      <rPr>
        <vertAlign val="subscript"/>
        <sz val="10"/>
        <rFont val="Arial"/>
        <family val="2"/>
      </rPr>
      <t>LIM,MIN</t>
    </r>
    <r>
      <rPr>
        <sz val="10"/>
        <rFont val="Arial"/>
        <family val="2"/>
      </rPr>
      <t>)</t>
    </r>
  </si>
  <si>
    <t>Target PLIM</t>
  </si>
  <si>
    <t>k-ohm</t>
  </si>
  <si>
    <t>Final Plim</t>
  </si>
  <si>
    <t>Actual PLIM</t>
  </si>
  <si>
    <t>ILIM</t>
  </si>
  <si>
    <t>Load type</t>
  </si>
  <si>
    <t>Load Value</t>
  </si>
  <si>
    <t>Load start</t>
  </si>
  <si>
    <t>Rs</t>
  </si>
  <si>
    <t>Vos,syst</t>
  </si>
  <si>
    <r>
      <rPr>
        <b/>
        <u/>
        <sz val="10"/>
        <rFont val="Symbol"/>
        <family val="1"/>
        <charset val="2"/>
      </rPr>
      <t>D</t>
    </r>
    <r>
      <rPr>
        <b/>
        <u/>
        <sz val="10"/>
        <rFont val="Arial"/>
        <family val="2"/>
      </rPr>
      <t>t</t>
    </r>
  </si>
  <si>
    <t>IFET</t>
  </si>
  <si>
    <t>I_Fet-IL margin</t>
  </si>
  <si>
    <t>Start-time</t>
  </si>
  <si>
    <t>I_fet-I_L margin</t>
  </si>
  <si>
    <t>Typical Start Time with Vinmax (Tstart)</t>
  </si>
  <si>
    <t>Typical Start time</t>
  </si>
  <si>
    <t>Target Fault Timer</t>
  </si>
  <si>
    <t>Target Timer capacitance</t>
  </si>
  <si>
    <t>Selected Timer capacitance</t>
  </si>
  <si>
    <t>IFET - ILOAD margin (lowest for Vout range)</t>
  </si>
  <si>
    <t xml:space="preserve">Selected Timer capacitance </t>
  </si>
  <si>
    <t>Final Fault Timer</t>
  </si>
  <si>
    <t>Note: I added an adjustment for the systematic offset</t>
  </si>
  <si>
    <t>Vos syst</t>
  </si>
  <si>
    <t>Rs (ohm)</t>
  </si>
  <si>
    <t>Vin, max</t>
  </si>
  <si>
    <t>Plim tolerance</t>
  </si>
  <si>
    <t>Temp Derated SOA</t>
  </si>
  <si>
    <t>Derated SOA / PLIM</t>
  </si>
  <si>
    <t>SOA / PLIM</t>
  </si>
  <si>
    <t>IFET_PLIM</t>
  </si>
  <si>
    <t>FET Power dissapation at full load (per FET)</t>
  </si>
  <si>
    <t>FET_ENERGY</t>
  </si>
  <si>
    <t>J</t>
  </si>
  <si>
    <t>Max _allowed SS_rate</t>
  </si>
  <si>
    <t>Power (W)</t>
  </si>
  <si>
    <t>I_g(hi/nom)</t>
  </si>
  <si>
    <t>I_g(low/nom)</t>
  </si>
  <si>
    <t>max_power_typ</t>
  </si>
  <si>
    <t>SOA Check - Based on Timer</t>
  </si>
  <si>
    <t>Final Fault Timer(Tfault)</t>
  </si>
  <si>
    <t>Enter Values in Green Shaded Cells</t>
  </si>
  <si>
    <t>1s/DC</t>
  </si>
  <si>
    <r>
      <t>100</t>
    </r>
    <r>
      <rPr>
        <sz val="10"/>
        <rFont val="Symbol"/>
        <family val="1"/>
        <charset val="2"/>
      </rPr>
      <t>m</t>
    </r>
    <r>
      <rPr>
        <sz val="10"/>
        <rFont val="Arial"/>
        <family val="2"/>
      </rPr>
      <t>s SOA Current (re-use 1ms data if unavailable) @ Maximum Input Voltage</t>
    </r>
  </si>
  <si>
    <t>1s or DC SOA Current at Maximum Input Voltage</t>
  </si>
  <si>
    <t>FET_Energy</t>
  </si>
  <si>
    <r>
      <t xml:space="preserve">                    </t>
    </r>
    <r>
      <rPr>
        <sz val="22"/>
        <color theme="0"/>
        <rFont val="Arial"/>
        <family val="2"/>
      </rPr>
      <t>TPS24720 Hot Swap Design Tool</t>
    </r>
  </si>
  <si>
    <t>C</t>
  </si>
  <si>
    <t>Threshold Voltage</t>
  </si>
  <si>
    <t>Threshold Voltage at VOUT = 7V and RPROG = 50K-Ohm</t>
  </si>
  <si>
    <t>Threshold Voltage at VOUT = 2V and RPROG = 25K-Ohm</t>
  </si>
  <si>
    <t>Input Bias Current</t>
  </si>
  <si>
    <t>Fast-trip threshold</t>
  </si>
  <si>
    <t xml:space="preserve">Fast-turnoff duration </t>
  </si>
  <si>
    <t>u-Sec</t>
  </si>
  <si>
    <t>Lower Threshold</t>
  </si>
  <si>
    <t>Sourcing Current</t>
  </si>
  <si>
    <t>Sinking Current, VTIMER = 2V</t>
  </si>
  <si>
    <t>Sinking Current, VEN = 0V, VTIMER = 2V</t>
  </si>
  <si>
    <t>mA</t>
  </si>
  <si>
    <t>Timer Activation Voltage</t>
  </si>
  <si>
    <t>Bleed-down resistance, VENSD = 0V, VTIMER = 2V</t>
  </si>
  <si>
    <t>K-Ohm</t>
  </si>
  <si>
    <t>Gate Sourcing Current, VGATE = 12V</t>
  </si>
  <si>
    <t>OV</t>
  </si>
  <si>
    <t>Threshold Voltage, Rising</t>
  </si>
  <si>
    <t>Hysteresis</t>
  </si>
  <si>
    <t>VCC</t>
  </si>
  <si>
    <t>UVLO threshold, rising</t>
  </si>
  <si>
    <t>UVLO threshold, falling</t>
  </si>
  <si>
    <t>EN</t>
  </si>
  <si>
    <t>Threshold Voltage, falling</t>
  </si>
  <si>
    <t>Threshold</t>
  </si>
  <si>
    <t>PGb</t>
  </si>
  <si>
    <t>ENSD</t>
  </si>
  <si>
    <t>Threshold (Rising or Falling Edge)</t>
  </si>
  <si>
    <t>FLTb</t>
  </si>
  <si>
    <t>Output low voltage</t>
  </si>
  <si>
    <t>mA Sinking Current</t>
  </si>
  <si>
    <t>FFLTb</t>
  </si>
  <si>
    <t>VIMON threshold</t>
  </si>
  <si>
    <t>PROG</t>
  </si>
  <si>
    <t>Bias voltage</t>
  </si>
  <si>
    <t>Enter the Value of Sense Resistor</t>
  </si>
  <si>
    <t>Fold Back</t>
  </si>
  <si>
    <t>Maximum Recommended Foldback</t>
  </si>
  <si>
    <t>Min Recommenede Vsns</t>
  </si>
  <si>
    <t>Recommended V(CC-SENSE)</t>
  </si>
  <si>
    <t>Recommended value of SET Resistance</t>
  </si>
  <si>
    <t>Enter the Value of SET Resistor</t>
  </si>
  <si>
    <t>Recommended value of IMON Resistance</t>
  </si>
  <si>
    <t>Enter the value of IMON Resistance</t>
  </si>
  <si>
    <t xml:space="preserve">Rset = </t>
  </si>
  <si>
    <t xml:space="preserve">Rimon = </t>
  </si>
  <si>
    <t>Ω</t>
  </si>
  <si>
    <t>Calculated RPROG</t>
  </si>
  <si>
    <t>Actual RPROG</t>
  </si>
  <si>
    <t>Rprog</t>
  </si>
  <si>
    <t>Rprog actual</t>
  </si>
  <si>
    <t>MOSFET Input Capacitance</t>
  </si>
  <si>
    <t>Time to reach gate of MOSFET to 5.9V</t>
  </si>
  <si>
    <t>Select the startup timer</t>
  </si>
  <si>
    <t>R_SET</t>
  </si>
  <si>
    <t>R_SENSE</t>
  </si>
  <si>
    <t>R_IMON</t>
  </si>
  <si>
    <t>R_PROG</t>
  </si>
  <si>
    <t xml:space="preserve">Yellow and Red cells highlight pottential issues with the design. </t>
  </si>
  <si>
    <t xml:space="preserve">Red highlights items that are higher risk. </t>
  </si>
  <si>
    <t>CSD16401Q5</t>
  </si>
  <si>
    <t>Step 2: RSENSE, RSET and RIMON</t>
  </si>
  <si>
    <t>SOA Coefficients</t>
  </si>
  <si>
    <t>0.1 to 1 ms</t>
  </si>
  <si>
    <t>1 to 10ms</t>
  </si>
  <si>
    <t>10ms to 100 ms</t>
  </si>
  <si>
    <t>100 ms to 1s</t>
  </si>
  <si>
    <t>t1</t>
  </si>
  <si>
    <t>t2</t>
  </si>
  <si>
    <t>For Trial Only</t>
  </si>
  <si>
    <t>Step 5: UVLO &amp; OVLO Thresholds</t>
  </si>
  <si>
    <t xml:space="preserve">Resulting Rising UVLO Threshold (min) = </t>
  </si>
  <si>
    <t xml:space="preserve">Resulting Rising UVLO Threshold (typ) = </t>
  </si>
  <si>
    <t xml:space="preserve">Resulting Rising UVLO Threshold (max) = </t>
  </si>
  <si>
    <t xml:space="preserve">Resulting falling UVLO Threshold (min) = </t>
  </si>
  <si>
    <t xml:space="preserve">Resulting falling UVLO Threshold (typ) = </t>
  </si>
  <si>
    <t xml:space="preserve">Resulting falling UVLO Threshold (max) = </t>
  </si>
  <si>
    <t xml:space="preserve">Resulting Rising OVLO Threshold (min) = </t>
  </si>
  <si>
    <t xml:space="preserve">Resulting Rising OVLO Threshold (typ) = </t>
  </si>
  <si>
    <t xml:space="preserve">Resulting Rising OVLO Threshold (max) = </t>
  </si>
  <si>
    <t xml:space="preserve">Resulting falling OVLO Threshold (min) = </t>
  </si>
  <si>
    <t xml:space="preserve">Resulting falling OVLO Threshold (typ) = </t>
  </si>
  <si>
    <t xml:space="preserve">Resulting falling OVLO Threshold (max) = </t>
  </si>
  <si>
    <t xml:space="preserve">Resulting Rising UVLO Threshold = </t>
  </si>
  <si>
    <t xml:space="preserve">Resulting Falling UVLO Threshold = </t>
  </si>
  <si>
    <t xml:space="preserve">Resulting Rising OVLO Threshold = </t>
  </si>
  <si>
    <t xml:space="preserve">Resulting Falling OVLO Threshold = </t>
  </si>
  <si>
    <t>Recommended value of RGATE</t>
  </si>
  <si>
    <t>R_GATE =</t>
  </si>
  <si>
    <t>Desired Falling UVLO Threshold</t>
  </si>
  <si>
    <t>Desired Rising OVLO Threshold</t>
  </si>
  <si>
    <t>1. Although not mandatory, C1 provides transient suppression at the VIN pin</t>
  </si>
  <si>
    <t xml:space="preserve">2. The OUT pin should be protected from negative voltage transients by a clamping diode (3A/40V) or sufficient capacitors. </t>
  </si>
  <si>
    <r>
      <t>C1</t>
    </r>
    <r>
      <rPr>
        <sz val="10"/>
        <rFont val="Arial"/>
        <family val="2"/>
      </rPr>
      <t xml:space="preserve"> = </t>
    </r>
  </si>
  <si>
    <r>
      <t>m</t>
    </r>
    <r>
      <rPr>
        <sz val="10"/>
        <rFont val="Times New Roman"/>
        <family val="1"/>
      </rPr>
      <t>Ω</t>
    </r>
  </si>
  <si>
    <t>Typical Duration when Timer runs (Vgs&lt;5.9V)</t>
  </si>
  <si>
    <t>Target Timer (1.5x typical)</t>
  </si>
  <si>
    <t xml:space="preserve">CL = </t>
  </si>
  <si>
    <t>FET input capacitance</t>
  </si>
  <si>
    <t>4. R4, R5, and R6 are required only if PGb, FLTb, and FFLTb are used; these resistors serve as pullups for the open-drain output drivers</t>
  </si>
  <si>
    <t xml:space="preserve">R1 </t>
  </si>
  <si>
    <t>Select Resistance  R1</t>
  </si>
  <si>
    <t>Recommended value of R2</t>
  </si>
  <si>
    <t>Recommended value of R3</t>
  </si>
  <si>
    <t>Recommended Rsns (max)</t>
  </si>
  <si>
    <t>Recommended Rsns (min)</t>
  </si>
  <si>
    <t>Target Current Limit</t>
  </si>
  <si>
    <t>&lt;= % Error varies with Vsns</t>
  </si>
  <si>
    <t>Offset Error</t>
  </si>
  <si>
    <t>Gain Error</t>
  </si>
  <si>
    <t>% error</t>
  </si>
  <si>
    <t>Fasti Trip Threshold (60mV / Rsns)</t>
  </si>
  <si>
    <t>&lt;= I bumped this up</t>
  </si>
  <si>
    <t>Min Rs =</t>
  </si>
  <si>
    <t>Maximum Allowed Foldback</t>
  </si>
  <si>
    <t>&lt;= I bumped this up too</t>
  </si>
  <si>
    <t>R7</t>
  </si>
  <si>
    <t>Z1</t>
  </si>
  <si>
    <t>D1</t>
  </si>
  <si>
    <t>SMCJxx</t>
  </si>
  <si>
    <t>MBRS330T3G</t>
  </si>
  <si>
    <t>Fast Trip Threshold</t>
  </si>
  <si>
    <t>© 2014</t>
  </si>
  <si>
    <t>The basic design process follows:</t>
  </si>
  <si>
    <t>1. Enter operating conditions.</t>
  </si>
  <si>
    <t>2. Select current limit parameters.</t>
  </si>
  <si>
    <t>3. Enter MOSTFET SOA characteristics &amp; power limit.</t>
  </si>
  <si>
    <t>6. Done</t>
  </si>
  <si>
    <t>Notes</t>
  </si>
  <si>
    <t>1. This worksheet is designed for use with Microsoft Excel 5.0 or later.  Its use is intended to assist power supply designers in their</t>
  </si>
  <si>
    <t xml:space="preserve">routine, day-to-day calculations.  </t>
  </si>
  <si>
    <t>2. All worksheets have light green inputs cells, white calculated cells, yellow warning cells and red high-risk cells.</t>
  </si>
  <si>
    <t>3. Formulas and device constants used in the spreadsheet are locked to prohibit them from accidentally being overwritten or deleted.</t>
  </si>
  <si>
    <t>4. Select start up conditions. Check whether FET is operating with reasonable margin, within the SOA curve.</t>
  </si>
  <si>
    <t xml:space="preserve">    If not, try changing start-up conditions, add more FETs in parallel, or switch to FET with better SOA.</t>
  </si>
  <si>
    <t>5. Enter desired UVLO values to get recommended resistor values.</t>
  </si>
  <si>
    <t xml:space="preserve">TEXAS INSTRUMENTS TEXT FILE LICENSE
Copyright (c) 2014 Texas Instruments Incorporated
All rights reserved not granted herein.
Limited License.  
Texas Instruments Incorporated grants a world-wide, royalty-free, non-exclusive license under copyrights and patents it now or hereafter owns or controls to make, have made, use, import, offer to sell and sell ("Utilize") this software subject to the terms herein.  With respect to the foregoing patent license, such license is granted  solely to the extent that any such patent is necessary to Utilize the software alone.  The patent license shall not apply to any combinations which include this software, other than combinations with devices manufactured by or for TI (“TI Devices”).  No hardware patent is licensed hereunder.
Redistributions must preserve existing copyright notices and reproduce this license (including the above copyright notice and the disclaimer and (if applicable) source code license limitations below) in the documentation and/or other materials provided with the distribution
Redistribution and use in binary form, without modification, are permitted provided that the following conditions are met:
* No reverse engineering, decompilation, or disassembly of this software is permitted with respect to any software provided in binary form.
* any redistribution and use are licensed by TI for use only with TI Devices.
* Nothing shall obligate TI to provide you with source code for the software licensed and provided to you in object code.
If software source code is provided to you, modification and redistribution of the source code are permitted provided that the following conditions are met:
* any redistribution and use of the source code, including any resulting derivative works, are licensed by TI for use only with TI Devices.
* any redistribution and use of any object code compiled from the source code and any resulting derivative works, are licensed by TI for use only with TI Devices.
Neither the name of Texas Instruments Incorporated nor the names of its suppliers may be used to endorse or promote products derived from this software without specific prior written permission.
DISCLAIMER.
THIS SOFTWARE IS PROVIDED BY TI AND TI’S LICENSORS "AS IS" AND ANY EXPRESS OR IMPLIED WARRANTIES, INCLUDING, BUT NOT LIMITED TO, THE IMPLIED WARRANTIES OF MERCHANTABILITY AND FITNESS FOR A PARTICULAR PURPOSE ARE DISCLAIMED. IN NO EVENT SHALL TI AND TI’S LICENSORS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
</t>
  </si>
  <si>
    <t>Typical design procedure</t>
  </si>
  <si>
    <t>Typical applications require multiple passes through the design tool using MOSFET factors such as transient</t>
  </si>
  <si>
    <t>thermal response and safe operating area curves. Refer to the following application reports for more detail.</t>
  </si>
  <si>
    <t>Robust Hot Swap Design</t>
  </si>
  <si>
    <t>Step 0: Calculator Tutorials</t>
  </si>
  <si>
    <r>
      <rPr>
        <b/>
        <u/>
        <sz val="12"/>
        <color rgb="FFFF0000"/>
        <rFont val="Arial"/>
        <family val="2"/>
      </rPr>
      <t>Note</t>
    </r>
    <r>
      <rPr>
        <sz val="12"/>
        <color rgb="FFFF0000"/>
        <rFont val="Arial"/>
        <family val="2"/>
      </rPr>
      <t>: Before proceeding, please watch the video tutorials listed to ensure accurate results from this tool!</t>
    </r>
  </si>
  <si>
    <t>Steps 1 &amp; 2: Operating Conditions, Current Limit, &amp; Circuit Breaker (7:41)</t>
  </si>
  <si>
    <t>Step 3: MOSFET Selection (9:58)</t>
  </si>
  <si>
    <t>Step 4: Startup (10:32)</t>
  </si>
  <si>
    <t>Step 5: UVLO, OVLO &amp; PGD Thresholds (4:20)</t>
  </si>
  <si>
    <r>
      <rPr>
        <b/>
        <sz val="11"/>
        <rFont val="Arial"/>
        <family val="2"/>
      </rPr>
      <t>I understand and agree to watch the video tutorials if help is needed.</t>
    </r>
    <r>
      <rPr>
        <sz val="11"/>
        <rFont val="Arial"/>
        <family val="2"/>
      </rPr>
      <t xml:space="preserve"> </t>
    </r>
    <r>
      <rPr>
        <sz val="10"/>
        <rFont val="Arial"/>
        <family val="2"/>
      </rPr>
      <t>(Choose Yes to enable the calculator.)</t>
    </r>
  </si>
  <si>
    <t xml:space="preserve">Assure to follow the layout and application guidelines listed on the datasheet. </t>
  </si>
  <si>
    <r>
      <rPr>
        <sz val="10"/>
        <rFont val="Arial"/>
        <family val="2"/>
      </rPr>
      <t>*For additional questions not addressed in the videos, please post on</t>
    </r>
    <r>
      <rPr>
        <u/>
        <sz val="10"/>
        <color theme="10"/>
        <rFont val="Arial"/>
        <family val="2"/>
      </rPr>
      <t xml:space="preserve"> E2E.ti.com</t>
    </r>
  </si>
  <si>
    <t>TPS24720 Datasheet</t>
  </si>
  <si>
    <t>Steps 1 &amp; 2: Operating Conditions, Current Limit, &amp; Circuit Breaker</t>
  </si>
  <si>
    <t>Step 5: UVLO, OVLO &amp; PGD Thresholds</t>
  </si>
  <si>
    <r>
      <rPr>
        <b/>
        <u/>
        <sz val="10"/>
        <color rgb="FFFF0000"/>
        <rFont val="Arial"/>
        <family val="2"/>
      </rPr>
      <t>Note:</t>
    </r>
    <r>
      <rPr>
        <b/>
        <sz val="10"/>
        <color rgb="FFFF0000"/>
        <rFont val="Arial"/>
        <family val="2"/>
      </rPr>
      <t xml:space="preserve"> Hover here to see the 3 values affecting this curve, consult a thermal expert if you are unsure! </t>
    </r>
  </si>
  <si>
    <t>TPS24720 Design Tool - Rev F</t>
  </si>
  <si>
    <t>CSD17578Q3A</t>
  </si>
  <si>
    <t>Changed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</si>
</sst>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
    <numFmt numFmtId="166" formatCode="##0.00E+0"/>
    <numFmt numFmtId="167" formatCode="0.0000"/>
    <numFmt numFmtId="168" formatCode="00000"/>
  </numFmts>
  <fonts count="57" x14ac:knownFonts="1">
    <font>
      <sz val="10"/>
      <name val="Arial"/>
    </font>
    <font>
      <sz val="11"/>
      <color theme="1"/>
      <name val="Calibri"/>
      <family val="2"/>
      <scheme val="minor"/>
    </font>
    <font>
      <sz val="10"/>
      <name val="Arial"/>
      <family val="2"/>
    </font>
    <font>
      <b/>
      <sz val="10"/>
      <name val="Arial"/>
      <family val="2"/>
    </font>
    <font>
      <sz val="8"/>
      <name val="Arial"/>
      <family val="2"/>
    </font>
    <font>
      <b/>
      <sz val="8"/>
      <color indexed="81"/>
      <name val="Tahoma"/>
      <family val="2"/>
    </font>
    <font>
      <vertAlign val="subscript"/>
      <sz val="10"/>
      <name val="Arial"/>
      <family val="2"/>
    </font>
    <font>
      <sz val="10"/>
      <name val="Arial"/>
      <family val="2"/>
    </font>
    <font>
      <b/>
      <sz val="10"/>
      <color indexed="10"/>
      <name val="Arial"/>
      <family val="2"/>
    </font>
    <font>
      <sz val="10"/>
      <color indexed="55"/>
      <name val="Arial"/>
      <family val="2"/>
    </font>
    <font>
      <b/>
      <vertAlign val="subscript"/>
      <sz val="10"/>
      <name val="Arial"/>
      <family val="2"/>
    </font>
    <font>
      <sz val="10"/>
      <name val="Symbol"/>
      <family val="1"/>
      <charset val="2"/>
    </font>
    <font>
      <b/>
      <sz val="9"/>
      <color indexed="81"/>
      <name val="Tahoma"/>
      <family val="2"/>
    </font>
    <font>
      <sz val="9"/>
      <color indexed="81"/>
      <name val="Tahoma"/>
      <family val="2"/>
    </font>
    <font>
      <b/>
      <sz val="12"/>
      <color rgb="FFFF0000"/>
      <name val="Calibri"/>
      <family val="2"/>
    </font>
    <font>
      <u/>
      <sz val="10"/>
      <color theme="10"/>
      <name val="Arial"/>
      <family val="2"/>
    </font>
    <font>
      <u/>
      <sz val="10"/>
      <color theme="0"/>
      <name val="Arial"/>
      <family val="2"/>
    </font>
    <font>
      <sz val="10"/>
      <name val="Calibri"/>
      <family val="2"/>
    </font>
    <font>
      <sz val="24"/>
      <color theme="0"/>
      <name val="Arial"/>
      <family val="2"/>
    </font>
    <font>
      <sz val="26"/>
      <color theme="0"/>
      <name val="Arial"/>
      <family val="2"/>
    </font>
    <font>
      <sz val="10"/>
      <color theme="0"/>
      <name val="Calibri"/>
      <family val="2"/>
    </font>
    <font>
      <b/>
      <sz val="11"/>
      <color rgb="FF0000FF"/>
      <name val="Arial"/>
      <family val="2"/>
    </font>
    <font>
      <sz val="11"/>
      <color theme="1"/>
      <name val="Arial"/>
      <family val="2"/>
    </font>
    <font>
      <b/>
      <sz val="11"/>
      <name val="Arial"/>
      <family val="2"/>
    </font>
    <font>
      <b/>
      <sz val="8"/>
      <color indexed="10"/>
      <name val="Tahoma"/>
      <family val="2"/>
    </font>
    <font>
      <b/>
      <sz val="8"/>
      <color indexed="81"/>
      <name val="Arial"/>
      <family val="2"/>
    </font>
    <font>
      <vertAlign val="superscript"/>
      <sz val="10"/>
      <name val="Arial"/>
      <family val="2"/>
    </font>
    <font>
      <b/>
      <u/>
      <sz val="10"/>
      <name val="Arial"/>
      <family val="2"/>
    </font>
    <font>
      <b/>
      <sz val="11"/>
      <color theme="1"/>
      <name val="Calibri"/>
      <family val="2"/>
      <scheme val="minor"/>
    </font>
    <font>
      <u/>
      <sz val="11"/>
      <color theme="1"/>
      <name val="Calibri"/>
      <family val="2"/>
      <scheme val="minor"/>
    </font>
    <font>
      <u/>
      <sz val="10"/>
      <name val="Arial"/>
      <family val="2"/>
    </font>
    <font>
      <sz val="11"/>
      <color rgb="FF000000"/>
      <name val="Calibri"/>
      <family val="2"/>
      <scheme val="minor"/>
    </font>
    <font>
      <sz val="10"/>
      <color rgb="FFFF0000"/>
      <name val="Arial"/>
      <family val="2"/>
    </font>
    <font>
      <sz val="22"/>
      <color theme="0"/>
      <name val="Arial"/>
      <family val="2"/>
    </font>
    <font>
      <b/>
      <u/>
      <sz val="10"/>
      <name val="Symbol"/>
      <family val="1"/>
      <charset val="2"/>
    </font>
    <font>
      <sz val="10"/>
      <name val="Arial"/>
      <family val="2"/>
    </font>
    <font>
      <sz val="11"/>
      <color theme="0"/>
      <name val="Calibri"/>
      <family val="2"/>
      <scheme val="minor"/>
    </font>
    <font>
      <sz val="11"/>
      <name val="Calibri"/>
      <family val="2"/>
      <scheme val="minor"/>
    </font>
    <font>
      <sz val="10"/>
      <name val="Times New Roman"/>
      <family val="1"/>
    </font>
    <font>
      <sz val="9"/>
      <color indexed="81"/>
      <name val="Times New Roman"/>
      <family val="1"/>
    </font>
    <font>
      <sz val="10.35"/>
      <color indexed="81"/>
      <name val="Tahoma"/>
      <family val="2"/>
    </font>
    <font>
      <b/>
      <sz val="24"/>
      <name val="Arial"/>
      <family val="2"/>
    </font>
    <font>
      <sz val="12"/>
      <name val="MS Sans Serif"/>
      <family val="2"/>
    </font>
    <font>
      <b/>
      <i/>
      <sz val="16"/>
      <name val="Arial"/>
      <family val="2"/>
    </font>
    <font>
      <b/>
      <i/>
      <sz val="10"/>
      <name val="Arial"/>
      <family val="2"/>
    </font>
    <font>
      <b/>
      <sz val="14"/>
      <name val="Arial"/>
      <family val="2"/>
    </font>
    <font>
      <sz val="11"/>
      <color rgb="FF000000"/>
      <name val="Arial"/>
      <family val="2"/>
    </font>
    <font>
      <b/>
      <i/>
      <sz val="11"/>
      <name val="Arial"/>
      <family val="2"/>
    </font>
    <font>
      <sz val="12"/>
      <color rgb="FF0000FF"/>
      <name val="Arial"/>
      <family val="2"/>
    </font>
    <font>
      <b/>
      <u/>
      <sz val="12"/>
      <color rgb="FFFF0000"/>
      <name val="Arial"/>
      <family val="2"/>
    </font>
    <font>
      <sz val="12"/>
      <color rgb="FFFF0000"/>
      <name val="Arial"/>
      <family val="2"/>
    </font>
    <font>
      <sz val="12"/>
      <name val="Arial"/>
      <family val="2"/>
    </font>
    <font>
      <u/>
      <sz val="12"/>
      <color theme="10"/>
      <name val="Arial"/>
      <family val="2"/>
    </font>
    <font>
      <sz val="11"/>
      <name val="Arial"/>
      <family val="2"/>
    </font>
    <font>
      <u/>
      <sz val="11"/>
      <color theme="10"/>
      <name val="Arial"/>
      <family val="2"/>
    </font>
    <font>
      <b/>
      <sz val="10"/>
      <color rgb="FFFF0000"/>
      <name val="Arial"/>
      <family val="2"/>
    </font>
    <font>
      <b/>
      <u/>
      <sz val="10"/>
      <color rgb="FFFF0000"/>
      <name val="Arial"/>
      <family val="2"/>
    </font>
  </fonts>
  <fills count="14">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theme="5" tint="0.39997558519241921"/>
        <bgColor indexed="64"/>
      </patternFill>
    </fill>
    <fill>
      <patternFill patternType="solid">
        <fgColor theme="6" tint="0.39994506668294322"/>
        <bgColor indexed="64"/>
      </patternFill>
    </fill>
    <fill>
      <patternFill patternType="solid">
        <fgColor theme="6" tint="0.39997558519241921"/>
        <bgColor indexed="65"/>
      </patternFill>
    </fill>
    <fill>
      <patternFill patternType="solid">
        <fgColor theme="7" tint="-0.249977111117893"/>
        <bgColor indexed="64"/>
      </patternFill>
    </fill>
    <fill>
      <patternFill patternType="solid">
        <fgColor indexed="13"/>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right/>
      <top/>
      <bottom style="medium">
        <color auto="1"/>
      </bottom>
      <diagonal/>
    </border>
    <border>
      <left style="medium">
        <color indexed="64"/>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style="thin">
        <color indexed="64"/>
      </right>
      <top/>
      <bottom style="medium">
        <color auto="1"/>
      </bottom>
      <diagonal/>
    </border>
    <border>
      <left style="thin">
        <color indexed="64"/>
      </left>
      <right style="thin">
        <color indexed="64"/>
      </right>
      <top style="medium">
        <color auto="1"/>
      </top>
      <bottom/>
      <diagonal/>
    </border>
    <border>
      <left style="thick">
        <color indexed="64"/>
      </left>
      <right/>
      <top/>
      <bottom/>
      <diagonal/>
    </border>
    <border>
      <left style="medium">
        <color theme="0" tint="-0.499984740745262"/>
      </left>
      <right style="thin">
        <color indexed="64"/>
      </right>
      <top style="medium">
        <color theme="0" tint="-0.499984740745262"/>
      </top>
      <bottom style="medium">
        <color theme="0" tint="-0.499984740745262"/>
      </bottom>
      <diagonal/>
    </border>
    <border>
      <left style="thin">
        <color indexed="64"/>
      </left>
      <right style="thin">
        <color indexed="64"/>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indexed="64"/>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s>
  <cellStyleXfs count="13">
    <xf numFmtId="0" fontId="0" fillId="0" borderId="0"/>
    <xf numFmtId="0" fontId="15" fillId="0" borderId="0" applyNumberFormat="0" applyFill="0" applyBorder="0" applyAlignment="0" applyProtection="0">
      <alignment vertical="top"/>
      <protection locked="0"/>
    </xf>
    <xf numFmtId="0" fontId="2" fillId="0" borderId="0"/>
    <xf numFmtId="0" fontId="35" fillId="2" borderId="0">
      <alignment horizontal="center"/>
    </xf>
    <xf numFmtId="0" fontId="36" fillId="11" borderId="0" applyNumberFormat="0" applyBorder="0" applyAlignment="0" applyProtection="0"/>
    <xf numFmtId="0" fontId="2" fillId="2" borderId="0">
      <alignment horizontal="center"/>
    </xf>
    <xf numFmtId="0" fontId="2" fillId="5" borderId="1">
      <alignment horizontal="center" vertical="center"/>
      <protection locked="0"/>
    </xf>
    <xf numFmtId="0" fontId="2" fillId="10" borderId="1">
      <alignment horizontal="center" vertical="center"/>
      <protection locked="0"/>
    </xf>
    <xf numFmtId="0" fontId="2" fillId="0" borderId="13"/>
    <xf numFmtId="0" fontId="2" fillId="10" borderId="1">
      <alignment horizontal="center" vertical="center"/>
      <protection locked="0"/>
    </xf>
    <xf numFmtId="0" fontId="2" fillId="10" borderId="1">
      <alignment horizontal="center" vertical="center"/>
      <protection locked="0"/>
    </xf>
    <xf numFmtId="0" fontId="2" fillId="10" borderId="1">
      <alignment horizontal="center" vertical="center"/>
      <protection locked="0"/>
    </xf>
    <xf numFmtId="0" fontId="1" fillId="0" borderId="0"/>
  </cellStyleXfs>
  <cellXfs count="388">
    <xf numFmtId="0" fontId="0" fillId="0" borderId="0" xfId="0"/>
    <xf numFmtId="0" fontId="0" fillId="0" borderId="0" xfId="0" applyAlignment="1">
      <alignment horizontal="center"/>
    </xf>
    <xf numFmtId="0" fontId="0" fillId="0" borderId="0" xfId="0" applyAlignment="1">
      <alignment horizontal="right"/>
    </xf>
    <xf numFmtId="2" fontId="0" fillId="0" borderId="0" xfId="0" applyNumberFormat="1"/>
    <xf numFmtId="0" fontId="0" fillId="0" borderId="1" xfId="0" applyBorder="1" applyAlignment="1">
      <alignment horizontal="center"/>
    </xf>
    <xf numFmtId="164" fontId="0" fillId="0" borderId="0" xfId="0" applyNumberFormat="1" applyAlignment="1">
      <alignment horizontal="center"/>
    </xf>
    <xf numFmtId="0" fontId="0" fillId="0" borderId="2" xfId="0" applyBorder="1" applyAlignment="1">
      <alignment horizontal="center"/>
    </xf>
    <xf numFmtId="0" fontId="0" fillId="0" borderId="0" xfId="0" applyBorder="1"/>
    <xf numFmtId="0" fontId="0" fillId="0" borderId="3" xfId="0" applyBorder="1"/>
    <xf numFmtId="0" fontId="0" fillId="0" borderId="4" xfId="0" applyBorder="1"/>
    <xf numFmtId="0" fontId="0" fillId="0" borderId="6" xfId="0" applyBorder="1"/>
    <xf numFmtId="0" fontId="0" fillId="0" borderId="8" xfId="0" applyBorder="1"/>
    <xf numFmtId="0" fontId="0" fillId="0" borderId="9" xfId="0" applyBorder="1"/>
    <xf numFmtId="2" fontId="0" fillId="0" borderId="0" xfId="0" applyNumberFormat="1" applyAlignment="1">
      <alignment horizontal="center"/>
    </xf>
    <xf numFmtId="0" fontId="0" fillId="2" borderId="0" xfId="0" applyFill="1"/>
    <xf numFmtId="0" fontId="0" fillId="2" borderId="0" xfId="0" applyFill="1" applyAlignment="1">
      <alignment horizontal="center"/>
    </xf>
    <xf numFmtId="0" fontId="0" fillId="2" borderId="1" xfId="0" applyFill="1" applyBorder="1" applyAlignment="1">
      <alignment horizontal="center"/>
    </xf>
    <xf numFmtId="0" fontId="0" fillId="2" borderId="0" xfId="0" applyFill="1" applyBorder="1" applyAlignment="1">
      <alignment horizontal="right"/>
    </xf>
    <xf numFmtId="0" fontId="0" fillId="2" borderId="0" xfId="0" applyFill="1" applyBorder="1"/>
    <xf numFmtId="0" fontId="9" fillId="2" borderId="0" xfId="0" applyFont="1" applyFill="1" applyAlignment="1">
      <alignment horizontal="left"/>
    </xf>
    <xf numFmtId="14" fontId="9" fillId="2" borderId="0" xfId="0" applyNumberFormat="1" applyFont="1" applyFill="1" applyAlignment="1">
      <alignment horizontal="left"/>
    </xf>
    <xf numFmtId="0" fontId="0" fillId="0" borderId="1" xfId="0" applyFill="1" applyBorder="1" applyAlignment="1">
      <alignment horizontal="center"/>
    </xf>
    <xf numFmtId="0" fontId="3" fillId="0" borderId="0" xfId="0" applyFont="1"/>
    <xf numFmtId="2" fontId="0" fillId="0" borderId="1" xfId="0" applyNumberFormat="1" applyBorder="1" applyAlignment="1">
      <alignment horizontal="center"/>
    </xf>
    <xf numFmtId="0" fontId="0" fillId="0" borderId="14" xfId="0" applyFill="1" applyBorder="1" applyAlignment="1">
      <alignment horizontal="center"/>
    </xf>
    <xf numFmtId="0" fontId="0" fillId="2" borderId="0" xfId="0" applyFill="1" applyProtection="1">
      <protection locked="0"/>
    </xf>
    <xf numFmtId="0" fontId="2" fillId="0" borderId="0" xfId="0" applyFont="1"/>
    <xf numFmtId="0" fontId="2" fillId="0" borderId="0" xfId="0" applyFont="1" applyAlignment="1">
      <alignment horizontal="right"/>
    </xf>
    <xf numFmtId="0" fontId="2" fillId="2" borderId="0" xfId="0" applyFont="1" applyFill="1" applyBorder="1" applyAlignment="1">
      <alignment horizontal="left"/>
    </xf>
    <xf numFmtId="0" fontId="0" fillId="3" borderId="0" xfId="0" applyFill="1"/>
    <xf numFmtId="0" fontId="2" fillId="2" borderId="0" xfId="0" applyFont="1" applyFill="1" applyBorder="1" applyAlignment="1">
      <alignment horizontal="right"/>
    </xf>
    <xf numFmtId="0" fontId="16" fillId="2" borderId="0" xfId="1" applyFont="1" applyFill="1" applyAlignment="1" applyProtection="1"/>
    <xf numFmtId="0" fontId="17" fillId="3" borderId="0" xfId="0" applyFont="1" applyFill="1" applyProtection="1"/>
    <xf numFmtId="0" fontId="20" fillId="3" borderId="0" xfId="0" applyFont="1" applyFill="1" applyBorder="1" applyProtection="1"/>
    <xf numFmtId="0" fontId="20" fillId="3" borderId="0" xfId="0" applyFont="1" applyFill="1" applyProtection="1"/>
    <xf numFmtId="0" fontId="19" fillId="3" borderId="24" xfId="0" applyFont="1" applyFill="1" applyBorder="1" applyAlignment="1" applyProtection="1">
      <alignment horizontal="center" vertical="center"/>
    </xf>
    <xf numFmtId="0" fontId="23" fillId="2" borderId="0" xfId="0" applyFont="1" applyFill="1"/>
    <xf numFmtId="0" fontId="0" fillId="2" borderId="1" xfId="0" applyFill="1" applyBorder="1" applyAlignment="1">
      <alignment horizontal="center" vertical="center"/>
    </xf>
    <xf numFmtId="0" fontId="0" fillId="2" borderId="1" xfId="0" applyNumberFormat="1" applyFill="1" applyBorder="1" applyAlignment="1">
      <alignment horizontal="center" vertical="center"/>
    </xf>
    <xf numFmtId="0" fontId="0" fillId="2" borderId="11" xfId="0" applyNumberFormat="1" applyFill="1" applyBorder="1" applyAlignment="1">
      <alignment horizontal="center" vertical="center"/>
    </xf>
    <xf numFmtId="165" fontId="0" fillId="2" borderId="11" xfId="0" applyNumberFormat="1" applyFill="1" applyBorder="1" applyAlignment="1">
      <alignment horizontal="center" vertical="center"/>
    </xf>
    <xf numFmtId="2" fontId="0" fillId="2" borderId="11" xfId="0" applyNumberFormat="1" applyFill="1" applyBorder="1" applyAlignment="1">
      <alignment horizontal="center" vertical="center"/>
    </xf>
    <xf numFmtId="2" fontId="0" fillId="2" borderId="15" xfId="0" applyNumberFormat="1" applyFill="1" applyBorder="1" applyAlignment="1">
      <alignment horizontal="center" vertical="center"/>
    </xf>
    <xf numFmtId="2" fontId="0" fillId="2" borderId="17" xfId="0" applyNumberFormat="1" applyFill="1" applyBorder="1" applyAlignment="1">
      <alignment horizontal="center" vertical="center"/>
    </xf>
    <xf numFmtId="2" fontId="0" fillId="2" borderId="18" xfId="0" applyNumberFormat="1" applyFill="1" applyBorder="1" applyAlignment="1">
      <alignment horizontal="center" vertical="center"/>
    </xf>
    <xf numFmtId="2" fontId="0" fillId="2" borderId="1" xfId="0" applyNumberFormat="1" applyFill="1" applyBorder="1" applyAlignment="1">
      <alignment horizontal="center" vertical="center"/>
    </xf>
    <xf numFmtId="2" fontId="0" fillId="2" borderId="19" xfId="0" applyNumberFormat="1" applyFill="1" applyBorder="1" applyAlignment="1">
      <alignment horizontal="center" vertical="center"/>
    </xf>
    <xf numFmtId="2" fontId="0" fillId="2" borderId="20" xfId="0" applyNumberFormat="1" applyFill="1" applyBorder="1" applyAlignment="1">
      <alignment horizontal="center" vertical="center"/>
    </xf>
    <xf numFmtId="2" fontId="0" fillId="2" borderId="21" xfId="0" applyNumberFormat="1" applyFill="1" applyBorder="1" applyAlignment="1">
      <alignment horizontal="center" vertical="center"/>
    </xf>
    <xf numFmtId="2" fontId="0" fillId="2" borderId="22" xfId="0" applyNumberFormat="1" applyFill="1" applyBorder="1" applyAlignment="1">
      <alignment horizontal="center" vertical="center"/>
    </xf>
    <xf numFmtId="2" fontId="0" fillId="2" borderId="12" xfId="0" applyNumberFormat="1" applyFill="1" applyBorder="1" applyAlignment="1">
      <alignment horizontal="center" vertical="center"/>
    </xf>
    <xf numFmtId="2" fontId="0" fillId="0" borderId="1" xfId="0" applyNumberFormat="1" applyBorder="1" applyAlignment="1">
      <alignment horizontal="center" vertical="center"/>
    </xf>
    <xf numFmtId="2" fontId="0" fillId="3" borderId="1" xfId="0" applyNumberFormat="1" applyFill="1" applyBorder="1" applyAlignment="1" applyProtection="1">
      <alignment horizontal="center"/>
    </xf>
    <xf numFmtId="165" fontId="0" fillId="2" borderId="1" xfId="0" applyNumberFormat="1" applyFill="1" applyBorder="1" applyAlignment="1">
      <alignment horizontal="center" vertical="center"/>
    </xf>
    <xf numFmtId="0" fontId="0" fillId="2" borderId="0" xfId="0" applyFill="1" applyBorder="1" applyAlignment="1">
      <alignment horizontal="right" vertical="center"/>
    </xf>
    <xf numFmtId="0" fontId="2" fillId="2" borderId="0" xfId="0" applyFont="1" applyFill="1" applyBorder="1" applyAlignment="1">
      <alignment horizontal="right" vertical="center"/>
    </xf>
    <xf numFmtId="0" fontId="2" fillId="2" borderId="0" xfId="0" applyFont="1" applyFill="1" applyAlignment="1">
      <alignment horizontal="right"/>
    </xf>
    <xf numFmtId="0" fontId="0" fillId="0" borderId="1" xfId="0" applyFill="1" applyBorder="1" applyAlignment="1" applyProtection="1">
      <alignment horizontal="center" vertical="center"/>
      <protection locked="0"/>
    </xf>
    <xf numFmtId="0" fontId="2" fillId="0" borderId="0" xfId="2" applyAlignment="1" applyProtection="1">
      <alignment horizontal="center"/>
    </xf>
    <xf numFmtId="0" fontId="2" fillId="0" borderId="0" xfId="2"/>
    <xf numFmtId="164" fontId="2" fillId="0" borderId="0" xfId="2" applyNumberFormat="1" applyAlignment="1" applyProtection="1">
      <alignment horizontal="center"/>
    </xf>
    <xf numFmtId="166" fontId="2" fillId="0" borderId="0" xfId="2" applyNumberFormat="1" applyAlignment="1" applyProtection="1">
      <alignment horizontal="center"/>
    </xf>
    <xf numFmtId="2" fontId="2" fillId="0" borderId="25" xfId="2" applyNumberFormat="1" applyBorder="1" applyAlignment="1" applyProtection="1">
      <alignment horizontal="center"/>
    </xf>
    <xf numFmtId="0" fontId="2" fillId="0" borderId="1" xfId="2" applyFont="1" applyBorder="1"/>
    <xf numFmtId="0" fontId="2" fillId="0" borderId="1" xfId="2" applyBorder="1"/>
    <xf numFmtId="0" fontId="2" fillId="0" borderId="0" xfId="0" applyFont="1" applyFill="1" applyBorder="1"/>
    <xf numFmtId="0" fontId="0" fillId="0" borderId="0" xfId="0" applyFill="1" applyBorder="1" applyAlignment="1" applyProtection="1">
      <alignment horizontal="center" vertical="center"/>
      <protection locked="0"/>
    </xf>
    <xf numFmtId="0" fontId="2" fillId="0" borderId="0" xfId="0" applyFont="1" applyFill="1" applyAlignment="1">
      <alignment horizontal="right"/>
    </xf>
    <xf numFmtId="166" fontId="2" fillId="0" borderId="0" xfId="2" applyNumberFormat="1" applyAlignment="1">
      <alignment horizontal="center"/>
    </xf>
    <xf numFmtId="0" fontId="2" fillId="0" borderId="0" xfId="0" applyFont="1" applyAlignment="1">
      <alignment horizontal="center"/>
    </xf>
    <xf numFmtId="0" fontId="0" fillId="0" borderId="1" xfId="0" applyBorder="1"/>
    <xf numFmtId="0" fontId="0" fillId="0" borderId="0" xfId="0" applyFill="1" applyBorder="1" applyAlignment="1">
      <alignment horizontal="center"/>
    </xf>
    <xf numFmtId="0" fontId="2" fillId="0" borderId="1" xfId="0" applyFont="1" applyBorder="1"/>
    <xf numFmtId="0" fontId="0" fillId="0" borderId="0" xfId="0" applyBorder="1" applyAlignment="1">
      <alignment horizontal="center"/>
    </xf>
    <xf numFmtId="2" fontId="0" fillId="0" borderId="0" xfId="0" applyNumberFormat="1" applyBorder="1" applyAlignment="1">
      <alignment horizontal="center"/>
    </xf>
    <xf numFmtId="2" fontId="0" fillId="0" borderId="1" xfId="0" applyNumberFormat="1" applyBorder="1"/>
    <xf numFmtId="0" fontId="29" fillId="0" borderId="0" xfId="0" applyFont="1" applyBorder="1"/>
    <xf numFmtId="2" fontId="0" fillId="0" borderId="0" xfId="0" applyNumberFormat="1" applyBorder="1" applyAlignment="1">
      <alignment horizontal="center"/>
    </xf>
    <xf numFmtId="0" fontId="2" fillId="0" borderId="0" xfId="0" applyFont="1" applyBorder="1"/>
    <xf numFmtId="0" fontId="30" fillId="0" borderId="0" xfId="0" applyFont="1"/>
    <xf numFmtId="0" fontId="31" fillId="0" borderId="0" xfId="0" applyFont="1" applyBorder="1" applyAlignment="1">
      <alignment horizontal="center"/>
    </xf>
    <xf numFmtId="0" fontId="28" fillId="0" borderId="0" xfId="0" applyFont="1" applyBorder="1"/>
    <xf numFmtId="0" fontId="0" fillId="0" borderId="0" xfId="0" applyBorder="1" applyAlignment="1">
      <alignment horizontal="center"/>
    </xf>
    <xf numFmtId="0" fontId="0" fillId="0" borderId="0" xfId="0" applyFont="1" applyBorder="1"/>
    <xf numFmtId="2" fontId="0" fillId="0" borderId="0" xfId="0" applyNumberFormat="1" applyBorder="1"/>
    <xf numFmtId="0" fontId="2" fillId="0" borderId="0" xfId="0" applyFont="1" applyBorder="1" applyAlignment="1">
      <alignment horizontal="right"/>
    </xf>
    <xf numFmtId="2" fontId="2" fillId="0" borderId="0" xfId="0" applyNumberFormat="1" applyFont="1" applyBorder="1" applyAlignment="1">
      <alignment horizontal="left"/>
    </xf>
    <xf numFmtId="0" fontId="2" fillId="0" borderId="0" xfId="0" applyFont="1" applyBorder="1" applyAlignment="1">
      <alignment horizontal="center"/>
    </xf>
    <xf numFmtId="0" fontId="0" fillId="2" borderId="24" xfId="0" applyFill="1" applyBorder="1"/>
    <xf numFmtId="0" fontId="2" fillId="2" borderId="24" xfId="0" applyFont="1" applyFill="1" applyBorder="1" applyAlignment="1">
      <alignment horizontal="right" vertical="center"/>
    </xf>
    <xf numFmtId="0" fontId="21" fillId="2" borderId="25" xfId="0" applyFont="1" applyFill="1" applyBorder="1"/>
    <xf numFmtId="0" fontId="0" fillId="2" borderId="25" xfId="0" applyFill="1" applyBorder="1"/>
    <xf numFmtId="0" fontId="0" fillId="2" borderId="27" xfId="0" applyFill="1" applyBorder="1"/>
    <xf numFmtId="0" fontId="0" fillId="2" borderId="26" xfId="0" applyFill="1" applyBorder="1"/>
    <xf numFmtId="0" fontId="3" fillId="2" borderId="25" xfId="0" applyFont="1" applyFill="1" applyBorder="1"/>
    <xf numFmtId="0" fontId="2" fillId="2" borderId="24" xfId="0" applyFont="1" applyFill="1" applyBorder="1" applyAlignment="1">
      <alignment horizontal="right"/>
    </xf>
    <xf numFmtId="0" fontId="0" fillId="0" borderId="25" xfId="0" applyBorder="1"/>
    <xf numFmtId="0" fontId="0" fillId="0" borderId="0" xfId="0" applyAlignment="1">
      <alignment horizontal="left"/>
    </xf>
    <xf numFmtId="2" fontId="2" fillId="0" borderId="1" xfId="0" applyNumberFormat="1" applyFont="1" applyFill="1" applyBorder="1" applyAlignment="1" applyProtection="1">
      <alignment horizontal="center" vertical="center"/>
    </xf>
    <xf numFmtId="0" fontId="0" fillId="2" borderId="16" xfId="0" applyFill="1" applyBorder="1" applyAlignment="1">
      <alignment horizontal="center" vertical="center"/>
    </xf>
    <xf numFmtId="0" fontId="0" fillId="2" borderId="29" xfId="0" applyFill="1" applyBorder="1"/>
    <xf numFmtId="0" fontId="3" fillId="2" borderId="0" xfId="0" applyFont="1" applyFill="1" applyBorder="1" applyAlignment="1">
      <alignment horizontal="right"/>
    </xf>
    <xf numFmtId="0" fontId="3" fillId="2" borderId="0" xfId="0" applyFont="1" applyFill="1" applyBorder="1" applyAlignment="1">
      <alignment horizontal="center"/>
    </xf>
    <xf numFmtId="0" fontId="8" fillId="2" borderId="0" xfId="0" applyFont="1" applyFill="1" applyBorder="1"/>
    <xf numFmtId="0" fontId="0" fillId="2" borderId="30" xfId="0" applyFill="1" applyBorder="1"/>
    <xf numFmtId="0" fontId="2" fillId="2" borderId="29" xfId="0" applyFont="1" applyFill="1" applyBorder="1"/>
    <xf numFmtId="0" fontId="22" fillId="2" borderId="0" xfId="0" applyFont="1" applyFill="1" applyBorder="1" applyAlignment="1">
      <alignment horizontal="right" vertical="center"/>
    </xf>
    <xf numFmtId="0" fontId="0" fillId="2" borderId="14" xfId="0" applyFill="1" applyBorder="1" applyAlignment="1">
      <alignment horizontal="center" vertical="center"/>
    </xf>
    <xf numFmtId="0" fontId="0" fillId="3" borderId="0" xfId="0" applyFill="1" applyBorder="1"/>
    <xf numFmtId="0" fontId="0" fillId="0" borderId="0" xfId="0" applyFill="1" applyBorder="1" applyAlignment="1" applyProtection="1">
      <alignment horizontal="center"/>
    </xf>
    <xf numFmtId="0" fontId="0" fillId="3" borderId="0" xfId="0" applyFill="1" applyBorder="1" applyAlignment="1">
      <alignment horizontal="center"/>
    </xf>
    <xf numFmtId="0" fontId="2" fillId="2" borderId="7" xfId="0" applyFont="1" applyFill="1" applyBorder="1" applyAlignment="1">
      <alignment horizontal="right"/>
    </xf>
    <xf numFmtId="0" fontId="0" fillId="5" borderId="0" xfId="0" applyFill="1" applyBorder="1"/>
    <xf numFmtId="0" fontId="2" fillId="5" borderId="0" xfId="0" applyFont="1" applyFill="1" applyBorder="1" applyAlignment="1">
      <alignment horizontal="right" vertical="center"/>
    </xf>
    <xf numFmtId="0" fontId="0" fillId="6" borderId="0" xfId="0" applyFill="1" applyBorder="1"/>
    <xf numFmtId="0" fontId="2" fillId="6" borderId="0" xfId="0" applyFont="1" applyFill="1" applyBorder="1" applyAlignment="1">
      <alignment horizontal="right" vertical="center"/>
    </xf>
    <xf numFmtId="1" fontId="2" fillId="2" borderId="1" xfId="0" applyNumberFormat="1" applyFont="1" applyFill="1" applyBorder="1" applyAlignment="1">
      <alignment horizontal="center" vertical="center"/>
    </xf>
    <xf numFmtId="0" fontId="17" fillId="0" borderId="0" xfId="0" applyFont="1" applyFill="1" applyBorder="1" applyProtection="1"/>
    <xf numFmtId="0" fontId="0" fillId="2" borderId="28" xfId="0" applyFill="1" applyBorder="1"/>
    <xf numFmtId="0" fontId="2" fillId="2" borderId="0" xfId="0" applyFont="1" applyFill="1" applyBorder="1"/>
    <xf numFmtId="0" fontId="22" fillId="2" borderId="24" xfId="0" applyFont="1" applyFill="1" applyBorder="1" applyAlignment="1">
      <alignment horizontal="right" vertical="center"/>
    </xf>
    <xf numFmtId="14" fontId="2" fillId="2" borderId="0" xfId="0" applyNumberFormat="1" applyFont="1" applyFill="1" applyBorder="1" applyAlignment="1">
      <alignment horizontal="center"/>
    </xf>
    <xf numFmtId="0" fontId="2" fillId="2" borderId="26" xfId="0" applyFont="1" applyFill="1" applyBorder="1" applyAlignment="1">
      <alignment horizontal="left"/>
    </xf>
    <xf numFmtId="0" fontId="2" fillId="2" borderId="0" xfId="0" applyFont="1" applyFill="1" applyBorder="1" applyAlignment="1">
      <alignment horizontal="center"/>
    </xf>
    <xf numFmtId="0" fontId="3" fillId="2" borderId="0" xfId="0" applyFont="1" applyFill="1" applyBorder="1"/>
    <xf numFmtId="0" fontId="3" fillId="2" borderId="29" xfId="0" applyFont="1" applyFill="1" applyBorder="1" applyAlignment="1">
      <alignment horizontal="left"/>
    </xf>
    <xf numFmtId="164" fontId="2" fillId="2" borderId="0" xfId="0" applyNumberFormat="1" applyFont="1" applyFill="1" applyBorder="1" applyAlignment="1">
      <alignment horizontal="right"/>
    </xf>
    <xf numFmtId="1" fontId="0" fillId="2" borderId="1" xfId="0" applyNumberFormat="1" applyFill="1" applyBorder="1" applyAlignment="1">
      <alignment horizontal="center"/>
    </xf>
    <xf numFmtId="164" fontId="0" fillId="2" borderId="1" xfId="0" applyNumberFormat="1" applyFill="1" applyBorder="1" applyAlignment="1">
      <alignment horizontal="center"/>
    </xf>
    <xf numFmtId="0" fontId="0" fillId="7" borderId="0" xfId="0" applyFill="1" applyAlignment="1">
      <alignment horizontal="center"/>
    </xf>
    <xf numFmtId="0" fontId="2" fillId="7" borderId="0" xfId="0" applyFont="1" applyFill="1" applyAlignment="1">
      <alignment horizontal="center"/>
    </xf>
    <xf numFmtId="0" fontId="0" fillId="8" borderId="24" xfId="0" applyFill="1" applyBorder="1"/>
    <xf numFmtId="1" fontId="2" fillId="2" borderId="0" xfId="0" applyNumberFormat="1" applyFont="1" applyFill="1" applyBorder="1" applyAlignment="1">
      <alignment horizontal="center" vertical="center"/>
    </xf>
    <xf numFmtId="0" fontId="3" fillId="0" borderId="0" xfId="0" applyFont="1" applyFill="1" applyAlignment="1" applyProtection="1">
      <alignment horizontal="left"/>
      <protection locked="0"/>
    </xf>
    <xf numFmtId="0" fontId="0" fillId="0" borderId="0" xfId="0" applyFill="1"/>
    <xf numFmtId="0" fontId="3" fillId="0" borderId="15" xfId="0" applyFont="1" applyFill="1" applyBorder="1" applyAlignment="1">
      <alignment horizontal="center"/>
    </xf>
    <xf numFmtId="0" fontId="3" fillId="0" borderId="17" xfId="0" applyFont="1" applyFill="1" applyBorder="1" applyAlignment="1">
      <alignment horizontal="center"/>
    </xf>
    <xf numFmtId="0" fontId="3" fillId="0" borderId="18" xfId="0" applyFont="1" applyFill="1" applyBorder="1" applyAlignment="1">
      <alignment horizontal="center"/>
    </xf>
    <xf numFmtId="0" fontId="3" fillId="0" borderId="19" xfId="0" applyFont="1" applyFill="1" applyBorder="1" applyAlignment="1">
      <alignment horizontal="center"/>
    </xf>
    <xf numFmtId="0" fontId="0" fillId="0" borderId="18"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22" xfId="0" applyFill="1" applyBorder="1" applyAlignment="1" applyProtection="1">
      <alignment horizontal="center"/>
      <protection locked="0"/>
    </xf>
    <xf numFmtId="2" fontId="0" fillId="3" borderId="1" xfId="0" applyNumberFormat="1" applyFill="1" applyBorder="1" applyAlignment="1" applyProtection="1">
      <alignment horizontal="center" vertical="center"/>
    </xf>
    <xf numFmtId="0" fontId="0" fillId="9" borderId="0" xfId="0" applyFill="1" applyBorder="1"/>
    <xf numFmtId="0" fontId="2" fillId="9" borderId="0" xfId="0" applyFont="1" applyFill="1" applyBorder="1" applyAlignment="1">
      <alignment horizontal="right" vertical="center"/>
    </xf>
    <xf numFmtId="0" fontId="23" fillId="8" borderId="23" xfId="0" applyFont="1" applyFill="1" applyBorder="1"/>
    <xf numFmtId="0" fontId="0" fillId="0" borderId="0" xfId="0" applyAlignment="1">
      <alignment horizontal="center"/>
    </xf>
    <xf numFmtId="0" fontId="2" fillId="0" borderId="0" xfId="0" applyFont="1" applyAlignment="1">
      <alignment horizontal="center"/>
    </xf>
    <xf numFmtId="0" fontId="0" fillId="0" borderId="0" xfId="0" applyAlignment="1">
      <alignment horizontal="center"/>
    </xf>
    <xf numFmtId="0" fontId="2" fillId="0" borderId="0" xfId="0" applyFont="1" applyAlignment="1">
      <alignment horizontal="left"/>
    </xf>
    <xf numFmtId="167" fontId="0" fillId="0" borderId="0" xfId="0" applyNumberFormat="1"/>
    <xf numFmtId="1" fontId="0" fillId="0" borderId="0" xfId="0" applyNumberFormat="1"/>
    <xf numFmtId="2" fontId="2" fillId="0" borderId="0" xfId="2" applyNumberFormat="1"/>
    <xf numFmtId="0" fontId="27" fillId="0" borderId="0" xfId="2" applyFont="1"/>
    <xf numFmtId="0" fontId="27" fillId="0" borderId="0" xfId="2" applyFont="1" applyAlignment="1" applyProtection="1">
      <alignment horizontal="center"/>
    </xf>
    <xf numFmtId="0" fontId="27" fillId="0" borderId="0" xfId="2" applyFont="1" applyAlignment="1">
      <alignment horizontal="center"/>
    </xf>
    <xf numFmtId="10" fontId="2" fillId="0" borderId="0" xfId="2" applyNumberFormat="1"/>
    <xf numFmtId="0" fontId="2" fillId="0" borderId="0" xfId="0" applyFont="1" applyAlignment="1">
      <alignment horizontal="center"/>
    </xf>
    <xf numFmtId="0" fontId="0" fillId="0" borderId="0" xfId="0" applyAlignment="1">
      <alignment horizontal="center"/>
    </xf>
    <xf numFmtId="9" fontId="0" fillId="2" borderId="1" xfId="0" applyNumberFormat="1" applyFill="1" applyBorder="1" applyAlignment="1">
      <alignment horizontal="center" vertical="center"/>
    </xf>
    <xf numFmtId="0" fontId="2" fillId="0" borderId="1" xfId="0" applyFont="1" applyFill="1" applyBorder="1" applyAlignment="1">
      <alignment horizontal="center"/>
    </xf>
    <xf numFmtId="0" fontId="2" fillId="0" borderId="6" xfId="0" applyFont="1" applyFill="1" applyBorder="1" applyAlignment="1">
      <alignment horizontal="center"/>
    </xf>
    <xf numFmtId="0" fontId="30" fillId="0" borderId="0" xfId="2" applyFont="1"/>
    <xf numFmtId="165" fontId="0" fillId="0" borderId="1" xfId="0" applyNumberFormat="1" applyFill="1" applyBorder="1" applyAlignment="1" applyProtection="1">
      <alignment horizontal="center" vertical="center"/>
    </xf>
    <xf numFmtId="0" fontId="3" fillId="0" borderId="0" xfId="0" applyFont="1" applyAlignment="1">
      <alignment horizontal="center"/>
    </xf>
    <xf numFmtId="2" fontId="0" fillId="0" borderId="0" xfId="0" applyNumberFormat="1" applyBorder="1" applyAlignment="1">
      <alignment horizontal="center"/>
    </xf>
    <xf numFmtId="0" fontId="30" fillId="0" borderId="0" xfId="0" applyFont="1" applyBorder="1" applyAlignment="1">
      <alignment horizontal="center"/>
    </xf>
    <xf numFmtId="0" fontId="2" fillId="3" borderId="0" xfId="0" applyFont="1" applyFill="1" applyBorder="1" applyAlignment="1">
      <alignment horizontal="right" vertical="center"/>
    </xf>
    <xf numFmtId="0" fontId="2" fillId="0" borderId="13" xfId="0" applyFont="1" applyBorder="1" applyAlignment="1">
      <alignment horizontal="center"/>
    </xf>
    <xf numFmtId="0" fontId="2" fillId="2" borderId="32" xfId="0" applyFont="1" applyFill="1" applyBorder="1" applyAlignment="1">
      <alignment horizontal="center" vertical="center"/>
    </xf>
    <xf numFmtId="0" fontId="2" fillId="2" borderId="13" xfId="0" applyFont="1" applyFill="1" applyBorder="1" applyAlignment="1">
      <alignment horizontal="center" vertical="center"/>
    </xf>
    <xf numFmtId="0" fontId="0" fillId="2" borderId="13" xfId="0" applyFill="1" applyBorder="1" applyAlignment="1">
      <alignment horizontal="center" vertical="center"/>
    </xf>
    <xf numFmtId="0" fontId="0" fillId="2" borderId="32" xfId="0" applyFill="1" applyBorder="1" applyAlignment="1">
      <alignment horizontal="center" vertical="center"/>
    </xf>
    <xf numFmtId="0" fontId="7" fillId="2" borderId="13" xfId="0" applyFont="1" applyFill="1" applyBorder="1" applyAlignment="1">
      <alignment horizontal="center" vertical="center"/>
    </xf>
    <xf numFmtId="0" fontId="2" fillId="2" borderId="7" xfId="0" applyFont="1" applyFill="1" applyBorder="1" applyAlignment="1">
      <alignment horizontal="center" vertical="center"/>
    </xf>
    <xf numFmtId="0" fontId="7" fillId="2" borderId="7" xfId="0" applyFont="1" applyFill="1" applyBorder="1" applyAlignment="1">
      <alignment horizontal="center" vertical="center"/>
    </xf>
    <xf numFmtId="0" fontId="0" fillId="2" borderId="7" xfId="0" applyFill="1" applyBorder="1" applyAlignment="1">
      <alignment horizontal="center"/>
    </xf>
    <xf numFmtId="0" fontId="7" fillId="2" borderId="24" xfId="0" applyFont="1" applyFill="1" applyBorder="1" applyAlignment="1">
      <alignment horizontal="center" vertical="center"/>
    </xf>
    <xf numFmtId="0" fontId="11" fillId="2" borderId="0" xfId="0" applyFont="1" applyFill="1" applyBorder="1" applyAlignment="1">
      <alignment horizontal="center" vertical="center"/>
    </xf>
    <xf numFmtId="0" fontId="7" fillId="2" borderId="0" xfId="0" applyFont="1" applyFill="1" applyBorder="1" applyAlignment="1">
      <alignment horizontal="center" vertical="center"/>
    </xf>
    <xf numFmtId="0" fontId="2" fillId="2" borderId="0" xfId="0" applyFont="1" applyFill="1" applyBorder="1" applyAlignment="1">
      <alignment horizontal="center" vertical="center"/>
    </xf>
    <xf numFmtId="0" fontId="0" fillId="2" borderId="0" xfId="0" applyFill="1" applyBorder="1" applyAlignment="1">
      <alignment horizontal="center"/>
    </xf>
    <xf numFmtId="0" fontId="0" fillId="2" borderId="26" xfId="0" applyFill="1" applyBorder="1" applyAlignment="1">
      <alignment horizontal="center"/>
    </xf>
    <xf numFmtId="0" fontId="0" fillId="3" borderId="0" xfId="0" applyFill="1" applyAlignment="1">
      <alignment horizontal="center"/>
    </xf>
    <xf numFmtId="0" fontId="2" fillId="0" borderId="0" xfId="0" applyFont="1" applyFill="1" applyBorder="1" applyAlignment="1">
      <alignment horizontal="right"/>
    </xf>
    <xf numFmtId="0" fontId="30" fillId="0" borderId="0" xfId="0" applyFont="1" applyBorder="1" applyAlignment="1">
      <alignment horizontal="left"/>
    </xf>
    <xf numFmtId="0" fontId="0" fillId="0" borderId="0" xfId="0" applyAlignment="1">
      <alignment horizontal="center"/>
    </xf>
    <xf numFmtId="0" fontId="0" fillId="10" borderId="16" xfId="0" applyFill="1" applyBorder="1" applyAlignment="1" applyProtection="1">
      <alignment horizontal="center" vertical="center"/>
      <protection locked="0"/>
    </xf>
    <xf numFmtId="0" fontId="0" fillId="10" borderId="1" xfId="0" applyFill="1" applyBorder="1" applyAlignment="1" applyProtection="1">
      <alignment horizontal="center" vertical="center"/>
      <protection locked="0"/>
    </xf>
    <xf numFmtId="0" fontId="2" fillId="2" borderId="0" xfId="0" applyFont="1" applyFill="1"/>
    <xf numFmtId="0" fontId="2" fillId="6" borderId="1" xfId="0" applyFont="1" applyFill="1"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65" fontId="0" fillId="6" borderId="1" xfId="0" applyNumberFormat="1" applyFill="1" applyBorder="1" applyAlignment="1" applyProtection="1">
      <alignment horizontal="center" vertical="center"/>
      <protection locked="0"/>
    </xf>
    <xf numFmtId="0" fontId="0" fillId="6" borderId="16" xfId="0" applyFill="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0" fontId="0" fillId="6" borderId="1" xfId="0" applyFill="1" applyBorder="1" applyAlignment="1" applyProtection="1">
      <alignment horizontal="center"/>
    </xf>
    <xf numFmtId="0" fontId="0" fillId="0" borderId="11" xfId="0" applyBorder="1"/>
    <xf numFmtId="0" fontId="2" fillId="0" borderId="1" xfId="0" applyFont="1" applyFill="1" applyBorder="1"/>
    <xf numFmtId="0" fontId="0" fillId="0" borderId="0" xfId="0" applyNumberFormat="1" applyAlignment="1">
      <alignment horizontal="center"/>
    </xf>
    <xf numFmtId="0" fontId="0" fillId="0" borderId="0" xfId="0" applyAlignment="1">
      <alignment horizontal="center"/>
    </xf>
    <xf numFmtId="0" fontId="0" fillId="0" borderId="0" xfId="0" applyAlignment="1">
      <alignment horizontal="center"/>
    </xf>
    <xf numFmtId="0" fontId="0" fillId="0" borderId="1" xfId="0" applyBorder="1" applyAlignment="1">
      <alignment horizontal="center"/>
    </xf>
    <xf numFmtId="0" fontId="0" fillId="0" borderId="0" xfId="0" applyAlignment="1">
      <alignment horizontal="center" vertical="center"/>
    </xf>
    <xf numFmtId="0" fontId="38" fillId="2" borderId="13" xfId="0" applyFont="1" applyFill="1" applyBorder="1" applyAlignment="1">
      <alignment horizontal="center" vertical="center"/>
    </xf>
    <xf numFmtId="0" fontId="2" fillId="2" borderId="0" xfId="0" applyFont="1" applyFill="1" applyAlignment="1">
      <alignment horizontal="right" vertical="center"/>
    </xf>
    <xf numFmtId="0" fontId="37" fillId="11" borderId="1" xfId="4" applyFont="1" applyBorder="1" applyAlignment="1">
      <alignment horizontal="center"/>
    </xf>
    <xf numFmtId="0" fontId="0" fillId="5" borderId="1" xfId="0" applyFill="1" applyBorder="1" applyAlignment="1">
      <alignment horizontal="center"/>
    </xf>
    <xf numFmtId="0" fontId="32" fillId="4" borderId="1" xfId="0" applyFont="1" applyFill="1" applyBorder="1" applyAlignment="1">
      <alignment horizontal="center"/>
    </xf>
    <xf numFmtId="0" fontId="2" fillId="0" borderId="0" xfId="0" applyFont="1" applyAlignment="1">
      <alignment horizontal="center"/>
    </xf>
    <xf numFmtId="0" fontId="0" fillId="0" borderId="0" xfId="0" applyAlignment="1">
      <alignment horizontal="center"/>
    </xf>
    <xf numFmtId="2" fontId="0" fillId="0" borderId="0" xfId="0" applyNumberFormat="1" applyBorder="1" applyAlignment="1">
      <alignment horizontal="center"/>
    </xf>
    <xf numFmtId="0" fontId="0" fillId="0" borderId="0" xfId="0" applyBorder="1" applyAlignment="1">
      <alignment horizontal="center"/>
    </xf>
    <xf numFmtId="2" fontId="2" fillId="2" borderId="16" xfId="0" applyNumberFormat="1" applyFont="1" applyFill="1" applyBorder="1" applyAlignment="1">
      <alignment horizontal="center" vertical="center"/>
    </xf>
    <xf numFmtId="2" fontId="30" fillId="0" borderId="0" xfId="0" applyNumberFormat="1" applyFont="1" applyBorder="1" applyAlignment="1">
      <alignment horizontal="center"/>
    </xf>
    <xf numFmtId="0" fontId="2" fillId="0" borderId="5" xfId="0" applyFont="1" applyFill="1" applyBorder="1" applyAlignment="1">
      <alignment horizontal="right"/>
    </xf>
    <xf numFmtId="0" fontId="2" fillId="0" borderId="7" xfId="0" applyFont="1" applyFill="1" applyBorder="1" applyAlignment="1">
      <alignment horizontal="right"/>
    </xf>
    <xf numFmtId="0" fontId="2" fillId="0" borderId="10" xfId="0" applyFont="1" applyFill="1" applyBorder="1" applyAlignment="1">
      <alignment horizontal="right"/>
    </xf>
    <xf numFmtId="0" fontId="37" fillId="11" borderId="1" xfId="4" applyNumberFormat="1" applyFont="1" applyBorder="1" applyAlignment="1" applyProtection="1">
      <alignment horizontal="center" vertical="center"/>
      <protection locked="0"/>
    </xf>
    <xf numFmtId="0" fontId="38" fillId="2" borderId="7" xfId="0" applyFont="1" applyFill="1" applyBorder="1" applyAlignment="1">
      <alignment horizontal="center"/>
    </xf>
    <xf numFmtId="0" fontId="38" fillId="2" borderId="0" xfId="0" applyFont="1" applyFill="1" applyBorder="1" applyAlignment="1">
      <alignment horizontal="center" vertical="center"/>
    </xf>
    <xf numFmtId="168" fontId="21" fillId="2" borderId="33" xfId="0" applyNumberFormat="1" applyFont="1" applyFill="1" applyBorder="1"/>
    <xf numFmtId="0" fontId="2" fillId="0" borderId="32" xfId="0" applyFont="1" applyBorder="1" applyAlignment="1">
      <alignment horizontal="center" vertical="center"/>
    </xf>
    <xf numFmtId="0" fontId="0" fillId="2" borderId="0" xfId="0" applyFill="1" applyBorder="1" applyAlignment="1">
      <alignment horizontal="center" vertical="center"/>
    </xf>
    <xf numFmtId="0" fontId="0" fillId="10" borderId="11" xfId="0" applyFill="1" applyBorder="1" applyAlignment="1" applyProtection="1">
      <alignment horizontal="center" vertical="center"/>
      <protection locked="0"/>
    </xf>
    <xf numFmtId="0" fontId="37" fillId="11" borderId="13" xfId="4" applyFont="1" applyBorder="1" applyAlignment="1">
      <alignment horizontal="center"/>
    </xf>
    <xf numFmtId="0" fontId="2" fillId="2" borderId="26" xfId="0" applyFont="1" applyFill="1" applyBorder="1"/>
    <xf numFmtId="0" fontId="0" fillId="0" borderId="0" xfId="0" applyAlignment="1">
      <alignment horizontal="center"/>
    </xf>
    <xf numFmtId="0" fontId="2" fillId="0" borderId="1" xfId="0" applyFont="1" applyBorder="1" applyAlignment="1">
      <alignment horizontal="center"/>
    </xf>
    <xf numFmtId="0" fontId="0" fillId="0" borderId="1" xfId="0" applyBorder="1" applyAlignment="1">
      <alignment horizontal="center"/>
    </xf>
    <xf numFmtId="0" fontId="0" fillId="0" borderId="11" xfId="0" applyBorder="1" applyAlignment="1">
      <alignment horizontal="center"/>
    </xf>
    <xf numFmtId="0" fontId="0" fillId="0" borderId="0" xfId="0" applyBorder="1" applyAlignment="1">
      <alignment horizontal="center"/>
    </xf>
    <xf numFmtId="2" fontId="0" fillId="2" borderId="0" xfId="0" applyNumberFormat="1" applyFill="1" applyBorder="1" applyAlignment="1">
      <alignment horizontal="center" vertical="center"/>
    </xf>
    <xf numFmtId="1" fontId="0" fillId="2" borderId="0" xfId="0" applyNumberFormat="1" applyFill="1" applyBorder="1" applyAlignment="1">
      <alignment horizontal="center" vertical="center"/>
    </xf>
    <xf numFmtId="0" fontId="0" fillId="2" borderId="0" xfId="0" applyNumberFormat="1" applyFill="1" applyBorder="1" applyAlignment="1">
      <alignment horizontal="center" vertical="center"/>
    </xf>
    <xf numFmtId="0" fontId="0" fillId="2" borderId="0" xfId="0" applyFill="1" applyBorder="1" applyProtection="1"/>
    <xf numFmtId="0" fontId="23" fillId="8" borderId="24" xfId="0" applyFont="1" applyFill="1" applyBorder="1"/>
    <xf numFmtId="0" fontId="0" fillId="0" borderId="29" xfId="0" applyBorder="1"/>
    <xf numFmtId="0" fontId="0" fillId="0" borderId="24" xfId="0" applyBorder="1"/>
    <xf numFmtId="0" fontId="38" fillId="0" borderId="13" xfId="0" applyFont="1" applyBorder="1" applyAlignment="1">
      <alignment horizontal="center"/>
    </xf>
    <xf numFmtId="0" fontId="2" fillId="3" borderId="13" xfId="0" applyFont="1" applyFill="1" applyBorder="1" applyAlignment="1">
      <alignment horizontal="center"/>
    </xf>
    <xf numFmtId="0" fontId="0" fillId="0" borderId="7" xfId="0" applyBorder="1" applyAlignment="1">
      <alignment horizontal="center"/>
    </xf>
    <xf numFmtId="0" fontId="0" fillId="0" borderId="31" xfId="0" applyBorder="1" applyAlignment="1">
      <alignment horizontal="center"/>
    </xf>
    <xf numFmtId="164" fontId="0" fillId="2" borderId="21" xfId="0" applyNumberFormat="1" applyFill="1" applyBorder="1" applyAlignment="1">
      <alignment horizontal="center"/>
    </xf>
    <xf numFmtId="0" fontId="2" fillId="2" borderId="7" xfId="0" applyFont="1" applyFill="1" applyBorder="1" applyAlignment="1">
      <alignment horizontal="right" vertical="center"/>
    </xf>
    <xf numFmtId="0" fontId="0" fillId="0" borderId="0" xfId="0" applyAlignment="1">
      <alignment horizontal="center"/>
    </xf>
    <xf numFmtId="0" fontId="0" fillId="0" borderId="1" xfId="0" applyBorder="1" applyAlignment="1">
      <alignment horizontal="center"/>
    </xf>
    <xf numFmtId="0" fontId="2" fillId="0" borderId="7" xfId="0" applyFont="1" applyBorder="1" applyAlignment="1">
      <alignment horizontal="center"/>
    </xf>
    <xf numFmtId="0" fontId="0" fillId="2" borderId="7" xfId="0" applyFill="1" applyBorder="1" applyAlignment="1">
      <alignment horizontal="center" vertical="center"/>
    </xf>
    <xf numFmtId="0" fontId="0" fillId="2" borderId="2" xfId="0" applyFill="1" applyBorder="1"/>
    <xf numFmtId="0" fontId="23" fillId="8" borderId="25" xfId="0" applyFont="1" applyFill="1" applyBorder="1"/>
    <xf numFmtId="0" fontId="2" fillId="3" borderId="0" xfId="0" applyFont="1" applyFill="1" applyBorder="1" applyAlignment="1">
      <alignment horizontal="right"/>
    </xf>
    <xf numFmtId="0" fontId="0" fillId="3" borderId="26" xfId="0" applyFill="1" applyBorder="1"/>
    <xf numFmtId="0" fontId="2" fillId="3" borderId="26" xfId="0" applyFont="1" applyFill="1" applyBorder="1" applyAlignment="1">
      <alignment horizontal="right" vertical="center"/>
    </xf>
    <xf numFmtId="0" fontId="2" fillId="2" borderId="31" xfId="0" applyFont="1" applyFill="1" applyBorder="1" applyAlignment="1">
      <alignment horizontal="center" vertical="center"/>
    </xf>
    <xf numFmtId="165" fontId="0" fillId="2" borderId="0" xfId="0" applyNumberFormat="1" applyFill="1" applyBorder="1" applyAlignment="1">
      <alignment horizontal="center"/>
    </xf>
    <xf numFmtId="1" fontId="0" fillId="2" borderId="0" xfId="0" applyNumberFormat="1" applyFill="1" applyBorder="1" applyAlignment="1">
      <alignment horizontal="center"/>
    </xf>
    <xf numFmtId="164" fontId="0" fillId="2" borderId="0" xfId="0" applyNumberFormat="1" applyFill="1" applyBorder="1" applyAlignment="1">
      <alignment horizontal="center"/>
    </xf>
    <xf numFmtId="0" fontId="2" fillId="2" borderId="1" xfId="0" applyFont="1" applyFill="1" applyBorder="1" applyAlignment="1">
      <alignment horizontal="right"/>
    </xf>
    <xf numFmtId="165" fontId="0" fillId="2" borderId="1" xfId="0" applyNumberFormat="1" applyFill="1" applyBorder="1" applyAlignment="1">
      <alignment horizontal="center"/>
    </xf>
    <xf numFmtId="164" fontId="2" fillId="2" borderId="1" xfId="0" applyNumberFormat="1" applyFont="1" applyFill="1" applyBorder="1" applyAlignment="1">
      <alignment horizontal="right"/>
    </xf>
    <xf numFmtId="0" fontId="0" fillId="12" borderId="23" xfId="0" applyFill="1" applyBorder="1"/>
    <xf numFmtId="0" fontId="2" fillId="12" borderId="24" xfId="0" applyFont="1" applyFill="1" applyBorder="1" applyAlignment="1">
      <alignment horizontal="center"/>
    </xf>
    <xf numFmtId="0" fontId="3" fillId="12" borderId="24" xfId="0" applyFont="1" applyFill="1" applyBorder="1" applyAlignment="1">
      <alignment horizontal="center"/>
    </xf>
    <xf numFmtId="0" fontId="3" fillId="12" borderId="28" xfId="0" applyFont="1" applyFill="1" applyBorder="1" applyAlignment="1">
      <alignment horizontal="left"/>
    </xf>
    <xf numFmtId="0" fontId="0" fillId="2" borderId="18" xfId="0" applyFill="1" applyBorder="1"/>
    <xf numFmtId="0" fontId="2" fillId="2" borderId="19" xfId="0" applyFont="1" applyFill="1" applyBorder="1"/>
    <xf numFmtId="0" fontId="0" fillId="2" borderId="20" xfId="0" applyFill="1" applyBorder="1"/>
    <xf numFmtId="164" fontId="2" fillId="2" borderId="21" xfId="0" applyNumberFormat="1" applyFont="1" applyFill="1" applyBorder="1" applyAlignment="1">
      <alignment horizontal="right"/>
    </xf>
    <xf numFmtId="0" fontId="2" fillId="2" borderId="22" xfId="0" applyFont="1" applyFill="1" applyBorder="1"/>
    <xf numFmtId="0" fontId="0" fillId="2" borderId="0" xfId="0" applyFont="1" applyFill="1" applyBorder="1" applyAlignment="1">
      <alignment horizontal="right" vertical="center"/>
    </xf>
    <xf numFmtId="0" fontId="2" fillId="2" borderId="0" xfId="2" applyFont="1" applyFill="1" applyBorder="1" applyAlignment="1">
      <alignment horizontal="right" vertical="center"/>
    </xf>
    <xf numFmtId="0" fontId="2" fillId="0" borderId="1" xfId="2" applyFont="1" applyBorder="1" applyAlignment="1">
      <alignment horizontal="center"/>
    </xf>
    <xf numFmtId="0" fontId="0" fillId="5" borderId="25" xfId="0" applyFill="1" applyBorder="1"/>
    <xf numFmtId="0" fontId="0" fillId="5" borderId="0" xfId="0" applyFill="1"/>
    <xf numFmtId="0" fontId="0" fillId="5" borderId="29" xfId="0" applyFill="1" applyBorder="1"/>
    <xf numFmtId="0" fontId="45" fillId="5" borderId="0" xfId="0" applyFont="1" applyFill="1"/>
    <xf numFmtId="0" fontId="16" fillId="5" borderId="0" xfId="1" applyFont="1" applyFill="1" applyAlignment="1" applyProtection="1"/>
    <xf numFmtId="0" fontId="3" fillId="5" borderId="0" xfId="0" applyFont="1" applyFill="1"/>
    <xf numFmtId="0" fontId="42" fillId="13" borderId="0" xfId="0" applyFont="1" applyFill="1" applyBorder="1" applyProtection="1"/>
    <xf numFmtId="0" fontId="41" fillId="5" borderId="0" xfId="0" applyFont="1" applyFill="1"/>
    <xf numFmtId="0" fontId="0" fillId="13" borderId="0" xfId="0" applyFill="1" applyProtection="1"/>
    <xf numFmtId="0" fontId="0" fillId="13" borderId="0" xfId="0" applyFill="1" applyBorder="1" applyProtection="1"/>
    <xf numFmtId="0" fontId="44" fillId="13" borderId="0" xfId="0" applyFont="1" applyFill="1" applyAlignment="1" applyProtection="1">
      <alignment vertical="center"/>
    </xf>
    <xf numFmtId="0" fontId="44" fillId="13" borderId="0" xfId="0" applyFont="1" applyFill="1" applyProtection="1"/>
    <xf numFmtId="0" fontId="2" fillId="5" borderId="29" xfId="0" applyFont="1" applyFill="1" applyBorder="1" applyAlignment="1">
      <alignment horizontal="center" vertical="center" wrapText="1"/>
    </xf>
    <xf numFmtId="0" fontId="2" fillId="3" borderId="0" xfId="0" applyFont="1" applyFill="1" applyAlignment="1">
      <alignment horizontal="center" vertical="center" wrapText="1"/>
    </xf>
    <xf numFmtId="0" fontId="43" fillId="13" borderId="0" xfId="0" applyFont="1" applyFill="1" applyProtection="1"/>
    <xf numFmtId="0" fontId="2" fillId="13" borderId="0" xfId="0" applyFont="1" applyFill="1" applyBorder="1" applyProtection="1"/>
    <xf numFmtId="0" fontId="0" fillId="5" borderId="27" xfId="0" applyFill="1" applyBorder="1"/>
    <xf numFmtId="0" fontId="3" fillId="5" borderId="26" xfId="0" applyFont="1" applyFill="1" applyBorder="1"/>
    <xf numFmtId="0" fontId="0" fillId="5" borderId="26" xfId="0" applyFill="1" applyBorder="1"/>
    <xf numFmtId="0" fontId="0" fillId="5" borderId="30" xfId="0" applyFill="1" applyBorder="1"/>
    <xf numFmtId="0" fontId="3" fillId="3" borderId="0" xfId="0" applyFont="1" applyFill="1"/>
    <xf numFmtId="0" fontId="3" fillId="3" borderId="0" xfId="0" applyFont="1" applyFill="1" applyBorder="1" applyAlignment="1">
      <alignment wrapText="1"/>
    </xf>
    <xf numFmtId="0" fontId="0" fillId="3" borderId="0" xfId="0" applyFill="1" applyBorder="1" applyAlignment="1">
      <alignment wrapText="1"/>
    </xf>
    <xf numFmtId="0" fontId="0" fillId="3" borderId="0" xfId="0" applyFill="1" applyAlignment="1">
      <alignment wrapText="1"/>
    </xf>
    <xf numFmtId="0" fontId="2" fillId="2" borderId="0" xfId="0" applyNumberFormat="1" applyFont="1" applyFill="1" applyBorder="1" applyAlignment="1">
      <alignment wrapText="1"/>
    </xf>
    <xf numFmtId="0" fontId="3" fillId="2" borderId="0" xfId="0" applyFont="1" applyFill="1" applyBorder="1" applyAlignment="1">
      <alignment wrapText="1"/>
    </xf>
    <xf numFmtId="12" fontId="0" fillId="2" borderId="0" xfId="0" applyNumberFormat="1" applyFill="1"/>
    <xf numFmtId="0" fontId="2" fillId="6" borderId="16" xfId="0" applyFont="1" applyFill="1" applyBorder="1" applyAlignment="1" applyProtection="1">
      <alignment horizontal="center" vertical="center"/>
      <protection locked="0"/>
    </xf>
    <xf numFmtId="0" fontId="2" fillId="6" borderId="11" xfId="0" applyFont="1" applyFill="1" applyBorder="1" applyAlignment="1" applyProtection="1">
      <alignment horizontal="center" vertical="center"/>
      <protection locked="0"/>
    </xf>
    <xf numFmtId="0" fontId="2" fillId="5" borderId="1" xfId="6" applyProtection="1">
      <alignment horizontal="center" vertical="center"/>
      <protection locked="0"/>
    </xf>
    <xf numFmtId="0" fontId="2" fillId="11" borderId="1" xfId="4" applyFont="1" applyBorder="1" applyAlignment="1" applyProtection="1">
      <alignment horizontal="center"/>
      <protection locked="0"/>
    </xf>
    <xf numFmtId="0" fontId="37" fillId="6" borderId="1" xfId="4" applyFont="1" applyFill="1" applyBorder="1" applyAlignment="1" applyProtection="1">
      <alignment horizontal="center"/>
      <protection locked="0"/>
    </xf>
    <xf numFmtId="2" fontId="37" fillId="11" borderId="1" xfId="4" applyNumberFormat="1" applyFont="1" applyBorder="1" applyAlignment="1" applyProtection="1">
      <alignment horizontal="center" vertical="center"/>
      <protection locked="0"/>
    </xf>
    <xf numFmtId="0" fontId="37" fillId="11" borderId="1" xfId="4" applyFont="1" applyBorder="1" applyAlignment="1" applyProtection="1">
      <alignment horizontal="center" vertical="center"/>
      <protection locked="0"/>
    </xf>
    <xf numFmtId="2" fontId="0" fillId="0" borderId="1" xfId="0" applyNumberFormat="1" applyBorder="1" applyAlignment="1">
      <alignment horizontal="center"/>
    </xf>
    <xf numFmtId="0" fontId="2" fillId="13" borderId="0" xfId="2" applyFill="1" applyBorder="1" applyProtection="1"/>
    <xf numFmtId="0" fontId="43" fillId="13" borderId="0" xfId="2" applyFont="1" applyFill="1" applyProtection="1"/>
    <xf numFmtId="0" fontId="2" fillId="13" borderId="0" xfId="2" applyFill="1" applyProtection="1"/>
    <xf numFmtId="0" fontId="47" fillId="13" borderId="0" xfId="2" applyFont="1" applyFill="1" applyAlignment="1" applyProtection="1"/>
    <xf numFmtId="0" fontId="47" fillId="13" borderId="0" xfId="2" applyFont="1" applyFill="1" applyAlignment="1" applyProtection="1">
      <alignment wrapText="1"/>
    </xf>
    <xf numFmtId="0" fontId="2" fillId="2" borderId="0" xfId="2" applyFill="1" applyBorder="1"/>
    <xf numFmtId="0" fontId="2" fillId="2" borderId="0" xfId="2" applyFont="1" applyFill="1" applyBorder="1" applyAlignment="1">
      <alignment horizontal="right" vertical="center"/>
    </xf>
    <xf numFmtId="0" fontId="2" fillId="2" borderId="24" xfId="2" applyFill="1" applyBorder="1"/>
    <xf numFmtId="0" fontId="2" fillId="2" borderId="25" xfId="2" applyFill="1" applyBorder="1"/>
    <xf numFmtId="0" fontId="2" fillId="2" borderId="27" xfId="2" applyFill="1" applyBorder="1"/>
    <xf numFmtId="0" fontId="2" fillId="2" borderId="26" xfId="2" applyFill="1" applyBorder="1"/>
    <xf numFmtId="0" fontId="2" fillId="2" borderId="29" xfId="2" applyFill="1" applyBorder="1"/>
    <xf numFmtId="0" fontId="2" fillId="2" borderId="30" xfId="2" applyFill="1" applyBorder="1"/>
    <xf numFmtId="0" fontId="2" fillId="2" borderId="28" xfId="2" applyFill="1" applyBorder="1"/>
    <xf numFmtId="0" fontId="2" fillId="2" borderId="0" xfId="2" applyFont="1" applyFill="1" applyBorder="1"/>
    <xf numFmtId="0" fontId="23" fillId="8" borderId="23" xfId="2" applyFont="1" applyFill="1" applyBorder="1"/>
    <xf numFmtId="0" fontId="23" fillId="3" borderId="25" xfId="2" applyFont="1" applyFill="1" applyBorder="1"/>
    <xf numFmtId="0" fontId="51" fillId="2" borderId="0" xfId="2" applyFont="1" applyFill="1" applyBorder="1"/>
    <xf numFmtId="0" fontId="51" fillId="2" borderId="0" xfId="2" applyFont="1" applyFill="1" applyBorder="1" applyAlignment="1">
      <alignment horizontal="right" vertical="center"/>
    </xf>
    <xf numFmtId="0" fontId="2" fillId="2" borderId="26" xfId="2" applyFont="1" applyFill="1" applyBorder="1" applyAlignment="1">
      <alignment horizontal="center" vertical="center"/>
    </xf>
    <xf numFmtId="0" fontId="2" fillId="2" borderId="26" xfId="2" applyFont="1" applyFill="1" applyBorder="1"/>
    <xf numFmtId="0" fontId="52" fillId="2" borderId="0" xfId="1" applyFont="1" applyFill="1" applyBorder="1" applyAlignment="1" applyProtection="1">
      <alignment horizontal="left"/>
    </xf>
    <xf numFmtId="0" fontId="48" fillId="2" borderId="25" xfId="2" applyFont="1" applyFill="1" applyBorder="1" applyAlignment="1">
      <alignment vertical="top" wrapText="1"/>
    </xf>
    <xf numFmtId="0" fontId="2" fillId="2" borderId="0" xfId="2" applyFont="1" applyFill="1" applyBorder="1" applyAlignment="1">
      <alignment horizontal="center" vertical="center"/>
    </xf>
    <xf numFmtId="0" fontId="52" fillId="2" borderId="24" xfId="1" applyFont="1" applyFill="1" applyBorder="1" applyAlignment="1" applyProtection="1">
      <alignment wrapText="1"/>
    </xf>
    <xf numFmtId="0" fontId="52" fillId="2" borderId="0" xfId="1" applyFont="1" applyFill="1" applyBorder="1" applyAlignment="1" applyProtection="1">
      <alignment horizontal="left" wrapText="1"/>
    </xf>
    <xf numFmtId="0" fontId="51" fillId="3" borderId="0" xfId="2" applyFont="1" applyFill="1" applyBorder="1"/>
    <xf numFmtId="0" fontId="51" fillId="3" borderId="24" xfId="2" applyFont="1" applyFill="1" applyBorder="1"/>
    <xf numFmtId="0" fontId="2" fillId="2" borderId="26" xfId="2" applyFont="1" applyFill="1" applyBorder="1" applyAlignment="1">
      <alignment vertical="top" wrapText="1"/>
    </xf>
    <xf numFmtId="0" fontId="47" fillId="6" borderId="36" xfId="2" applyFont="1" applyFill="1" applyBorder="1" applyAlignment="1" applyProtection="1">
      <alignment horizontal="center" vertical="top"/>
      <protection locked="0"/>
    </xf>
    <xf numFmtId="0" fontId="47" fillId="6" borderId="38" xfId="2" applyFont="1" applyFill="1" applyBorder="1" applyAlignment="1" applyProtection="1">
      <alignment horizontal="center" vertical="top"/>
      <protection locked="0"/>
    </xf>
    <xf numFmtId="0" fontId="54" fillId="2" borderId="0" xfId="1" applyFont="1" applyFill="1" applyBorder="1" applyAlignment="1" applyProtection="1"/>
    <xf numFmtId="0" fontId="0" fillId="3" borderId="1" xfId="0" applyFill="1" applyBorder="1" applyAlignment="1" applyProtection="1">
      <alignment horizontal="center" vertical="center"/>
      <protection locked="0"/>
    </xf>
    <xf numFmtId="0" fontId="0" fillId="3" borderId="11" xfId="0" applyFill="1" applyBorder="1" applyAlignment="1" applyProtection="1">
      <alignment horizontal="center" vertical="center"/>
      <protection locked="0"/>
    </xf>
    <xf numFmtId="0" fontId="15" fillId="3" borderId="25" xfId="1" applyFill="1" applyBorder="1" applyAlignment="1" applyProtection="1">
      <alignment horizontal="left"/>
    </xf>
    <xf numFmtId="0" fontId="15" fillId="3" borderId="25" xfId="1" applyFill="1" applyBorder="1" applyAlignment="1" applyProtection="1"/>
    <xf numFmtId="0" fontId="15" fillId="2" borderId="25" xfId="1" applyFill="1" applyBorder="1" applyAlignment="1" applyProtection="1"/>
    <xf numFmtId="0" fontId="14" fillId="5" borderId="0" xfId="0" applyFont="1" applyFill="1" applyBorder="1" applyAlignment="1" applyProtection="1">
      <alignment horizontal="center" vertical="center"/>
    </xf>
    <xf numFmtId="0" fontId="46" fillId="0" borderId="23" xfId="0" applyFont="1" applyBorder="1" applyAlignment="1">
      <alignment horizontal="center" vertical="center" wrapText="1"/>
    </xf>
    <xf numFmtId="0" fontId="46" fillId="0" borderId="24"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25"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29"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26" xfId="0" applyFont="1" applyBorder="1" applyAlignment="1">
      <alignment horizontal="center" vertical="center" wrapText="1"/>
    </xf>
    <xf numFmtId="0" fontId="46" fillId="0" borderId="30" xfId="0" applyFont="1" applyBorder="1" applyAlignment="1">
      <alignment horizontal="center" vertical="center" wrapText="1"/>
    </xf>
    <xf numFmtId="0" fontId="15" fillId="13" borderId="0" xfId="1" applyFill="1" applyAlignment="1" applyProtection="1">
      <alignment horizontal="left"/>
    </xf>
    <xf numFmtId="0" fontId="55" fillId="0" borderId="0" xfId="0" applyFont="1" applyAlignment="1">
      <alignment horizontal="left" vertical="top" wrapText="1"/>
    </xf>
    <xf numFmtId="0" fontId="55" fillId="0" borderId="26" xfId="0" applyFont="1" applyBorder="1" applyAlignment="1">
      <alignment horizontal="left" vertical="top" wrapText="1"/>
    </xf>
    <xf numFmtId="0" fontId="14" fillId="3" borderId="0" xfId="0" applyFont="1" applyFill="1" applyBorder="1" applyAlignment="1" applyProtection="1">
      <alignment horizontal="center" vertical="center"/>
    </xf>
    <xf numFmtId="0" fontId="18" fillId="4" borderId="23" xfId="0" applyFont="1" applyFill="1" applyBorder="1" applyAlignment="1" applyProtection="1">
      <alignment horizontal="left" vertical="center"/>
    </xf>
    <xf numFmtId="0" fontId="18" fillId="4" borderId="24" xfId="0" applyFont="1" applyFill="1" applyBorder="1" applyAlignment="1" applyProtection="1">
      <alignment horizontal="left" vertical="center"/>
    </xf>
    <xf numFmtId="0" fontId="50" fillId="2" borderId="25" xfId="2" applyFont="1" applyFill="1" applyBorder="1" applyAlignment="1">
      <alignment horizontal="left" vertical="top" wrapText="1"/>
    </xf>
    <xf numFmtId="0" fontId="50" fillId="2" borderId="24" xfId="1" applyFont="1" applyFill="1" applyBorder="1" applyAlignment="1" applyProtection="1">
      <alignment horizontal="left" wrapText="1"/>
    </xf>
    <xf numFmtId="0" fontId="50" fillId="2" borderId="0" xfId="1" applyFont="1" applyFill="1" applyBorder="1" applyAlignment="1" applyProtection="1">
      <alignment horizontal="left" wrapText="1"/>
    </xf>
    <xf numFmtId="0" fontId="53" fillId="5" borderId="34" xfId="2" applyFont="1" applyFill="1" applyBorder="1" applyAlignment="1">
      <alignment horizontal="left" vertical="top" wrapText="1"/>
    </xf>
    <xf numFmtId="0" fontId="53" fillId="5" borderId="35" xfId="2" applyFont="1" applyFill="1" applyBorder="1" applyAlignment="1">
      <alignment horizontal="left" vertical="top" wrapText="1"/>
    </xf>
    <xf numFmtId="0" fontId="53" fillId="5" borderId="37" xfId="2" applyFont="1" applyFill="1" applyBorder="1" applyAlignment="1">
      <alignment horizontal="left" vertical="top" wrapText="1"/>
    </xf>
    <xf numFmtId="0" fontId="15" fillId="3" borderId="25" xfId="1" applyFill="1" applyBorder="1" applyAlignment="1" applyProtection="1">
      <alignment horizontal="left" wrapText="1"/>
    </xf>
    <xf numFmtId="0" fontId="15" fillId="3" borderId="25" xfId="1" applyFill="1" applyBorder="1" applyAlignment="1" applyProtection="1">
      <alignment horizontal="left" vertical="top" wrapText="1"/>
    </xf>
    <xf numFmtId="0" fontId="15" fillId="2" borderId="0" xfId="1" applyFill="1" applyBorder="1" applyAlignment="1" applyProtection="1">
      <alignment horizontal="left" wrapText="1"/>
    </xf>
    <xf numFmtId="0" fontId="52" fillId="2" borderId="0" xfId="1" applyFont="1" applyFill="1" applyBorder="1" applyAlignment="1" applyProtection="1">
      <alignment horizontal="left"/>
    </xf>
    <xf numFmtId="0" fontId="23" fillId="5" borderId="39" xfId="2" applyFont="1" applyFill="1" applyBorder="1" applyAlignment="1">
      <alignment horizontal="left" wrapText="1"/>
    </xf>
    <xf numFmtId="0" fontId="2" fillId="5" borderId="40" xfId="2" applyFill="1" applyBorder="1" applyAlignment="1">
      <alignment horizontal="left" wrapText="1"/>
    </xf>
    <xf numFmtId="0" fontId="2" fillId="5" borderId="36" xfId="2" applyFill="1" applyBorder="1" applyAlignment="1">
      <alignment horizontal="left" wrapText="1"/>
    </xf>
    <xf numFmtId="0" fontId="27" fillId="0" borderId="0" xfId="0" applyFont="1" applyAlignment="1">
      <alignment horizontal="center"/>
    </xf>
    <xf numFmtId="0" fontId="30" fillId="0" borderId="0" xfId="0" applyFont="1" applyAlignment="1">
      <alignment horizontal="center"/>
    </xf>
    <xf numFmtId="0" fontId="27" fillId="0" borderId="1" xfId="2" applyFont="1" applyBorder="1" applyAlignment="1">
      <alignment horizontal="center"/>
    </xf>
    <xf numFmtId="0" fontId="2" fillId="0" borderId="0" xfId="0" applyFont="1" applyAlignment="1">
      <alignment horizontal="center"/>
    </xf>
    <xf numFmtId="0" fontId="0" fillId="0" borderId="0" xfId="0" applyAlignment="1">
      <alignment horizontal="center"/>
    </xf>
    <xf numFmtId="2" fontId="29" fillId="0" borderId="0" xfId="0" applyNumberFormat="1" applyFont="1" applyBorder="1" applyAlignment="1">
      <alignment horizontal="center"/>
    </xf>
    <xf numFmtId="2" fontId="0" fillId="0" borderId="0" xfId="0" applyNumberFormat="1" applyBorder="1" applyAlignment="1">
      <alignment horizontal="center"/>
    </xf>
    <xf numFmtId="0" fontId="2" fillId="0" borderId="1" xfId="0" applyFont="1" applyBorder="1" applyAlignment="1">
      <alignment horizontal="center"/>
    </xf>
    <xf numFmtId="0" fontId="0" fillId="0" borderId="1" xfId="0" applyBorder="1" applyAlignment="1">
      <alignment horizontal="center"/>
    </xf>
    <xf numFmtId="0" fontId="2" fillId="0" borderId="11" xfId="0" applyFont="1" applyBorder="1" applyAlignment="1">
      <alignment horizontal="center"/>
    </xf>
    <xf numFmtId="0" fontId="0" fillId="0" borderId="11" xfId="0" applyBorder="1" applyAlignment="1">
      <alignment horizontal="center"/>
    </xf>
    <xf numFmtId="0" fontId="30" fillId="0" borderId="0" xfId="0" applyFont="1" applyBorder="1" applyAlignment="1">
      <alignment horizontal="center"/>
    </xf>
    <xf numFmtId="2" fontId="2" fillId="0" borderId="0" xfId="0" applyNumberFormat="1" applyFont="1" applyBorder="1" applyAlignment="1">
      <alignment horizontal="center"/>
    </xf>
    <xf numFmtId="0" fontId="0" fillId="0" borderId="0" xfId="0" applyBorder="1" applyAlignment="1">
      <alignment horizontal="center"/>
    </xf>
  </cellXfs>
  <cellStyles count="13">
    <cellStyle name="60% - Accent3" xfId="4" builtinId="40"/>
    <cellStyle name="ENTER VALUE" xfId="7" xr:uid="{00000000-0005-0000-0000-000001000000}"/>
    <cellStyle name="ENTER VALUE 2" xfId="11" xr:uid="{00000000-0005-0000-0000-000002000000}"/>
    <cellStyle name="ENTER VALUE 3" xfId="10" xr:uid="{00000000-0005-0000-0000-000003000000}"/>
    <cellStyle name="ENTER VALUE 4" xfId="9" xr:uid="{00000000-0005-0000-0000-000004000000}"/>
    <cellStyle name="Hyperlink" xfId="1" builtinId="8"/>
    <cellStyle name="Normal" xfId="0" builtinId="0"/>
    <cellStyle name="Normal 2" xfId="2" xr:uid="{00000000-0005-0000-0000-000007000000}"/>
    <cellStyle name="Normal 3" xfId="12" xr:uid="{00000000-0005-0000-0000-000008000000}"/>
    <cellStyle name="Style 1" xfId="3" xr:uid="{00000000-0005-0000-0000-000009000000}"/>
    <cellStyle name="Style 1 2" xfId="5" xr:uid="{00000000-0005-0000-0000-00000A000000}"/>
    <cellStyle name="Style 2" xfId="6" xr:uid="{00000000-0005-0000-0000-00000B000000}"/>
    <cellStyle name="UNIT" xfId="8" xr:uid="{00000000-0005-0000-0000-00000C000000}"/>
  </cellStyles>
  <dxfs count="17">
    <dxf>
      <fill>
        <patternFill>
          <bgColor indexed="10"/>
        </patternFill>
      </fill>
    </dxf>
    <dxf>
      <font>
        <color theme="0"/>
      </font>
      <fill>
        <patternFill>
          <bgColor theme="0"/>
        </patternFill>
      </fill>
    </dxf>
    <dxf>
      <font>
        <color theme="0"/>
      </font>
      <fill>
        <patternFill>
          <bgColor theme="0"/>
        </patternFill>
      </fill>
    </dxf>
    <dxf>
      <fill>
        <patternFill>
          <bgColor rgb="FFFFFF00"/>
        </patternFill>
      </fill>
    </dxf>
    <dxf>
      <fill>
        <patternFill>
          <bgColor rgb="FFFF0000"/>
        </patternFill>
      </fill>
    </dxf>
    <dxf>
      <font>
        <strike val="0"/>
        <color theme="0"/>
      </font>
      <fill>
        <patternFill patternType="none">
          <bgColor auto="1"/>
        </patternFill>
      </fill>
    </dxf>
    <dxf>
      <font>
        <strike/>
        <color theme="0" tint="-0.24994659260841701"/>
      </font>
      <fill>
        <patternFill patternType="none">
          <bgColor auto="1"/>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5" tint="-0.24994659260841701"/>
        </patternFill>
      </fill>
    </dxf>
    <dxf>
      <fill>
        <patternFill>
          <bgColor rgb="FFFF0000"/>
        </patternFill>
      </fill>
    </dxf>
    <dxf>
      <font>
        <color theme="0"/>
      </font>
    </dxf>
    <dxf>
      <font>
        <color theme="0"/>
      </font>
      <fill>
        <patternFill>
          <bgColor theme="0"/>
        </patternFill>
      </fill>
      <border>
        <vertical/>
        <horizontal/>
      </border>
    </dxf>
    <dxf>
      <fill>
        <patternFill>
          <bgColor indexed="10"/>
        </patternFill>
      </fill>
    </dxf>
    <dxf>
      <fill>
        <patternFill>
          <bgColor indexed="10"/>
        </patternFill>
      </fill>
    </dxf>
  </dxfs>
  <tableStyles count="0" defaultTableStyle="TableStyleMedium9" defaultPivotStyle="PivotStyleLight16"/>
  <colors>
    <mruColors>
      <color rgb="FF0053FA"/>
      <color rgb="FFFF505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67237229923697"/>
          <c:y val="0.10613723813134238"/>
          <c:w val="0.83144069779259888"/>
          <c:h val="0.76916929287639557"/>
        </c:manualLayout>
      </c:layout>
      <c:scatterChart>
        <c:scatterStyle val="lineMarker"/>
        <c:varyColors val="0"/>
        <c:ser>
          <c:idx val="3"/>
          <c:order val="0"/>
          <c:tx>
            <c:v>Temp Derated FET SOA (t = Tfault)</c:v>
          </c:tx>
          <c:spPr>
            <a:ln w="25400">
              <a:solidFill>
                <a:srgbClr val="008000"/>
              </a:solidFill>
              <a:prstDash val="solid"/>
            </a:ln>
          </c:spPr>
          <c:marker>
            <c:symbol val="none"/>
          </c:marker>
          <c:xVal>
            <c:numRef>
              <c:f>'FET Data'!$E$41:$E$45</c:f>
              <c:numCache>
                <c:formatCode>General</c:formatCode>
                <c:ptCount val="5"/>
                <c:pt idx="0">
                  <c:v>1</c:v>
                </c:pt>
                <c:pt idx="1">
                  <c:v>1.2</c:v>
                </c:pt>
                <c:pt idx="2">
                  <c:v>30</c:v>
                </c:pt>
              </c:numCache>
            </c:numRef>
          </c:xVal>
          <c:yVal>
            <c:numRef>
              <c:f>'FET Data'!$F$41:$F$45</c:f>
              <c:numCache>
                <c:formatCode>General</c:formatCode>
                <c:ptCount val="5"/>
                <c:pt idx="0">
                  <c:v>20.47096571301865</c:v>
                </c:pt>
                <c:pt idx="1">
                  <c:v>17.059138094182209</c:v>
                </c:pt>
                <c:pt idx="2">
                  <c:v>0.68236552376728832</c:v>
                </c:pt>
              </c:numCache>
            </c:numRef>
          </c:yVal>
          <c:smooth val="0"/>
          <c:extLst>
            <c:ext xmlns:c16="http://schemas.microsoft.com/office/drawing/2014/chart" uri="{C3380CC4-5D6E-409C-BE32-E72D297353CC}">
              <c16:uniqueId val="{00000000-73A5-4414-BBC8-F50FA0128ABF}"/>
            </c:ext>
          </c:extLst>
        </c:ser>
        <c:ser>
          <c:idx val="1"/>
          <c:order val="1"/>
          <c:tx>
            <c:v>Typ Device SOA Limit</c:v>
          </c:tx>
          <c:spPr>
            <a:ln w="25400">
              <a:solidFill>
                <a:srgbClr val="FF0000"/>
              </a:solidFill>
              <a:prstDash val="solid"/>
            </a:ln>
          </c:spPr>
          <c:marker>
            <c:symbol val="none"/>
          </c:marker>
          <c:xVal>
            <c:numRef>
              <c:f>Equations!$R$137:$R$156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Equations!$T$137:$T$156</c:f>
              <c:numCache>
                <c:formatCode>0.00</c:formatCode>
                <c:ptCount val="20"/>
                <c:pt idx="0">
                  <c:v>5.5725563909774438</c:v>
                </c:pt>
                <c:pt idx="1">
                  <c:v>5.5725563909774438</c:v>
                </c:pt>
                <c:pt idx="2">
                  <c:v>4.940209566469365</c:v>
                </c:pt>
                <c:pt idx="3">
                  <c:v>3.7051571748520238</c:v>
                </c:pt>
                <c:pt idx="4">
                  <c:v>2.9641257398816192</c:v>
                </c:pt>
                <c:pt idx="5">
                  <c:v>2.4701047832346825</c:v>
                </c:pt>
                <c:pt idx="6">
                  <c:v>2.1172326713440137</c:v>
                </c:pt>
                <c:pt idx="7">
                  <c:v>1.8525785874260119</c:v>
                </c:pt>
                <c:pt idx="8">
                  <c:v>1.6467365221564549</c:v>
                </c:pt>
                <c:pt idx="9">
                  <c:v>1.4820628699408096</c:v>
                </c:pt>
                <c:pt idx="10">
                  <c:v>1.3473298817643722</c:v>
                </c:pt>
                <c:pt idx="11">
                  <c:v>1.2350523916173413</c:v>
                </c:pt>
                <c:pt idx="12">
                  <c:v>5.0000000000000003E-10</c:v>
                </c:pt>
                <c:pt idx="13">
                  <c:v>5.0000000000000003E-10</c:v>
                </c:pt>
                <c:pt idx="14">
                  <c:v>5.0000000000000003E-10</c:v>
                </c:pt>
                <c:pt idx="15">
                  <c:v>5.0000000000000003E-10</c:v>
                </c:pt>
                <c:pt idx="16">
                  <c:v>5.0000000000000003E-10</c:v>
                </c:pt>
                <c:pt idx="17">
                  <c:v>5.0000000000000003E-10</c:v>
                </c:pt>
                <c:pt idx="18">
                  <c:v>5.0000000000000003E-10</c:v>
                </c:pt>
                <c:pt idx="19">
                  <c:v>5.0000000000000003E-10</c:v>
                </c:pt>
              </c:numCache>
            </c:numRef>
          </c:yVal>
          <c:smooth val="0"/>
          <c:extLst>
            <c:ext xmlns:c16="http://schemas.microsoft.com/office/drawing/2014/chart" uri="{C3380CC4-5D6E-409C-BE32-E72D297353CC}">
              <c16:uniqueId val="{00000001-73A5-4414-BBC8-F50FA0128ABF}"/>
            </c:ext>
          </c:extLst>
        </c:ser>
        <c:dLbls>
          <c:showLegendKey val="0"/>
          <c:showVal val="0"/>
          <c:showCatName val="0"/>
          <c:showSerName val="0"/>
          <c:showPercent val="0"/>
          <c:showBubbleSize val="0"/>
        </c:dLbls>
        <c:axId val="48511232"/>
        <c:axId val="49697536"/>
      </c:scatterChart>
      <c:valAx>
        <c:axId val="48511232"/>
        <c:scaling>
          <c:logBase val="10"/>
          <c:orientation val="minMax"/>
          <c:max val="50"/>
          <c:min val="1"/>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125" b="0" i="0" u="none" strike="noStrike" baseline="0">
                    <a:solidFill>
                      <a:srgbClr val="000000"/>
                    </a:solidFill>
                    <a:latin typeface="Calibri"/>
                    <a:ea typeface="Calibri"/>
                    <a:cs typeface="Calibri"/>
                  </a:defRPr>
                </a:pPr>
                <a:r>
                  <a:rPr lang="en-US" sz="900" b="1" i="0" u="none" strike="noStrike" baseline="0">
                    <a:solidFill>
                      <a:srgbClr val="000000"/>
                    </a:solidFill>
                    <a:latin typeface="Arial"/>
                    <a:cs typeface="Arial"/>
                  </a:rPr>
                  <a:t>V</a:t>
                </a:r>
                <a:r>
                  <a:rPr lang="en-US" sz="900" b="1" i="0" u="none" strike="noStrike" baseline="-25000">
                    <a:solidFill>
                      <a:srgbClr val="000000"/>
                    </a:solidFill>
                    <a:latin typeface="Arial"/>
                    <a:cs typeface="Arial"/>
                  </a:rPr>
                  <a:t>DS</a:t>
                </a:r>
                <a:r>
                  <a:rPr lang="en-US" sz="900" b="1" i="0" u="none" strike="noStrike" baseline="0">
                    <a:solidFill>
                      <a:srgbClr val="000000"/>
                    </a:solidFill>
                    <a:latin typeface="Arial"/>
                    <a:cs typeface="Arial"/>
                  </a:rPr>
                  <a:t> - Drain-to-Source Voltage - V</a:t>
                </a:r>
              </a:p>
            </c:rich>
          </c:tx>
          <c:layout>
            <c:manualLayout>
              <c:xMode val="edge"/>
              <c:yMode val="edge"/>
              <c:x val="0.37459064370200507"/>
              <c:y val="0.94029461520736024"/>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9697536"/>
        <c:crossesAt val="0.1"/>
        <c:crossBetween val="midCat"/>
      </c:valAx>
      <c:valAx>
        <c:axId val="49697536"/>
        <c:scaling>
          <c:logBase val="10"/>
          <c:orientation val="minMax"/>
          <c:max val="1000"/>
          <c:min val="1"/>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125" b="0" i="0" u="none" strike="noStrike" baseline="0">
                    <a:solidFill>
                      <a:srgbClr val="000000"/>
                    </a:solidFill>
                    <a:latin typeface="Calibri"/>
                    <a:ea typeface="Calibri"/>
                    <a:cs typeface="Calibri"/>
                  </a:defRPr>
                </a:pPr>
                <a:r>
                  <a:rPr lang="en-US" sz="900" b="1" i="0" u="none" strike="noStrike" baseline="0">
                    <a:solidFill>
                      <a:srgbClr val="000000"/>
                    </a:solidFill>
                    <a:latin typeface="Arial"/>
                    <a:cs typeface="Arial"/>
                  </a:rPr>
                  <a:t>I</a:t>
                </a:r>
                <a:r>
                  <a:rPr lang="en-US" sz="900" b="1" i="0" u="none" strike="noStrike" baseline="-25000">
                    <a:solidFill>
                      <a:srgbClr val="000000"/>
                    </a:solidFill>
                    <a:latin typeface="Arial"/>
                    <a:cs typeface="Arial"/>
                  </a:rPr>
                  <a:t>DS</a:t>
                </a:r>
                <a:r>
                  <a:rPr lang="en-US" sz="900" b="1" i="0" u="none" strike="noStrike" baseline="0">
                    <a:solidFill>
                      <a:srgbClr val="000000"/>
                    </a:solidFill>
                    <a:latin typeface="Arial"/>
                    <a:cs typeface="Arial"/>
                  </a:rPr>
                  <a:t> - Drain-to-Source Current - A</a:t>
                </a:r>
              </a:p>
            </c:rich>
          </c:tx>
          <c:layout>
            <c:manualLayout>
              <c:xMode val="edge"/>
              <c:yMode val="edge"/>
              <c:x val="2.0103885280763262E-2"/>
              <c:y val="0.21497860712616401"/>
            </c:manualLayout>
          </c:layout>
          <c:overlay val="0"/>
          <c:spPr>
            <a:noFill/>
            <a:ln w="25400">
              <a:noFill/>
            </a:ln>
          </c:spPr>
        </c:title>
        <c:numFmt formatCode="General"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8511232"/>
        <c:crosses val="autoZero"/>
        <c:crossBetween val="midCat"/>
      </c:valAx>
      <c:spPr>
        <a:solidFill>
          <a:srgbClr val="FFFFFF"/>
        </a:solidFill>
        <a:ln w="12700">
          <a:solidFill>
            <a:srgbClr val="808080"/>
          </a:solidFill>
          <a:prstDash val="solid"/>
        </a:ln>
      </c:spPr>
    </c:plotArea>
    <c:legend>
      <c:legendPos val="r"/>
      <c:layout>
        <c:manualLayout>
          <c:xMode val="edge"/>
          <c:yMode val="edge"/>
          <c:x val="0.43686657794363282"/>
          <c:y val="5.8933081466572397E-2"/>
          <c:w val="0.5171341264823649"/>
          <c:h val="0.22644573436605386"/>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a:t>I</a:t>
            </a:r>
            <a:r>
              <a:rPr lang="en-US" baseline="-25000"/>
              <a:t>LOAD</a:t>
            </a:r>
            <a:r>
              <a:rPr lang="en-US" baseline="0"/>
              <a:t> and I</a:t>
            </a:r>
            <a:r>
              <a:rPr lang="en-US" baseline="-25000"/>
              <a:t>FET</a:t>
            </a:r>
            <a:r>
              <a:rPr lang="en-US" baseline="0"/>
              <a:t> vs Vout </a:t>
            </a:r>
            <a:r>
              <a:rPr lang="en-US" sz="1800" b="1" i="0" baseline="0">
                <a:effectLst/>
              </a:rPr>
              <a:t>(V</a:t>
            </a:r>
            <a:r>
              <a:rPr lang="en-US" sz="1800" b="1" i="0" baseline="-25000">
                <a:effectLst/>
              </a:rPr>
              <a:t>IN</a:t>
            </a:r>
            <a:r>
              <a:rPr lang="en-US" sz="1800" b="1" i="0" baseline="0">
                <a:effectLst/>
              </a:rPr>
              <a:t> = V</a:t>
            </a:r>
            <a:r>
              <a:rPr lang="en-US" sz="1800" b="1" i="0" baseline="-25000">
                <a:effectLst/>
              </a:rPr>
              <a:t>INMAX</a:t>
            </a:r>
            <a:r>
              <a:rPr lang="en-US" sz="1800" b="1" i="0" baseline="0">
                <a:effectLst/>
              </a:rPr>
              <a:t>)</a:t>
            </a:r>
            <a:r>
              <a:rPr lang="en-US" baseline="0"/>
              <a:t> </a:t>
            </a:r>
            <a:r>
              <a:rPr lang="en-US" sz="1200" baseline="0"/>
              <a:t>                                              </a:t>
            </a:r>
            <a:endParaRPr lang="en-US" sz="1200" baseline="-25000"/>
          </a:p>
        </c:rich>
      </c:tx>
      <c:layout>
        <c:manualLayout>
          <c:xMode val="edge"/>
          <c:yMode val="edge"/>
          <c:x val="0.21925951733909368"/>
          <c:y val="3.882629312219949E-3"/>
        </c:manualLayout>
      </c:layout>
      <c:overlay val="1"/>
      <c:spPr>
        <a:solidFill>
          <a:schemeClr val="bg1"/>
        </a:solidFill>
      </c:spPr>
    </c:title>
    <c:autoTitleDeleted val="0"/>
    <c:plotArea>
      <c:layout>
        <c:manualLayout>
          <c:layoutTarget val="inner"/>
          <c:xMode val="edge"/>
          <c:yMode val="edge"/>
          <c:x val="0.15203109554174482"/>
          <c:y val="0.16372043618857035"/>
          <c:w val="0.76865751103613689"/>
          <c:h val="0.67629667848284747"/>
        </c:manualLayout>
      </c:layout>
      <c:scatterChart>
        <c:scatterStyle val="smoothMarker"/>
        <c:varyColors val="0"/>
        <c:ser>
          <c:idx val="0"/>
          <c:order val="0"/>
          <c:tx>
            <c:strRef>
              <c:f>Start_up!$C$7</c:f>
              <c:strCache>
                <c:ptCount val="1"/>
                <c:pt idx="0">
                  <c:v>ILOAD</c:v>
                </c:pt>
              </c:strCache>
            </c:strRef>
          </c:tx>
          <c:marker>
            <c:symbol val="none"/>
          </c:marker>
          <c:xVal>
            <c:numRef>
              <c:f>Start_up!$B$8:$B$109</c:f>
              <c:numCache>
                <c:formatCode>0.00</c:formatCode>
                <c:ptCount val="102"/>
                <c:pt idx="0">
                  <c:v>0</c:v>
                </c:pt>
                <c:pt idx="1">
                  <c:v>0.1201923076923077</c:v>
                </c:pt>
                <c:pt idx="2">
                  <c:v>0.24038461538461539</c:v>
                </c:pt>
                <c:pt idx="3">
                  <c:v>0.36057692307692307</c:v>
                </c:pt>
                <c:pt idx="4">
                  <c:v>0.48076923076923078</c:v>
                </c:pt>
                <c:pt idx="5">
                  <c:v>0.60096153846153855</c:v>
                </c:pt>
                <c:pt idx="6">
                  <c:v>0.72115384615384615</c:v>
                </c:pt>
                <c:pt idx="7">
                  <c:v>0.84134615384615385</c:v>
                </c:pt>
                <c:pt idx="8">
                  <c:v>0.96153846153846156</c:v>
                </c:pt>
                <c:pt idx="9">
                  <c:v>1.0817307692307692</c:v>
                </c:pt>
                <c:pt idx="10">
                  <c:v>1.2019230769230771</c:v>
                </c:pt>
                <c:pt idx="11">
                  <c:v>1.3221153846153846</c:v>
                </c:pt>
                <c:pt idx="12">
                  <c:v>1.4423076923076923</c:v>
                </c:pt>
                <c:pt idx="13">
                  <c:v>1.5625</c:v>
                </c:pt>
                <c:pt idx="14">
                  <c:v>1.6826923076923077</c:v>
                </c:pt>
                <c:pt idx="15">
                  <c:v>1.8028846153846152</c:v>
                </c:pt>
                <c:pt idx="16">
                  <c:v>1.9230769230769231</c:v>
                </c:pt>
                <c:pt idx="17">
                  <c:v>2.0432692307692308</c:v>
                </c:pt>
                <c:pt idx="18">
                  <c:v>2.1634615384615383</c:v>
                </c:pt>
                <c:pt idx="19">
                  <c:v>2.2836538461538458</c:v>
                </c:pt>
                <c:pt idx="20">
                  <c:v>2.4038461538461542</c:v>
                </c:pt>
                <c:pt idx="21">
                  <c:v>2.5240384615384617</c:v>
                </c:pt>
                <c:pt idx="22">
                  <c:v>2.6442307692307692</c:v>
                </c:pt>
                <c:pt idx="23">
                  <c:v>2.7644230769230766</c:v>
                </c:pt>
                <c:pt idx="24">
                  <c:v>2.8846153846153846</c:v>
                </c:pt>
                <c:pt idx="25">
                  <c:v>3.0048076923076925</c:v>
                </c:pt>
                <c:pt idx="26">
                  <c:v>3.125</c:v>
                </c:pt>
                <c:pt idx="27">
                  <c:v>3.2451923076923079</c:v>
                </c:pt>
                <c:pt idx="28">
                  <c:v>3.3653846153846154</c:v>
                </c:pt>
                <c:pt idx="29">
                  <c:v>3.4855769230769234</c:v>
                </c:pt>
                <c:pt idx="30">
                  <c:v>3.6057692307692304</c:v>
                </c:pt>
                <c:pt idx="31">
                  <c:v>3.7259615384615383</c:v>
                </c:pt>
                <c:pt idx="32">
                  <c:v>3.8461538461538463</c:v>
                </c:pt>
                <c:pt idx="33">
                  <c:v>3.9663461538461537</c:v>
                </c:pt>
                <c:pt idx="34">
                  <c:v>4.0865384615384617</c:v>
                </c:pt>
                <c:pt idx="35">
                  <c:v>4.2067307692307692</c:v>
                </c:pt>
                <c:pt idx="36">
                  <c:v>4.3269230769230766</c:v>
                </c:pt>
                <c:pt idx="37">
                  <c:v>4.447115384615385</c:v>
                </c:pt>
                <c:pt idx="38">
                  <c:v>4.5673076923076916</c:v>
                </c:pt>
                <c:pt idx="39">
                  <c:v>4.6875</c:v>
                </c:pt>
                <c:pt idx="40">
                  <c:v>4.8076923076923084</c:v>
                </c:pt>
                <c:pt idx="41">
                  <c:v>4.927884615384615</c:v>
                </c:pt>
                <c:pt idx="42">
                  <c:v>5.0480769230769234</c:v>
                </c:pt>
                <c:pt idx="43">
                  <c:v>5.1682692307692308</c:v>
                </c:pt>
                <c:pt idx="44">
                  <c:v>5.2884615384615383</c:v>
                </c:pt>
                <c:pt idx="45">
                  <c:v>5.4086538461538467</c:v>
                </c:pt>
                <c:pt idx="46">
                  <c:v>5.5288461538461533</c:v>
                </c:pt>
                <c:pt idx="47">
                  <c:v>5.6490384615384617</c:v>
                </c:pt>
                <c:pt idx="48">
                  <c:v>5.7692307692307692</c:v>
                </c:pt>
                <c:pt idx="49">
                  <c:v>5.8894230769230766</c:v>
                </c:pt>
                <c:pt idx="50">
                  <c:v>6.009615384615385</c:v>
                </c:pt>
                <c:pt idx="51">
                  <c:v>6.1298076923076916</c:v>
                </c:pt>
                <c:pt idx="52">
                  <c:v>6.25</c:v>
                </c:pt>
                <c:pt idx="53">
                  <c:v>6.3701923076923075</c:v>
                </c:pt>
                <c:pt idx="54">
                  <c:v>6.4903846153846159</c:v>
                </c:pt>
                <c:pt idx="55">
                  <c:v>6.6105769230769234</c:v>
                </c:pt>
                <c:pt idx="56">
                  <c:v>6.7307692307692308</c:v>
                </c:pt>
                <c:pt idx="57">
                  <c:v>6.8509615384615392</c:v>
                </c:pt>
                <c:pt idx="58">
                  <c:v>6.9711538461538467</c:v>
                </c:pt>
                <c:pt idx="59">
                  <c:v>7.0913461538461533</c:v>
                </c:pt>
                <c:pt idx="60">
                  <c:v>7.2115384615384608</c:v>
                </c:pt>
                <c:pt idx="61">
                  <c:v>7.3317307692307692</c:v>
                </c:pt>
                <c:pt idx="62">
                  <c:v>7.4519230769230766</c:v>
                </c:pt>
                <c:pt idx="63">
                  <c:v>7.5721153846153841</c:v>
                </c:pt>
                <c:pt idx="64">
                  <c:v>7.6923076923076925</c:v>
                </c:pt>
                <c:pt idx="65">
                  <c:v>7.8125</c:v>
                </c:pt>
                <c:pt idx="66">
                  <c:v>7.9326923076923075</c:v>
                </c:pt>
                <c:pt idx="67">
                  <c:v>8.0528846153846168</c:v>
                </c:pt>
                <c:pt idx="68">
                  <c:v>8.1730769230769234</c:v>
                </c:pt>
                <c:pt idx="69">
                  <c:v>8.2932692307692299</c:v>
                </c:pt>
                <c:pt idx="70">
                  <c:v>8.4134615384615383</c:v>
                </c:pt>
                <c:pt idx="71">
                  <c:v>8.5336538461538467</c:v>
                </c:pt>
                <c:pt idx="72">
                  <c:v>8.6538461538461533</c:v>
                </c:pt>
                <c:pt idx="73">
                  <c:v>8.7740384615384617</c:v>
                </c:pt>
                <c:pt idx="74">
                  <c:v>8.8942307692307701</c:v>
                </c:pt>
                <c:pt idx="75">
                  <c:v>9.0144230769230766</c:v>
                </c:pt>
                <c:pt idx="76">
                  <c:v>9.1346153846153832</c:v>
                </c:pt>
                <c:pt idx="77">
                  <c:v>9.2548076923076934</c:v>
                </c:pt>
                <c:pt idx="78">
                  <c:v>9.375</c:v>
                </c:pt>
                <c:pt idx="79">
                  <c:v>9.4951923076923066</c:v>
                </c:pt>
                <c:pt idx="80">
                  <c:v>9.6153846153846168</c:v>
                </c:pt>
                <c:pt idx="81">
                  <c:v>9.7355769230769234</c:v>
                </c:pt>
                <c:pt idx="82">
                  <c:v>9.8557692307692299</c:v>
                </c:pt>
                <c:pt idx="83">
                  <c:v>9.9759615384615383</c:v>
                </c:pt>
                <c:pt idx="84">
                  <c:v>10.096153846153847</c:v>
                </c:pt>
                <c:pt idx="85">
                  <c:v>10.216346153846153</c:v>
                </c:pt>
                <c:pt idx="86">
                  <c:v>10.336538461538462</c:v>
                </c:pt>
                <c:pt idx="87">
                  <c:v>10.45673076923077</c:v>
                </c:pt>
                <c:pt idx="88">
                  <c:v>10.576923076923077</c:v>
                </c:pt>
                <c:pt idx="89">
                  <c:v>10.697115384615383</c:v>
                </c:pt>
                <c:pt idx="90">
                  <c:v>10.817307692307693</c:v>
                </c:pt>
                <c:pt idx="91">
                  <c:v>10.9375</c:v>
                </c:pt>
                <c:pt idx="92">
                  <c:v>11.057692307692307</c:v>
                </c:pt>
                <c:pt idx="93">
                  <c:v>11.177884615384617</c:v>
                </c:pt>
                <c:pt idx="94">
                  <c:v>11.298076923076923</c:v>
                </c:pt>
                <c:pt idx="95">
                  <c:v>11.41826923076923</c:v>
                </c:pt>
                <c:pt idx="96">
                  <c:v>11.538461538461538</c:v>
                </c:pt>
                <c:pt idx="97">
                  <c:v>11.658653846153847</c:v>
                </c:pt>
                <c:pt idx="98">
                  <c:v>11.778846153846153</c:v>
                </c:pt>
                <c:pt idx="99">
                  <c:v>11.899038461538462</c:v>
                </c:pt>
                <c:pt idx="100">
                  <c:v>12.01923076923077</c:v>
                </c:pt>
                <c:pt idx="101">
                  <c:v>12.139423076923077</c:v>
                </c:pt>
              </c:numCache>
            </c:numRef>
          </c:xVal>
          <c:yVal>
            <c:numRef>
              <c:f>Start_up!$C$8:$C$109</c:f>
              <c:numCache>
                <c:formatCode>0.000</c:formatCode>
                <c:ptCount val="102"/>
                <c:pt idx="0">
                  <c:v>0</c:v>
                </c:pt>
                <c:pt idx="1">
                  <c:v>3.0048076923076924E-2</c:v>
                </c:pt>
                <c:pt idx="2">
                  <c:v>6.0096153846153848E-2</c:v>
                </c:pt>
                <c:pt idx="3">
                  <c:v>9.0144230769230768E-2</c:v>
                </c:pt>
                <c:pt idx="4">
                  <c:v>0.1201923076923077</c:v>
                </c:pt>
                <c:pt idx="5">
                  <c:v>0.15024038461538464</c:v>
                </c:pt>
                <c:pt idx="6">
                  <c:v>0.18028846153846154</c:v>
                </c:pt>
                <c:pt idx="7">
                  <c:v>0.21033653846153846</c:v>
                </c:pt>
                <c:pt idx="8">
                  <c:v>0.24038461538461539</c:v>
                </c:pt>
                <c:pt idx="9">
                  <c:v>0.27043269230769229</c:v>
                </c:pt>
                <c:pt idx="10">
                  <c:v>0.30048076923076927</c:v>
                </c:pt>
                <c:pt idx="11">
                  <c:v>0.33052884615384615</c:v>
                </c:pt>
                <c:pt idx="12">
                  <c:v>0.36057692307692307</c:v>
                </c:pt>
                <c:pt idx="13">
                  <c:v>0.390625</c:v>
                </c:pt>
                <c:pt idx="14">
                  <c:v>0.42067307692307693</c:v>
                </c:pt>
                <c:pt idx="15">
                  <c:v>0.4507211538461538</c:v>
                </c:pt>
                <c:pt idx="16">
                  <c:v>0.48076923076923078</c:v>
                </c:pt>
                <c:pt idx="17">
                  <c:v>0.51081730769230771</c:v>
                </c:pt>
                <c:pt idx="18">
                  <c:v>0.54086538461538458</c:v>
                </c:pt>
                <c:pt idx="19">
                  <c:v>0.57091346153846145</c:v>
                </c:pt>
                <c:pt idx="20">
                  <c:v>0.60096153846153855</c:v>
                </c:pt>
                <c:pt idx="21">
                  <c:v>0.63100961538461542</c:v>
                </c:pt>
                <c:pt idx="22">
                  <c:v>0.66105769230769229</c:v>
                </c:pt>
                <c:pt idx="23">
                  <c:v>0.69110576923076916</c:v>
                </c:pt>
                <c:pt idx="24">
                  <c:v>0.72115384615384615</c:v>
                </c:pt>
                <c:pt idx="25">
                  <c:v>0.75120192307692313</c:v>
                </c:pt>
                <c:pt idx="26">
                  <c:v>0.78125</c:v>
                </c:pt>
                <c:pt idx="27">
                  <c:v>0.81129807692307698</c:v>
                </c:pt>
                <c:pt idx="28">
                  <c:v>0.84134615384615385</c:v>
                </c:pt>
                <c:pt idx="29">
                  <c:v>0.87139423076923084</c:v>
                </c:pt>
                <c:pt idx="30">
                  <c:v>0.9014423076923076</c:v>
                </c:pt>
                <c:pt idx="31">
                  <c:v>0.93149038461538458</c:v>
                </c:pt>
                <c:pt idx="32">
                  <c:v>0.96153846153846156</c:v>
                </c:pt>
                <c:pt idx="33">
                  <c:v>0.99158653846153844</c:v>
                </c:pt>
                <c:pt idx="34">
                  <c:v>1.0216346153846154</c:v>
                </c:pt>
                <c:pt idx="35">
                  <c:v>1.0516826923076923</c:v>
                </c:pt>
                <c:pt idx="36">
                  <c:v>1.0817307692307692</c:v>
                </c:pt>
                <c:pt idx="37">
                  <c:v>1.1117788461538463</c:v>
                </c:pt>
                <c:pt idx="38">
                  <c:v>1.1418269230769229</c:v>
                </c:pt>
                <c:pt idx="39">
                  <c:v>1.171875</c:v>
                </c:pt>
                <c:pt idx="40">
                  <c:v>1.2019230769230771</c:v>
                </c:pt>
                <c:pt idx="41">
                  <c:v>1.2319711538461537</c:v>
                </c:pt>
                <c:pt idx="42">
                  <c:v>1.2620192307692308</c:v>
                </c:pt>
                <c:pt idx="43">
                  <c:v>1.2920673076923077</c:v>
                </c:pt>
                <c:pt idx="44">
                  <c:v>1.3221153846153846</c:v>
                </c:pt>
                <c:pt idx="45">
                  <c:v>1.3521634615384617</c:v>
                </c:pt>
                <c:pt idx="46">
                  <c:v>1.3822115384615383</c:v>
                </c:pt>
                <c:pt idx="47">
                  <c:v>1.4122596153846154</c:v>
                </c:pt>
                <c:pt idx="48">
                  <c:v>1.4423076923076923</c:v>
                </c:pt>
                <c:pt idx="49">
                  <c:v>1.4723557692307692</c:v>
                </c:pt>
                <c:pt idx="50">
                  <c:v>1.5024038461538463</c:v>
                </c:pt>
                <c:pt idx="51">
                  <c:v>1.5324519230769229</c:v>
                </c:pt>
                <c:pt idx="52">
                  <c:v>1.5625</c:v>
                </c:pt>
                <c:pt idx="53">
                  <c:v>1.5925480769230769</c:v>
                </c:pt>
                <c:pt idx="54">
                  <c:v>1.622596153846154</c:v>
                </c:pt>
                <c:pt idx="55">
                  <c:v>1.6526442307692308</c:v>
                </c:pt>
                <c:pt idx="56">
                  <c:v>1.6826923076923077</c:v>
                </c:pt>
                <c:pt idx="57">
                  <c:v>1.7127403846153848</c:v>
                </c:pt>
                <c:pt idx="58">
                  <c:v>1.7427884615384617</c:v>
                </c:pt>
                <c:pt idx="59">
                  <c:v>1.7728365384615383</c:v>
                </c:pt>
                <c:pt idx="60">
                  <c:v>1.8028846153846152</c:v>
                </c:pt>
                <c:pt idx="61">
                  <c:v>1.8329326923076923</c:v>
                </c:pt>
                <c:pt idx="62">
                  <c:v>1.8629807692307692</c:v>
                </c:pt>
                <c:pt idx="63">
                  <c:v>1.893028846153846</c:v>
                </c:pt>
                <c:pt idx="64">
                  <c:v>1.9230769230769231</c:v>
                </c:pt>
                <c:pt idx="65">
                  <c:v>1.953125</c:v>
                </c:pt>
                <c:pt idx="66">
                  <c:v>1.9831730769230769</c:v>
                </c:pt>
                <c:pt idx="67">
                  <c:v>2.0132211538461542</c:v>
                </c:pt>
                <c:pt idx="68">
                  <c:v>2.0432692307692308</c:v>
                </c:pt>
                <c:pt idx="69">
                  <c:v>2.0733173076923075</c:v>
                </c:pt>
                <c:pt idx="70">
                  <c:v>2.1033653846153846</c:v>
                </c:pt>
                <c:pt idx="71">
                  <c:v>2.1334134615384617</c:v>
                </c:pt>
                <c:pt idx="72">
                  <c:v>2.1634615384615383</c:v>
                </c:pt>
                <c:pt idx="73">
                  <c:v>2.1935096153846154</c:v>
                </c:pt>
                <c:pt idx="74">
                  <c:v>2.2235576923076925</c:v>
                </c:pt>
                <c:pt idx="75">
                  <c:v>2.2536057692307692</c:v>
                </c:pt>
                <c:pt idx="76">
                  <c:v>2.2836538461538458</c:v>
                </c:pt>
                <c:pt idx="77">
                  <c:v>2.3137019230769234</c:v>
                </c:pt>
                <c:pt idx="78">
                  <c:v>2.34375</c:v>
                </c:pt>
                <c:pt idx="79">
                  <c:v>2.3737980769230766</c:v>
                </c:pt>
                <c:pt idx="80">
                  <c:v>2.4038461538461542</c:v>
                </c:pt>
                <c:pt idx="81">
                  <c:v>2.4338942307692308</c:v>
                </c:pt>
                <c:pt idx="82">
                  <c:v>2.4639423076923075</c:v>
                </c:pt>
                <c:pt idx="83">
                  <c:v>2.4939903846153846</c:v>
                </c:pt>
                <c:pt idx="84">
                  <c:v>2.5240384615384617</c:v>
                </c:pt>
                <c:pt idx="85">
                  <c:v>2.5540865384615383</c:v>
                </c:pt>
                <c:pt idx="86">
                  <c:v>2.5841346153846154</c:v>
                </c:pt>
                <c:pt idx="87">
                  <c:v>2.6141826923076925</c:v>
                </c:pt>
                <c:pt idx="88">
                  <c:v>2.6442307692307692</c:v>
                </c:pt>
                <c:pt idx="89">
                  <c:v>2.6742788461538458</c:v>
                </c:pt>
                <c:pt idx="90">
                  <c:v>2.7043269230769234</c:v>
                </c:pt>
                <c:pt idx="91">
                  <c:v>2.734375</c:v>
                </c:pt>
                <c:pt idx="92">
                  <c:v>2.7644230769230766</c:v>
                </c:pt>
                <c:pt idx="93">
                  <c:v>2.7944711538461542</c:v>
                </c:pt>
                <c:pt idx="94">
                  <c:v>2.8245192307692308</c:v>
                </c:pt>
                <c:pt idx="95">
                  <c:v>2.8545673076923075</c:v>
                </c:pt>
                <c:pt idx="96">
                  <c:v>2.8846153846153846</c:v>
                </c:pt>
                <c:pt idx="97">
                  <c:v>2.9146634615384617</c:v>
                </c:pt>
                <c:pt idx="98">
                  <c:v>2.9447115384615383</c:v>
                </c:pt>
                <c:pt idx="99">
                  <c:v>2.9747596153846154</c:v>
                </c:pt>
                <c:pt idx="100">
                  <c:v>3.0048076923076925</c:v>
                </c:pt>
                <c:pt idx="101">
                  <c:v>3.0348557692307692</c:v>
                </c:pt>
              </c:numCache>
            </c:numRef>
          </c:yVal>
          <c:smooth val="1"/>
          <c:extLst>
            <c:ext xmlns:c16="http://schemas.microsoft.com/office/drawing/2014/chart" uri="{C3380CC4-5D6E-409C-BE32-E72D297353CC}">
              <c16:uniqueId val="{00000000-0873-403E-8239-B6415AE12FB2}"/>
            </c:ext>
          </c:extLst>
        </c:ser>
        <c:ser>
          <c:idx val="1"/>
          <c:order val="1"/>
          <c:tx>
            <c:strRef>
              <c:f>Start_up!$G$7</c:f>
              <c:strCache>
                <c:ptCount val="1"/>
                <c:pt idx="0">
                  <c:v>IFET</c:v>
                </c:pt>
              </c:strCache>
            </c:strRef>
          </c:tx>
          <c:marker>
            <c:symbol val="none"/>
          </c:marker>
          <c:xVal>
            <c:numRef>
              <c:f>Start_up!$B$8:$B$109</c:f>
              <c:numCache>
                <c:formatCode>0.00</c:formatCode>
                <c:ptCount val="102"/>
                <c:pt idx="0">
                  <c:v>0</c:v>
                </c:pt>
                <c:pt idx="1">
                  <c:v>0.1201923076923077</c:v>
                </c:pt>
                <c:pt idx="2">
                  <c:v>0.24038461538461539</c:v>
                </c:pt>
                <c:pt idx="3">
                  <c:v>0.36057692307692307</c:v>
                </c:pt>
                <c:pt idx="4">
                  <c:v>0.48076923076923078</c:v>
                </c:pt>
                <c:pt idx="5">
                  <c:v>0.60096153846153855</c:v>
                </c:pt>
                <c:pt idx="6">
                  <c:v>0.72115384615384615</c:v>
                </c:pt>
                <c:pt idx="7">
                  <c:v>0.84134615384615385</c:v>
                </c:pt>
                <c:pt idx="8">
                  <c:v>0.96153846153846156</c:v>
                </c:pt>
                <c:pt idx="9">
                  <c:v>1.0817307692307692</c:v>
                </c:pt>
                <c:pt idx="10">
                  <c:v>1.2019230769230771</c:v>
                </c:pt>
                <c:pt idx="11">
                  <c:v>1.3221153846153846</c:v>
                </c:pt>
                <c:pt idx="12">
                  <c:v>1.4423076923076923</c:v>
                </c:pt>
                <c:pt idx="13">
                  <c:v>1.5625</c:v>
                </c:pt>
                <c:pt idx="14">
                  <c:v>1.6826923076923077</c:v>
                </c:pt>
                <c:pt idx="15">
                  <c:v>1.8028846153846152</c:v>
                </c:pt>
                <c:pt idx="16">
                  <c:v>1.9230769230769231</c:v>
                </c:pt>
                <c:pt idx="17">
                  <c:v>2.0432692307692308</c:v>
                </c:pt>
                <c:pt idx="18">
                  <c:v>2.1634615384615383</c:v>
                </c:pt>
                <c:pt idx="19">
                  <c:v>2.2836538461538458</c:v>
                </c:pt>
                <c:pt idx="20">
                  <c:v>2.4038461538461542</c:v>
                </c:pt>
                <c:pt idx="21">
                  <c:v>2.5240384615384617</c:v>
                </c:pt>
                <c:pt idx="22">
                  <c:v>2.6442307692307692</c:v>
                </c:pt>
                <c:pt idx="23">
                  <c:v>2.7644230769230766</c:v>
                </c:pt>
                <c:pt idx="24">
                  <c:v>2.8846153846153846</c:v>
                </c:pt>
                <c:pt idx="25">
                  <c:v>3.0048076923076925</c:v>
                </c:pt>
                <c:pt idx="26">
                  <c:v>3.125</c:v>
                </c:pt>
                <c:pt idx="27">
                  <c:v>3.2451923076923079</c:v>
                </c:pt>
                <c:pt idx="28">
                  <c:v>3.3653846153846154</c:v>
                </c:pt>
                <c:pt idx="29">
                  <c:v>3.4855769230769234</c:v>
                </c:pt>
                <c:pt idx="30">
                  <c:v>3.6057692307692304</c:v>
                </c:pt>
                <c:pt idx="31">
                  <c:v>3.7259615384615383</c:v>
                </c:pt>
                <c:pt idx="32">
                  <c:v>3.8461538461538463</c:v>
                </c:pt>
                <c:pt idx="33">
                  <c:v>3.9663461538461537</c:v>
                </c:pt>
                <c:pt idx="34">
                  <c:v>4.0865384615384617</c:v>
                </c:pt>
                <c:pt idx="35">
                  <c:v>4.2067307692307692</c:v>
                </c:pt>
                <c:pt idx="36">
                  <c:v>4.3269230769230766</c:v>
                </c:pt>
                <c:pt idx="37">
                  <c:v>4.447115384615385</c:v>
                </c:pt>
                <c:pt idx="38">
                  <c:v>4.5673076923076916</c:v>
                </c:pt>
                <c:pt idx="39">
                  <c:v>4.6875</c:v>
                </c:pt>
                <c:pt idx="40">
                  <c:v>4.8076923076923084</c:v>
                </c:pt>
                <c:pt idx="41">
                  <c:v>4.927884615384615</c:v>
                </c:pt>
                <c:pt idx="42">
                  <c:v>5.0480769230769234</c:v>
                </c:pt>
                <c:pt idx="43">
                  <c:v>5.1682692307692308</c:v>
                </c:pt>
                <c:pt idx="44">
                  <c:v>5.2884615384615383</c:v>
                </c:pt>
                <c:pt idx="45">
                  <c:v>5.4086538461538467</c:v>
                </c:pt>
                <c:pt idx="46">
                  <c:v>5.5288461538461533</c:v>
                </c:pt>
                <c:pt idx="47">
                  <c:v>5.6490384615384617</c:v>
                </c:pt>
                <c:pt idx="48">
                  <c:v>5.7692307692307692</c:v>
                </c:pt>
                <c:pt idx="49">
                  <c:v>5.8894230769230766</c:v>
                </c:pt>
                <c:pt idx="50">
                  <c:v>6.009615384615385</c:v>
                </c:pt>
                <c:pt idx="51">
                  <c:v>6.1298076923076916</c:v>
                </c:pt>
                <c:pt idx="52">
                  <c:v>6.25</c:v>
                </c:pt>
                <c:pt idx="53">
                  <c:v>6.3701923076923075</c:v>
                </c:pt>
                <c:pt idx="54">
                  <c:v>6.4903846153846159</c:v>
                </c:pt>
                <c:pt idx="55">
                  <c:v>6.6105769230769234</c:v>
                </c:pt>
                <c:pt idx="56">
                  <c:v>6.7307692307692308</c:v>
                </c:pt>
                <c:pt idx="57">
                  <c:v>6.8509615384615392</c:v>
                </c:pt>
                <c:pt idx="58">
                  <c:v>6.9711538461538467</c:v>
                </c:pt>
                <c:pt idx="59">
                  <c:v>7.0913461538461533</c:v>
                </c:pt>
                <c:pt idx="60">
                  <c:v>7.2115384615384608</c:v>
                </c:pt>
                <c:pt idx="61">
                  <c:v>7.3317307692307692</c:v>
                </c:pt>
                <c:pt idx="62">
                  <c:v>7.4519230769230766</c:v>
                </c:pt>
                <c:pt idx="63">
                  <c:v>7.5721153846153841</c:v>
                </c:pt>
                <c:pt idx="64">
                  <c:v>7.6923076923076925</c:v>
                </c:pt>
                <c:pt idx="65">
                  <c:v>7.8125</c:v>
                </c:pt>
                <c:pt idx="66">
                  <c:v>7.9326923076923075</c:v>
                </c:pt>
                <c:pt idx="67">
                  <c:v>8.0528846153846168</c:v>
                </c:pt>
                <c:pt idx="68">
                  <c:v>8.1730769230769234</c:v>
                </c:pt>
                <c:pt idx="69">
                  <c:v>8.2932692307692299</c:v>
                </c:pt>
                <c:pt idx="70">
                  <c:v>8.4134615384615383</c:v>
                </c:pt>
                <c:pt idx="71">
                  <c:v>8.5336538461538467</c:v>
                </c:pt>
                <c:pt idx="72">
                  <c:v>8.6538461538461533</c:v>
                </c:pt>
                <c:pt idx="73">
                  <c:v>8.7740384615384617</c:v>
                </c:pt>
                <c:pt idx="74">
                  <c:v>8.8942307692307701</c:v>
                </c:pt>
                <c:pt idx="75">
                  <c:v>9.0144230769230766</c:v>
                </c:pt>
                <c:pt idx="76">
                  <c:v>9.1346153846153832</c:v>
                </c:pt>
                <c:pt idx="77">
                  <c:v>9.2548076923076934</c:v>
                </c:pt>
                <c:pt idx="78">
                  <c:v>9.375</c:v>
                </c:pt>
                <c:pt idx="79">
                  <c:v>9.4951923076923066</c:v>
                </c:pt>
                <c:pt idx="80">
                  <c:v>9.6153846153846168</c:v>
                </c:pt>
                <c:pt idx="81">
                  <c:v>9.7355769230769234</c:v>
                </c:pt>
                <c:pt idx="82">
                  <c:v>9.8557692307692299</c:v>
                </c:pt>
                <c:pt idx="83">
                  <c:v>9.9759615384615383</c:v>
                </c:pt>
                <c:pt idx="84">
                  <c:v>10.096153846153847</c:v>
                </c:pt>
                <c:pt idx="85">
                  <c:v>10.216346153846153</c:v>
                </c:pt>
                <c:pt idx="86">
                  <c:v>10.336538461538462</c:v>
                </c:pt>
                <c:pt idx="87">
                  <c:v>10.45673076923077</c:v>
                </c:pt>
                <c:pt idx="88">
                  <c:v>10.576923076923077</c:v>
                </c:pt>
                <c:pt idx="89">
                  <c:v>10.697115384615383</c:v>
                </c:pt>
                <c:pt idx="90">
                  <c:v>10.817307692307693</c:v>
                </c:pt>
                <c:pt idx="91">
                  <c:v>10.9375</c:v>
                </c:pt>
                <c:pt idx="92">
                  <c:v>11.057692307692307</c:v>
                </c:pt>
                <c:pt idx="93">
                  <c:v>11.177884615384617</c:v>
                </c:pt>
                <c:pt idx="94">
                  <c:v>11.298076923076923</c:v>
                </c:pt>
                <c:pt idx="95">
                  <c:v>11.41826923076923</c:v>
                </c:pt>
                <c:pt idx="96">
                  <c:v>11.538461538461538</c:v>
                </c:pt>
                <c:pt idx="97">
                  <c:v>11.658653846153847</c:v>
                </c:pt>
                <c:pt idx="98">
                  <c:v>11.778846153846153</c:v>
                </c:pt>
                <c:pt idx="99">
                  <c:v>11.899038461538462</c:v>
                </c:pt>
                <c:pt idx="100">
                  <c:v>12.01923076923077</c:v>
                </c:pt>
                <c:pt idx="101">
                  <c:v>12.139423076923077</c:v>
                </c:pt>
              </c:numCache>
            </c:numRef>
          </c:xVal>
          <c:yVal>
            <c:numRef>
              <c:f>Start_up!$G$8:$G$110</c:f>
              <c:numCache>
                <c:formatCode>General</c:formatCode>
                <c:ptCount val="103"/>
                <c:pt idx="0">
                  <c:v>1.1856502959526476</c:v>
                </c:pt>
                <c:pt idx="1">
                  <c:v>1.1971614638745181</c:v>
                </c:pt>
                <c:pt idx="2">
                  <c:v>1.208898340971327</c:v>
                </c:pt>
                <c:pt idx="3">
                  <c:v>1.2208676314759936</c:v>
                </c:pt>
                <c:pt idx="4">
                  <c:v>1.2330763077907534</c:v>
                </c:pt>
                <c:pt idx="5">
                  <c:v>1.2455316240310641</c:v>
                </c:pt>
                <c:pt idx="6">
                  <c:v>1.2582411303987282</c:v>
                </c:pt>
                <c:pt idx="7">
                  <c:v>1.2712126884440758</c:v>
                </c:pt>
                <c:pt idx="8">
                  <c:v>1.2844544872820349</c:v>
                </c:pt>
                <c:pt idx="9">
                  <c:v>1.2979750608323721</c:v>
                </c:pt>
                <c:pt idx="10">
                  <c:v>1.3117833061603761</c:v>
                </c:pt>
                <c:pt idx="11">
                  <c:v>1.3258885030008103</c:v>
                </c:pt>
                <c:pt idx="12">
                  <c:v>1.3403003345551667</c:v>
                </c:pt>
                <c:pt idx="13">
                  <c:v>1.3550289096601686</c:v>
                </c:pt>
                <c:pt idx="14">
                  <c:v>1.3700847864341708</c:v>
                </c:pt>
                <c:pt idx="15">
                  <c:v>1.3854789975177004</c:v>
                </c:pt>
                <c:pt idx="16">
                  <c:v>1.4012230770349472</c:v>
                </c:pt>
                <c:pt idx="17">
                  <c:v>1.4173290894146591</c:v>
                </c:pt>
                <c:pt idx="18">
                  <c:v>1.4338096602218064</c:v>
                </c:pt>
                <c:pt idx="19">
                  <c:v>1.4506780091655924</c:v>
                </c:pt>
                <c:pt idx="20">
                  <c:v>1.4679479854651827</c:v>
                </c:pt>
                <c:pt idx="21">
                  <c:v>1.4856341057719922</c:v>
                </c:pt>
                <c:pt idx="22">
                  <c:v>1.5037515948667728</c:v>
                </c:pt>
                <c:pt idx="23">
                  <c:v>1.5223164293713005</c:v>
                </c:pt>
                <c:pt idx="24">
                  <c:v>1.541345384738442</c:v>
                </c:pt>
                <c:pt idx="25">
                  <c:v>1.5608560858110805</c:v>
                </c:pt>
                <c:pt idx="26">
                  <c:v>1.5808670612701967</c:v>
                </c:pt>
                <c:pt idx="27">
                  <c:v>1.6013978023256541</c:v>
                </c:pt>
                <c:pt idx="28">
                  <c:v>1.6224688260404652</c:v>
                </c:pt>
                <c:pt idx="29">
                  <c:v>1.6441017437210048</c:v>
                </c:pt>
                <c:pt idx="30">
                  <c:v>1.6663193348523695</c:v>
                </c:pt>
                <c:pt idx="31">
                  <c:v>1.6891456271106213</c:v>
                </c:pt>
                <c:pt idx="32">
                  <c:v>1.7126059830427134</c:v>
                </c:pt>
                <c:pt idx="33">
                  <c:v>1.7367271940714837</c:v>
                </c:pt>
                <c:pt idx="34">
                  <c:v>1.7615375825582194</c:v>
                </c:pt>
                <c:pt idx="35">
                  <c:v>1.7870671127402227</c:v>
                </c:pt>
                <c:pt idx="36">
                  <c:v>1.8133475114569904</c:v>
                </c:pt>
                <c:pt idx="37">
                  <c:v>1.840412399687692</c:v>
                </c:pt>
                <c:pt idx="38">
                  <c:v>1.868297436046596</c:v>
                </c:pt>
                <c:pt idx="39">
                  <c:v>1.8970404735242361</c:v>
                </c:pt>
                <c:pt idx="40">
                  <c:v>1.9266817309230526</c:v>
                </c:pt>
                <c:pt idx="41">
                  <c:v>1.9572639806202436</c:v>
                </c:pt>
                <c:pt idx="42">
                  <c:v>1.9888327545012154</c:v>
                </c:pt>
                <c:pt idx="43">
                  <c:v>2.0214365701487762</c:v>
                </c:pt>
                <c:pt idx="44">
                  <c:v>2.0551271796512558</c:v>
                </c:pt>
                <c:pt idx="45">
                  <c:v>2.0899598437131419</c:v>
                </c:pt>
                <c:pt idx="46">
                  <c:v>2.1259936341219885</c:v>
                </c:pt>
                <c:pt idx="47">
                  <c:v>2.1632917680539534</c:v>
                </c:pt>
                <c:pt idx="48">
                  <c:v>2.2019219781977739</c:v>
                </c:pt>
                <c:pt idx="49">
                  <c:v>2.2419569232559153</c:v>
                </c:pt>
                <c:pt idx="50">
                  <c:v>2.2834746440569509</c:v>
                </c:pt>
                <c:pt idx="51">
                  <c:v>2.3265590713033082</c:v>
                </c:pt>
                <c:pt idx="52">
                  <c:v>2.3713005919052952</c:v>
                </c:pt>
                <c:pt idx="53">
                  <c:v>2.417796681942654</c:v>
                </c:pt>
                <c:pt idx="54">
                  <c:v>2.4661526155815072</c:v>
                </c:pt>
                <c:pt idx="55">
                  <c:v>2.5164822607974564</c:v>
                </c:pt>
                <c:pt idx="56">
                  <c:v>2.5689089745640699</c:v>
                </c:pt>
                <c:pt idx="57">
                  <c:v>2.6235666123207526</c:v>
                </c:pt>
                <c:pt idx="58">
                  <c:v>2.6806006691103339</c:v>
                </c:pt>
                <c:pt idx="59">
                  <c:v>2.7401695728683411</c:v>
                </c:pt>
                <c:pt idx="60">
                  <c:v>2.8024461540698939</c:v>
                </c:pt>
                <c:pt idx="61">
                  <c:v>2.8676193204436129</c:v>
                </c:pt>
                <c:pt idx="62">
                  <c:v>2.9358959709303654</c:v>
                </c:pt>
                <c:pt idx="63">
                  <c:v>3.0075031897335447</c:v>
                </c:pt>
                <c:pt idx="64">
                  <c:v>3.0826907694768839</c:v>
                </c:pt>
                <c:pt idx="65">
                  <c:v>3.1617341225403934</c:v>
                </c:pt>
                <c:pt idx="66">
                  <c:v>3.2449376520809303</c:v>
                </c:pt>
                <c:pt idx="67">
                  <c:v>3.3326386697047403</c:v>
                </c:pt>
                <c:pt idx="68">
                  <c:v>3.4252119660854268</c:v>
                </c:pt>
                <c:pt idx="69">
                  <c:v>3.5230751651164378</c:v>
                </c:pt>
                <c:pt idx="70">
                  <c:v>3.6266950229139807</c:v>
                </c:pt>
                <c:pt idx="71">
                  <c:v>3.736594872093193</c:v>
                </c:pt>
                <c:pt idx="72">
                  <c:v>3.8533634618461043</c:v>
                </c:pt>
                <c:pt idx="73">
                  <c:v>3.9776655090024309</c:v>
                </c:pt>
                <c:pt idx="74">
                  <c:v>4.1102543593025125</c:v>
                </c:pt>
                <c:pt idx="75">
                  <c:v>4.251987268243977</c:v>
                </c:pt>
                <c:pt idx="76">
                  <c:v>4.403843956395546</c:v>
                </c:pt>
                <c:pt idx="77">
                  <c:v>4.5669492881139035</c:v>
                </c:pt>
                <c:pt idx="78">
                  <c:v>4.7426011838105904</c:v>
                </c:pt>
                <c:pt idx="79">
                  <c:v>4.9323052311630127</c:v>
                </c:pt>
                <c:pt idx="80">
                  <c:v>5.1378179491281424</c:v>
                </c:pt>
                <c:pt idx="81">
                  <c:v>5.3612013382206678</c:v>
                </c:pt>
                <c:pt idx="82">
                  <c:v>5.5725563909774438</c:v>
                </c:pt>
                <c:pt idx="83">
                  <c:v>5.5725563909774438</c:v>
                </c:pt>
                <c:pt idx="84">
                  <c:v>5.5725563909774438</c:v>
                </c:pt>
                <c:pt idx="85">
                  <c:v>5.5725563909774438</c:v>
                </c:pt>
                <c:pt idx="86">
                  <c:v>5.5725563909774438</c:v>
                </c:pt>
                <c:pt idx="87">
                  <c:v>5.5725563909774438</c:v>
                </c:pt>
                <c:pt idx="88">
                  <c:v>5.5725563909774438</c:v>
                </c:pt>
                <c:pt idx="89">
                  <c:v>5.5725563909774438</c:v>
                </c:pt>
                <c:pt idx="90">
                  <c:v>5.5725563909774438</c:v>
                </c:pt>
                <c:pt idx="91">
                  <c:v>5.5725563909774438</c:v>
                </c:pt>
                <c:pt idx="92">
                  <c:v>5.5725563909774438</c:v>
                </c:pt>
                <c:pt idx="93">
                  <c:v>5.5725563909774438</c:v>
                </c:pt>
                <c:pt idx="94">
                  <c:v>5.5725563909774438</c:v>
                </c:pt>
                <c:pt idx="95">
                  <c:v>5.5725563909774438</c:v>
                </c:pt>
                <c:pt idx="96">
                  <c:v>5.5725563909774438</c:v>
                </c:pt>
                <c:pt idx="97">
                  <c:v>5.5725563909774438</c:v>
                </c:pt>
                <c:pt idx="98">
                  <c:v>5.5725563909774438</c:v>
                </c:pt>
                <c:pt idx="99">
                  <c:v>5.5725563909774438</c:v>
                </c:pt>
                <c:pt idx="100">
                  <c:v>5.5725563909774438</c:v>
                </c:pt>
                <c:pt idx="101">
                  <c:v>5.5725563909774438</c:v>
                </c:pt>
                <c:pt idx="102">
                  <c:v>5.5725563909774438</c:v>
                </c:pt>
              </c:numCache>
            </c:numRef>
          </c:yVal>
          <c:smooth val="1"/>
          <c:extLst>
            <c:ext xmlns:c16="http://schemas.microsoft.com/office/drawing/2014/chart" uri="{C3380CC4-5D6E-409C-BE32-E72D297353CC}">
              <c16:uniqueId val="{00000001-0873-403E-8239-B6415AE12FB2}"/>
            </c:ext>
          </c:extLst>
        </c:ser>
        <c:dLbls>
          <c:showLegendKey val="0"/>
          <c:showVal val="0"/>
          <c:showCatName val="0"/>
          <c:showSerName val="0"/>
          <c:showPercent val="0"/>
          <c:showBubbleSize val="0"/>
        </c:dLbls>
        <c:axId val="50423680"/>
        <c:axId val="50987776"/>
      </c:scatterChart>
      <c:valAx>
        <c:axId val="50423680"/>
        <c:scaling>
          <c:orientation val="minMax"/>
        </c:scaling>
        <c:delete val="0"/>
        <c:axPos val="b"/>
        <c:title>
          <c:tx>
            <c:rich>
              <a:bodyPr/>
              <a:lstStyle/>
              <a:p>
                <a:pPr>
                  <a:defRPr/>
                </a:pPr>
                <a:r>
                  <a:rPr lang="en-US"/>
                  <a:t>Output</a:t>
                </a:r>
                <a:r>
                  <a:rPr lang="en-US" baseline="0"/>
                  <a:t> Voltage (V)</a:t>
                </a:r>
                <a:endParaRPr lang="en-US"/>
              </a:p>
            </c:rich>
          </c:tx>
          <c:overlay val="0"/>
        </c:title>
        <c:numFmt formatCode="0.00" sourceLinked="1"/>
        <c:majorTickMark val="out"/>
        <c:minorTickMark val="none"/>
        <c:tickLblPos val="nextTo"/>
        <c:crossAx val="50987776"/>
        <c:crosses val="autoZero"/>
        <c:crossBetween val="midCat"/>
      </c:valAx>
      <c:valAx>
        <c:axId val="50987776"/>
        <c:scaling>
          <c:orientation val="minMax"/>
          <c:min val="0"/>
        </c:scaling>
        <c:delete val="0"/>
        <c:axPos val="l"/>
        <c:majorGridlines/>
        <c:title>
          <c:tx>
            <c:rich>
              <a:bodyPr rot="-5400000" vert="horz"/>
              <a:lstStyle/>
              <a:p>
                <a:pPr>
                  <a:defRPr/>
                </a:pPr>
                <a:r>
                  <a:rPr lang="en-US"/>
                  <a:t>Current (A)</a:t>
                </a:r>
              </a:p>
            </c:rich>
          </c:tx>
          <c:layout>
            <c:manualLayout>
              <c:xMode val="edge"/>
              <c:yMode val="edge"/>
              <c:x val="3.2020838234924874E-2"/>
              <c:y val="0.40230010678496647"/>
            </c:manualLayout>
          </c:layout>
          <c:overlay val="0"/>
        </c:title>
        <c:numFmt formatCode="0.0" sourceLinked="0"/>
        <c:majorTickMark val="out"/>
        <c:minorTickMark val="none"/>
        <c:tickLblPos val="nextTo"/>
        <c:crossAx val="50423680"/>
        <c:crosses val="autoZero"/>
        <c:crossBetween val="midCat"/>
      </c:valAx>
    </c:plotArea>
    <c:legend>
      <c:legendPos val="r"/>
      <c:layout>
        <c:manualLayout>
          <c:xMode val="edge"/>
          <c:yMode val="edge"/>
          <c:x val="0.19152567906997939"/>
          <c:y val="0.22066945910601443"/>
          <c:w val="0.21462230092985587"/>
          <c:h val="0.18516649249275954"/>
        </c:manualLayout>
      </c:layout>
      <c:overlay val="0"/>
      <c:spPr>
        <a:solidFill>
          <a:sysClr val="window" lastClr="FFFFFF"/>
        </a:solidFill>
        <a:ln>
          <a:solidFill>
            <a:schemeClr val="tx1"/>
          </a:solidFill>
        </a:ln>
      </c:spPr>
      <c:txPr>
        <a:bodyPr/>
        <a:lstStyle/>
        <a:p>
          <a:pPr>
            <a:defRPr>
              <a:ln>
                <a:solidFill>
                  <a:sysClr val="windowText" lastClr="000000"/>
                </a:solidFill>
              </a:ln>
            </a:defRPr>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a:t>FET</a:t>
            </a:r>
            <a:r>
              <a:rPr lang="en-US" baseline="0"/>
              <a:t> Power vs Vout (</a:t>
            </a:r>
            <a:r>
              <a:rPr lang="en-US" sz="1800" b="1" i="0" u="none" strike="noStrike" baseline="0">
                <a:effectLst/>
              </a:rPr>
              <a:t>V</a:t>
            </a:r>
            <a:r>
              <a:rPr lang="en-US" sz="1800" b="1" i="0" u="none" strike="noStrike" baseline="-25000">
                <a:effectLst/>
              </a:rPr>
              <a:t>IN</a:t>
            </a:r>
            <a:r>
              <a:rPr lang="en-US" sz="1800" b="1" i="0" u="none" strike="noStrike" baseline="0">
                <a:effectLst/>
              </a:rPr>
              <a:t> = </a:t>
            </a:r>
            <a:r>
              <a:rPr lang="en-US" sz="1800" b="1" i="0" baseline="0">
                <a:effectLst/>
              </a:rPr>
              <a:t>V</a:t>
            </a:r>
            <a:r>
              <a:rPr lang="en-US" sz="1800" b="1" i="0" baseline="-25000">
                <a:effectLst/>
              </a:rPr>
              <a:t>INMAX</a:t>
            </a:r>
            <a:r>
              <a:rPr lang="en-US" sz="1800" b="1" i="0" u="none" strike="noStrike" baseline="0">
                <a:effectLst/>
              </a:rPr>
              <a:t>)</a:t>
            </a:r>
            <a:endParaRPr lang="en-US"/>
          </a:p>
        </c:rich>
      </c:tx>
      <c:layout>
        <c:manualLayout>
          <c:xMode val="edge"/>
          <c:yMode val="edge"/>
          <c:x val="0.22402915523826764"/>
          <c:y val="1.268964465668166E-2"/>
        </c:manualLayout>
      </c:layout>
      <c:overlay val="0"/>
      <c:spPr>
        <a:solidFill>
          <a:schemeClr val="bg1"/>
        </a:solidFill>
      </c:spPr>
    </c:title>
    <c:autoTitleDeleted val="0"/>
    <c:plotArea>
      <c:layout>
        <c:manualLayout>
          <c:layoutTarget val="inner"/>
          <c:xMode val="edge"/>
          <c:yMode val="edge"/>
          <c:x val="0.13897705213713227"/>
          <c:y val="8.0967958803185414E-2"/>
          <c:w val="0.7676811886700865"/>
          <c:h val="0.78068310195934376"/>
        </c:manualLayout>
      </c:layout>
      <c:scatterChart>
        <c:scatterStyle val="smoothMarker"/>
        <c:varyColors val="0"/>
        <c:ser>
          <c:idx val="0"/>
          <c:order val="0"/>
          <c:tx>
            <c:v>FET power dissipation</c:v>
          </c:tx>
          <c:marker>
            <c:symbol val="none"/>
          </c:marker>
          <c:xVal>
            <c:numRef>
              <c:f>Start_up!$B$8:$B$112</c:f>
              <c:numCache>
                <c:formatCode>0.00</c:formatCode>
                <c:ptCount val="105"/>
                <c:pt idx="0">
                  <c:v>0</c:v>
                </c:pt>
                <c:pt idx="1">
                  <c:v>0.1201923076923077</c:v>
                </c:pt>
                <c:pt idx="2">
                  <c:v>0.24038461538461539</c:v>
                </c:pt>
                <c:pt idx="3">
                  <c:v>0.36057692307692307</c:v>
                </c:pt>
                <c:pt idx="4">
                  <c:v>0.48076923076923078</c:v>
                </c:pt>
                <c:pt idx="5">
                  <c:v>0.60096153846153855</c:v>
                </c:pt>
                <c:pt idx="6">
                  <c:v>0.72115384615384615</c:v>
                </c:pt>
                <c:pt idx="7">
                  <c:v>0.84134615384615385</c:v>
                </c:pt>
                <c:pt idx="8">
                  <c:v>0.96153846153846156</c:v>
                </c:pt>
                <c:pt idx="9">
                  <c:v>1.0817307692307692</c:v>
                </c:pt>
                <c:pt idx="10">
                  <c:v>1.2019230769230771</c:v>
                </c:pt>
                <c:pt idx="11">
                  <c:v>1.3221153846153846</c:v>
                </c:pt>
                <c:pt idx="12">
                  <c:v>1.4423076923076923</c:v>
                </c:pt>
                <c:pt idx="13">
                  <c:v>1.5625</c:v>
                </c:pt>
                <c:pt idx="14">
                  <c:v>1.6826923076923077</c:v>
                </c:pt>
                <c:pt idx="15">
                  <c:v>1.8028846153846152</c:v>
                </c:pt>
                <c:pt idx="16">
                  <c:v>1.9230769230769231</c:v>
                </c:pt>
                <c:pt idx="17">
                  <c:v>2.0432692307692308</c:v>
                </c:pt>
                <c:pt idx="18">
                  <c:v>2.1634615384615383</c:v>
                </c:pt>
                <c:pt idx="19">
                  <c:v>2.2836538461538458</c:v>
                </c:pt>
                <c:pt idx="20">
                  <c:v>2.4038461538461542</c:v>
                </c:pt>
                <c:pt idx="21">
                  <c:v>2.5240384615384617</c:v>
                </c:pt>
                <c:pt idx="22">
                  <c:v>2.6442307692307692</c:v>
                </c:pt>
                <c:pt idx="23">
                  <c:v>2.7644230769230766</c:v>
                </c:pt>
                <c:pt idx="24">
                  <c:v>2.8846153846153846</c:v>
                </c:pt>
                <c:pt idx="25">
                  <c:v>3.0048076923076925</c:v>
                </c:pt>
                <c:pt idx="26">
                  <c:v>3.125</c:v>
                </c:pt>
                <c:pt idx="27">
                  <c:v>3.2451923076923079</c:v>
                </c:pt>
                <c:pt idx="28">
                  <c:v>3.3653846153846154</c:v>
                </c:pt>
                <c:pt idx="29">
                  <c:v>3.4855769230769234</c:v>
                </c:pt>
                <c:pt idx="30">
                  <c:v>3.6057692307692304</c:v>
                </c:pt>
                <c:pt idx="31">
                  <c:v>3.7259615384615383</c:v>
                </c:pt>
                <c:pt idx="32">
                  <c:v>3.8461538461538463</c:v>
                </c:pt>
                <c:pt idx="33">
                  <c:v>3.9663461538461537</c:v>
                </c:pt>
                <c:pt idx="34">
                  <c:v>4.0865384615384617</c:v>
                </c:pt>
                <c:pt idx="35">
                  <c:v>4.2067307692307692</c:v>
                </c:pt>
                <c:pt idx="36">
                  <c:v>4.3269230769230766</c:v>
                </c:pt>
                <c:pt idx="37">
                  <c:v>4.447115384615385</c:v>
                </c:pt>
                <c:pt idx="38">
                  <c:v>4.5673076923076916</c:v>
                </c:pt>
                <c:pt idx="39">
                  <c:v>4.6875</c:v>
                </c:pt>
                <c:pt idx="40">
                  <c:v>4.8076923076923084</c:v>
                </c:pt>
                <c:pt idx="41">
                  <c:v>4.927884615384615</c:v>
                </c:pt>
                <c:pt idx="42">
                  <c:v>5.0480769230769234</c:v>
                </c:pt>
                <c:pt idx="43">
                  <c:v>5.1682692307692308</c:v>
                </c:pt>
                <c:pt idx="44">
                  <c:v>5.2884615384615383</c:v>
                </c:pt>
                <c:pt idx="45">
                  <c:v>5.4086538461538467</c:v>
                </c:pt>
                <c:pt idx="46">
                  <c:v>5.5288461538461533</c:v>
                </c:pt>
                <c:pt idx="47">
                  <c:v>5.6490384615384617</c:v>
                </c:pt>
                <c:pt idx="48">
                  <c:v>5.7692307692307692</c:v>
                </c:pt>
                <c:pt idx="49">
                  <c:v>5.8894230769230766</c:v>
                </c:pt>
                <c:pt idx="50">
                  <c:v>6.009615384615385</c:v>
                </c:pt>
                <c:pt idx="51">
                  <c:v>6.1298076923076916</c:v>
                </c:pt>
                <c:pt idx="52">
                  <c:v>6.25</c:v>
                </c:pt>
                <c:pt idx="53">
                  <c:v>6.3701923076923075</c:v>
                </c:pt>
                <c:pt idx="54">
                  <c:v>6.4903846153846159</c:v>
                </c:pt>
                <c:pt idx="55">
                  <c:v>6.6105769230769234</c:v>
                </c:pt>
                <c:pt idx="56">
                  <c:v>6.7307692307692308</c:v>
                </c:pt>
                <c:pt idx="57">
                  <c:v>6.8509615384615392</c:v>
                </c:pt>
                <c:pt idx="58">
                  <c:v>6.9711538461538467</c:v>
                </c:pt>
                <c:pt idx="59">
                  <c:v>7.0913461538461533</c:v>
                </c:pt>
                <c:pt idx="60">
                  <c:v>7.2115384615384608</c:v>
                </c:pt>
                <c:pt idx="61">
                  <c:v>7.3317307692307692</c:v>
                </c:pt>
                <c:pt idx="62">
                  <c:v>7.4519230769230766</c:v>
                </c:pt>
                <c:pt idx="63">
                  <c:v>7.5721153846153841</c:v>
                </c:pt>
                <c:pt idx="64">
                  <c:v>7.6923076923076925</c:v>
                </c:pt>
                <c:pt idx="65">
                  <c:v>7.8125</c:v>
                </c:pt>
                <c:pt idx="66">
                  <c:v>7.9326923076923075</c:v>
                </c:pt>
                <c:pt idx="67">
                  <c:v>8.0528846153846168</c:v>
                </c:pt>
                <c:pt idx="68">
                  <c:v>8.1730769230769234</c:v>
                </c:pt>
                <c:pt idx="69">
                  <c:v>8.2932692307692299</c:v>
                </c:pt>
                <c:pt idx="70">
                  <c:v>8.4134615384615383</c:v>
                </c:pt>
                <c:pt idx="71">
                  <c:v>8.5336538461538467</c:v>
                </c:pt>
                <c:pt idx="72">
                  <c:v>8.6538461538461533</c:v>
                </c:pt>
                <c:pt idx="73">
                  <c:v>8.7740384615384617</c:v>
                </c:pt>
                <c:pt idx="74">
                  <c:v>8.8942307692307701</c:v>
                </c:pt>
                <c:pt idx="75">
                  <c:v>9.0144230769230766</c:v>
                </c:pt>
                <c:pt idx="76">
                  <c:v>9.1346153846153832</c:v>
                </c:pt>
                <c:pt idx="77">
                  <c:v>9.2548076923076934</c:v>
                </c:pt>
                <c:pt idx="78">
                  <c:v>9.375</c:v>
                </c:pt>
                <c:pt idx="79">
                  <c:v>9.4951923076923066</c:v>
                </c:pt>
                <c:pt idx="80">
                  <c:v>9.6153846153846168</c:v>
                </c:pt>
                <c:pt idx="81">
                  <c:v>9.7355769230769234</c:v>
                </c:pt>
                <c:pt idx="82">
                  <c:v>9.8557692307692299</c:v>
                </c:pt>
                <c:pt idx="83">
                  <c:v>9.9759615384615383</c:v>
                </c:pt>
                <c:pt idx="84">
                  <c:v>10.096153846153847</c:v>
                </c:pt>
                <c:pt idx="85">
                  <c:v>10.216346153846153</c:v>
                </c:pt>
                <c:pt idx="86">
                  <c:v>10.336538461538462</c:v>
                </c:pt>
                <c:pt idx="87">
                  <c:v>10.45673076923077</c:v>
                </c:pt>
                <c:pt idx="88">
                  <c:v>10.576923076923077</c:v>
                </c:pt>
                <c:pt idx="89">
                  <c:v>10.697115384615383</c:v>
                </c:pt>
                <c:pt idx="90">
                  <c:v>10.817307692307693</c:v>
                </c:pt>
                <c:pt idx="91">
                  <c:v>10.9375</c:v>
                </c:pt>
                <c:pt idx="92">
                  <c:v>11.057692307692307</c:v>
                </c:pt>
                <c:pt idx="93">
                  <c:v>11.177884615384617</c:v>
                </c:pt>
                <c:pt idx="94">
                  <c:v>11.298076923076923</c:v>
                </c:pt>
                <c:pt idx="95">
                  <c:v>11.41826923076923</c:v>
                </c:pt>
                <c:pt idx="96">
                  <c:v>11.538461538461538</c:v>
                </c:pt>
                <c:pt idx="97">
                  <c:v>11.658653846153847</c:v>
                </c:pt>
                <c:pt idx="98">
                  <c:v>11.778846153846153</c:v>
                </c:pt>
                <c:pt idx="99">
                  <c:v>11.899038461538462</c:v>
                </c:pt>
                <c:pt idx="100">
                  <c:v>12.01923076923077</c:v>
                </c:pt>
                <c:pt idx="101">
                  <c:v>12.139423076923077</c:v>
                </c:pt>
                <c:pt idx="102">
                  <c:v>12.259615384615383</c:v>
                </c:pt>
                <c:pt idx="103">
                  <c:v>12.379807692307693</c:v>
                </c:pt>
                <c:pt idx="104">
                  <c:v>12.5</c:v>
                </c:pt>
              </c:numCache>
            </c:numRef>
          </c:xVal>
          <c:yVal>
            <c:numRef>
              <c:f>Start_up!$N$8:$N$112</c:f>
              <c:numCache>
                <c:formatCode>General</c:formatCode>
                <c:ptCount val="105"/>
                <c:pt idx="0">
                  <c:v>14.820628699408095</c:v>
                </c:pt>
                <c:pt idx="1">
                  <c:v>14.820628699408095</c:v>
                </c:pt>
                <c:pt idx="2">
                  <c:v>14.820628699408095</c:v>
                </c:pt>
                <c:pt idx="3">
                  <c:v>14.820628699408095</c:v>
                </c:pt>
                <c:pt idx="4">
                  <c:v>14.820628699408095</c:v>
                </c:pt>
                <c:pt idx="5">
                  <c:v>14.820628699408095</c:v>
                </c:pt>
                <c:pt idx="6">
                  <c:v>14.820628699408095</c:v>
                </c:pt>
                <c:pt idx="7">
                  <c:v>14.820628699408095</c:v>
                </c:pt>
                <c:pt idx="8">
                  <c:v>14.820628699408095</c:v>
                </c:pt>
                <c:pt idx="9">
                  <c:v>14.820628699408093</c:v>
                </c:pt>
                <c:pt idx="10">
                  <c:v>14.820628699408095</c:v>
                </c:pt>
                <c:pt idx="11">
                  <c:v>14.820628699408095</c:v>
                </c:pt>
                <c:pt idx="12">
                  <c:v>14.820628699408095</c:v>
                </c:pt>
                <c:pt idx="13">
                  <c:v>14.820628699408095</c:v>
                </c:pt>
                <c:pt idx="14">
                  <c:v>14.820628699408097</c:v>
                </c:pt>
                <c:pt idx="15">
                  <c:v>14.820628699408093</c:v>
                </c:pt>
                <c:pt idx="16">
                  <c:v>14.820628699408095</c:v>
                </c:pt>
                <c:pt idx="17">
                  <c:v>14.820628699408095</c:v>
                </c:pt>
                <c:pt idx="18">
                  <c:v>14.820628699408095</c:v>
                </c:pt>
                <c:pt idx="19">
                  <c:v>14.820628699408095</c:v>
                </c:pt>
                <c:pt idx="20">
                  <c:v>14.820628699408095</c:v>
                </c:pt>
                <c:pt idx="21">
                  <c:v>14.820628699408095</c:v>
                </c:pt>
                <c:pt idx="22">
                  <c:v>14.820628699408095</c:v>
                </c:pt>
                <c:pt idx="23">
                  <c:v>14.820628699408095</c:v>
                </c:pt>
                <c:pt idx="24">
                  <c:v>14.820628699408095</c:v>
                </c:pt>
                <c:pt idx="25">
                  <c:v>14.820628699408095</c:v>
                </c:pt>
                <c:pt idx="26">
                  <c:v>14.820628699408093</c:v>
                </c:pt>
                <c:pt idx="27">
                  <c:v>14.820628699408095</c:v>
                </c:pt>
                <c:pt idx="28">
                  <c:v>14.820628699408095</c:v>
                </c:pt>
                <c:pt idx="29">
                  <c:v>14.820628699408095</c:v>
                </c:pt>
                <c:pt idx="30">
                  <c:v>14.820628699408095</c:v>
                </c:pt>
                <c:pt idx="31">
                  <c:v>14.820628699408097</c:v>
                </c:pt>
                <c:pt idx="32">
                  <c:v>14.820628699408095</c:v>
                </c:pt>
                <c:pt idx="33">
                  <c:v>14.820628699408095</c:v>
                </c:pt>
                <c:pt idx="34">
                  <c:v>14.820628699408095</c:v>
                </c:pt>
                <c:pt idx="35">
                  <c:v>14.820628699408095</c:v>
                </c:pt>
                <c:pt idx="36">
                  <c:v>14.820628699408095</c:v>
                </c:pt>
                <c:pt idx="37">
                  <c:v>14.820628699408095</c:v>
                </c:pt>
                <c:pt idx="38">
                  <c:v>14.820628699408095</c:v>
                </c:pt>
                <c:pt idx="39">
                  <c:v>14.820628699408095</c:v>
                </c:pt>
                <c:pt idx="40">
                  <c:v>14.820628699408095</c:v>
                </c:pt>
                <c:pt idx="41">
                  <c:v>14.820628699408095</c:v>
                </c:pt>
                <c:pt idx="42">
                  <c:v>14.820628699408095</c:v>
                </c:pt>
                <c:pt idx="43">
                  <c:v>14.820628699408095</c:v>
                </c:pt>
                <c:pt idx="44">
                  <c:v>14.820628699408095</c:v>
                </c:pt>
                <c:pt idx="45">
                  <c:v>14.820628699408097</c:v>
                </c:pt>
                <c:pt idx="46">
                  <c:v>14.820628699408093</c:v>
                </c:pt>
                <c:pt idx="47">
                  <c:v>14.820628699408093</c:v>
                </c:pt>
                <c:pt idx="48">
                  <c:v>14.820628699408093</c:v>
                </c:pt>
                <c:pt idx="49">
                  <c:v>14.820628699408095</c:v>
                </c:pt>
                <c:pt idx="50">
                  <c:v>14.820628699408093</c:v>
                </c:pt>
                <c:pt idx="51">
                  <c:v>14.820628699408095</c:v>
                </c:pt>
                <c:pt idx="52">
                  <c:v>14.820628699408095</c:v>
                </c:pt>
                <c:pt idx="53">
                  <c:v>14.820628699408095</c:v>
                </c:pt>
                <c:pt idx="54">
                  <c:v>14.820628699408095</c:v>
                </c:pt>
                <c:pt idx="55">
                  <c:v>14.820628699408095</c:v>
                </c:pt>
                <c:pt idx="56">
                  <c:v>14.820628699408095</c:v>
                </c:pt>
                <c:pt idx="57">
                  <c:v>14.820628699408095</c:v>
                </c:pt>
                <c:pt idx="58">
                  <c:v>14.820628699408095</c:v>
                </c:pt>
                <c:pt idx="59">
                  <c:v>14.820628699408097</c:v>
                </c:pt>
                <c:pt idx="60">
                  <c:v>14.820628699408095</c:v>
                </c:pt>
                <c:pt idx="61">
                  <c:v>14.820628699408095</c:v>
                </c:pt>
                <c:pt idx="62">
                  <c:v>14.820628699408095</c:v>
                </c:pt>
                <c:pt idx="63">
                  <c:v>14.820628699408095</c:v>
                </c:pt>
                <c:pt idx="64">
                  <c:v>14.820628699408095</c:v>
                </c:pt>
                <c:pt idx="65">
                  <c:v>14.820628699408093</c:v>
                </c:pt>
                <c:pt idx="66">
                  <c:v>14.820628699408095</c:v>
                </c:pt>
                <c:pt idx="67">
                  <c:v>14.820628699408095</c:v>
                </c:pt>
                <c:pt idx="68">
                  <c:v>14.820628699408095</c:v>
                </c:pt>
                <c:pt idx="69">
                  <c:v>14.820628699408095</c:v>
                </c:pt>
                <c:pt idx="70">
                  <c:v>14.820628699408095</c:v>
                </c:pt>
                <c:pt idx="71">
                  <c:v>14.820628699408095</c:v>
                </c:pt>
                <c:pt idx="72">
                  <c:v>14.820628699408095</c:v>
                </c:pt>
                <c:pt idx="73">
                  <c:v>14.820628699408095</c:v>
                </c:pt>
                <c:pt idx="74">
                  <c:v>14.820628699408095</c:v>
                </c:pt>
                <c:pt idx="75">
                  <c:v>14.820628699408093</c:v>
                </c:pt>
                <c:pt idx="76">
                  <c:v>14.820628699408093</c:v>
                </c:pt>
                <c:pt idx="77">
                  <c:v>14.820628699408095</c:v>
                </c:pt>
                <c:pt idx="78">
                  <c:v>14.820628699408095</c:v>
                </c:pt>
                <c:pt idx="79">
                  <c:v>14.820628699408097</c:v>
                </c:pt>
                <c:pt idx="80">
                  <c:v>14.820628699408095</c:v>
                </c:pt>
                <c:pt idx="81">
                  <c:v>14.820628699408095</c:v>
                </c:pt>
                <c:pt idx="82">
                  <c:v>14.73512507229613</c:v>
                </c:pt>
                <c:pt idx="83">
                  <c:v>14.06534665991903</c:v>
                </c:pt>
                <c:pt idx="84">
                  <c:v>13.395568247541929</c:v>
                </c:pt>
                <c:pt idx="85">
                  <c:v>12.725789835164839</c:v>
                </c:pt>
                <c:pt idx="86">
                  <c:v>12.056011422787739</c:v>
                </c:pt>
                <c:pt idx="87">
                  <c:v>11.386233010410638</c:v>
                </c:pt>
                <c:pt idx="88">
                  <c:v>10.716454598033547</c:v>
                </c:pt>
                <c:pt idx="89">
                  <c:v>10.046676185656457</c:v>
                </c:pt>
                <c:pt idx="90">
                  <c:v>9.3768977732793459</c:v>
                </c:pt>
                <c:pt idx="91">
                  <c:v>8.7071193609022561</c:v>
                </c:pt>
                <c:pt idx="92">
                  <c:v>8.0373409485251646</c:v>
                </c:pt>
                <c:pt idx="93">
                  <c:v>7.3675625361480552</c:v>
                </c:pt>
                <c:pt idx="94">
                  <c:v>6.6977841237709645</c:v>
                </c:pt>
                <c:pt idx="95">
                  <c:v>6.0280057113938739</c:v>
                </c:pt>
                <c:pt idx="96">
                  <c:v>5.3582272990167734</c:v>
                </c:pt>
                <c:pt idx="97">
                  <c:v>4.688448886639673</c:v>
                </c:pt>
                <c:pt idx="98">
                  <c:v>4.0186704742625823</c:v>
                </c:pt>
                <c:pt idx="99">
                  <c:v>3.3488920618854823</c:v>
                </c:pt>
                <c:pt idx="100">
                  <c:v>2.6791136495083818</c:v>
                </c:pt>
                <c:pt idx="101">
                  <c:v>2.0093352371312911</c:v>
                </c:pt>
                <c:pt idx="102">
                  <c:v>1.3395568247542009</c:v>
                </c:pt>
                <c:pt idx="103">
                  <c:v>0.66977841237709057</c:v>
                </c:pt>
                <c:pt idx="104">
                  <c:v>0</c:v>
                </c:pt>
              </c:numCache>
            </c:numRef>
          </c:yVal>
          <c:smooth val="1"/>
          <c:extLst>
            <c:ext xmlns:c16="http://schemas.microsoft.com/office/drawing/2014/chart" uri="{C3380CC4-5D6E-409C-BE32-E72D297353CC}">
              <c16:uniqueId val="{00000000-6D70-40C9-BF8B-D8275A2B14CE}"/>
            </c:ext>
          </c:extLst>
        </c:ser>
        <c:dLbls>
          <c:showLegendKey val="0"/>
          <c:showVal val="0"/>
          <c:showCatName val="0"/>
          <c:showSerName val="0"/>
          <c:showPercent val="0"/>
          <c:showBubbleSize val="0"/>
        </c:dLbls>
        <c:axId val="51649536"/>
        <c:axId val="51688960"/>
      </c:scatterChart>
      <c:valAx>
        <c:axId val="51649536"/>
        <c:scaling>
          <c:orientation val="minMax"/>
        </c:scaling>
        <c:delete val="0"/>
        <c:axPos val="b"/>
        <c:minorGridlines/>
        <c:title>
          <c:tx>
            <c:rich>
              <a:bodyPr/>
              <a:lstStyle/>
              <a:p>
                <a:pPr>
                  <a:defRPr/>
                </a:pPr>
                <a:r>
                  <a:rPr lang="en-US"/>
                  <a:t>Output Voltage (V)</a:t>
                </a:r>
              </a:p>
            </c:rich>
          </c:tx>
          <c:layout>
            <c:manualLayout>
              <c:xMode val="edge"/>
              <c:yMode val="edge"/>
              <c:x val="0.4360956539864414"/>
              <c:y val="0.93205956349673902"/>
            </c:manualLayout>
          </c:layout>
          <c:overlay val="0"/>
        </c:title>
        <c:numFmt formatCode="0.00" sourceLinked="1"/>
        <c:majorTickMark val="out"/>
        <c:minorTickMark val="none"/>
        <c:tickLblPos val="nextTo"/>
        <c:crossAx val="51688960"/>
        <c:crosses val="autoZero"/>
        <c:crossBetween val="midCat"/>
      </c:valAx>
      <c:valAx>
        <c:axId val="51688960"/>
        <c:scaling>
          <c:orientation val="minMax"/>
        </c:scaling>
        <c:delete val="0"/>
        <c:axPos val="l"/>
        <c:majorGridlines/>
        <c:minorGridlines/>
        <c:title>
          <c:tx>
            <c:rich>
              <a:bodyPr rot="-5400000" vert="horz"/>
              <a:lstStyle/>
              <a:p>
                <a:pPr>
                  <a:defRPr/>
                </a:pPr>
                <a:r>
                  <a:rPr lang="en-US"/>
                  <a:t>FET Power (W)</a:t>
                </a:r>
              </a:p>
            </c:rich>
          </c:tx>
          <c:overlay val="0"/>
        </c:title>
        <c:numFmt formatCode="General" sourceLinked="1"/>
        <c:majorTickMark val="out"/>
        <c:minorTickMark val="none"/>
        <c:tickLblPos val="nextTo"/>
        <c:crossAx val="51649536"/>
        <c:crosses val="autoZero"/>
        <c:crossBetween val="midCat"/>
      </c:valAx>
    </c:plotArea>
    <c:legend>
      <c:legendPos val="r"/>
      <c:layout>
        <c:manualLayout>
          <c:xMode val="edge"/>
          <c:yMode val="edge"/>
          <c:x val="0.51794166415983278"/>
          <c:y val="0.2652406143368643"/>
          <c:w val="0.39515213037394709"/>
          <c:h val="8.3717191601049873E-2"/>
        </c:manualLayout>
      </c:layout>
      <c:overlay val="0"/>
      <c:spPr>
        <a:solidFill>
          <a:schemeClr val="bg1"/>
        </a:solidFill>
        <a:ln>
          <a:solidFill>
            <a:schemeClr val="tx1"/>
          </a:solidFill>
        </a:ln>
      </c:sp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Load and FET</a:t>
            </a:r>
            <a:r>
              <a:rPr lang="en-US" baseline="0"/>
              <a:t> current vs Vout</a:t>
            </a:r>
            <a:endParaRPr lang="en-US"/>
          </a:p>
        </c:rich>
      </c:tx>
      <c:overlay val="1"/>
    </c:title>
    <c:autoTitleDeleted val="0"/>
    <c:plotArea>
      <c:layout>
        <c:manualLayout>
          <c:layoutTarget val="inner"/>
          <c:xMode val="edge"/>
          <c:yMode val="edge"/>
          <c:x val="0.20280211116986058"/>
          <c:y val="0.14177960397727438"/>
          <c:w val="0.69967132057676096"/>
          <c:h val="0.7119118368882501"/>
        </c:manualLayout>
      </c:layout>
      <c:scatterChart>
        <c:scatterStyle val="smoothMarker"/>
        <c:varyColors val="0"/>
        <c:ser>
          <c:idx val="0"/>
          <c:order val="0"/>
          <c:tx>
            <c:strRef>
              <c:f>Start_up!$C$7</c:f>
              <c:strCache>
                <c:ptCount val="1"/>
                <c:pt idx="0">
                  <c:v>ILOAD</c:v>
                </c:pt>
              </c:strCache>
            </c:strRef>
          </c:tx>
          <c:marker>
            <c:symbol val="none"/>
          </c:marker>
          <c:xVal>
            <c:numRef>
              <c:f>Start_up!$B$8:$B$109</c:f>
              <c:numCache>
                <c:formatCode>0.00</c:formatCode>
                <c:ptCount val="102"/>
                <c:pt idx="0">
                  <c:v>0</c:v>
                </c:pt>
                <c:pt idx="1">
                  <c:v>0.1201923076923077</c:v>
                </c:pt>
                <c:pt idx="2">
                  <c:v>0.24038461538461539</c:v>
                </c:pt>
                <c:pt idx="3">
                  <c:v>0.36057692307692307</c:v>
                </c:pt>
                <c:pt idx="4">
                  <c:v>0.48076923076923078</c:v>
                </c:pt>
                <c:pt idx="5">
                  <c:v>0.60096153846153855</c:v>
                </c:pt>
                <c:pt idx="6">
                  <c:v>0.72115384615384615</c:v>
                </c:pt>
                <c:pt idx="7">
                  <c:v>0.84134615384615385</c:v>
                </c:pt>
                <c:pt idx="8">
                  <c:v>0.96153846153846156</c:v>
                </c:pt>
                <c:pt idx="9">
                  <c:v>1.0817307692307692</c:v>
                </c:pt>
                <c:pt idx="10">
                  <c:v>1.2019230769230771</c:v>
                </c:pt>
                <c:pt idx="11">
                  <c:v>1.3221153846153846</c:v>
                </c:pt>
                <c:pt idx="12">
                  <c:v>1.4423076923076923</c:v>
                </c:pt>
                <c:pt idx="13">
                  <c:v>1.5625</c:v>
                </c:pt>
                <c:pt idx="14">
                  <c:v>1.6826923076923077</c:v>
                </c:pt>
                <c:pt idx="15">
                  <c:v>1.8028846153846152</c:v>
                </c:pt>
                <c:pt idx="16">
                  <c:v>1.9230769230769231</c:v>
                </c:pt>
                <c:pt idx="17">
                  <c:v>2.0432692307692308</c:v>
                </c:pt>
                <c:pt idx="18">
                  <c:v>2.1634615384615383</c:v>
                </c:pt>
                <c:pt idx="19">
                  <c:v>2.2836538461538458</c:v>
                </c:pt>
                <c:pt idx="20">
                  <c:v>2.4038461538461542</c:v>
                </c:pt>
                <c:pt idx="21">
                  <c:v>2.5240384615384617</c:v>
                </c:pt>
                <c:pt idx="22">
                  <c:v>2.6442307692307692</c:v>
                </c:pt>
                <c:pt idx="23">
                  <c:v>2.7644230769230766</c:v>
                </c:pt>
                <c:pt idx="24">
                  <c:v>2.8846153846153846</c:v>
                </c:pt>
                <c:pt idx="25">
                  <c:v>3.0048076923076925</c:v>
                </c:pt>
                <c:pt idx="26">
                  <c:v>3.125</c:v>
                </c:pt>
                <c:pt idx="27">
                  <c:v>3.2451923076923079</c:v>
                </c:pt>
                <c:pt idx="28">
                  <c:v>3.3653846153846154</c:v>
                </c:pt>
                <c:pt idx="29">
                  <c:v>3.4855769230769234</c:v>
                </c:pt>
                <c:pt idx="30">
                  <c:v>3.6057692307692304</c:v>
                </c:pt>
                <c:pt idx="31">
                  <c:v>3.7259615384615383</c:v>
                </c:pt>
                <c:pt idx="32">
                  <c:v>3.8461538461538463</c:v>
                </c:pt>
                <c:pt idx="33">
                  <c:v>3.9663461538461537</c:v>
                </c:pt>
                <c:pt idx="34">
                  <c:v>4.0865384615384617</c:v>
                </c:pt>
                <c:pt idx="35">
                  <c:v>4.2067307692307692</c:v>
                </c:pt>
                <c:pt idx="36">
                  <c:v>4.3269230769230766</c:v>
                </c:pt>
                <c:pt idx="37">
                  <c:v>4.447115384615385</c:v>
                </c:pt>
                <c:pt idx="38">
                  <c:v>4.5673076923076916</c:v>
                </c:pt>
                <c:pt idx="39">
                  <c:v>4.6875</c:v>
                </c:pt>
                <c:pt idx="40">
                  <c:v>4.8076923076923084</c:v>
                </c:pt>
                <c:pt idx="41">
                  <c:v>4.927884615384615</c:v>
                </c:pt>
                <c:pt idx="42">
                  <c:v>5.0480769230769234</c:v>
                </c:pt>
                <c:pt idx="43">
                  <c:v>5.1682692307692308</c:v>
                </c:pt>
                <c:pt idx="44">
                  <c:v>5.2884615384615383</c:v>
                </c:pt>
                <c:pt idx="45">
                  <c:v>5.4086538461538467</c:v>
                </c:pt>
                <c:pt idx="46">
                  <c:v>5.5288461538461533</c:v>
                </c:pt>
                <c:pt idx="47">
                  <c:v>5.6490384615384617</c:v>
                </c:pt>
                <c:pt idx="48">
                  <c:v>5.7692307692307692</c:v>
                </c:pt>
                <c:pt idx="49">
                  <c:v>5.8894230769230766</c:v>
                </c:pt>
                <c:pt idx="50">
                  <c:v>6.009615384615385</c:v>
                </c:pt>
                <c:pt idx="51">
                  <c:v>6.1298076923076916</c:v>
                </c:pt>
                <c:pt idx="52">
                  <c:v>6.25</c:v>
                </c:pt>
                <c:pt idx="53">
                  <c:v>6.3701923076923075</c:v>
                </c:pt>
                <c:pt idx="54">
                  <c:v>6.4903846153846159</c:v>
                </c:pt>
                <c:pt idx="55">
                  <c:v>6.6105769230769234</c:v>
                </c:pt>
                <c:pt idx="56">
                  <c:v>6.7307692307692308</c:v>
                </c:pt>
                <c:pt idx="57">
                  <c:v>6.8509615384615392</c:v>
                </c:pt>
                <c:pt idx="58">
                  <c:v>6.9711538461538467</c:v>
                </c:pt>
                <c:pt idx="59">
                  <c:v>7.0913461538461533</c:v>
                </c:pt>
                <c:pt idx="60">
                  <c:v>7.2115384615384608</c:v>
                </c:pt>
                <c:pt idx="61">
                  <c:v>7.3317307692307692</c:v>
                </c:pt>
                <c:pt idx="62">
                  <c:v>7.4519230769230766</c:v>
                </c:pt>
                <c:pt idx="63">
                  <c:v>7.5721153846153841</c:v>
                </c:pt>
                <c:pt idx="64">
                  <c:v>7.6923076923076925</c:v>
                </c:pt>
                <c:pt idx="65">
                  <c:v>7.8125</c:v>
                </c:pt>
                <c:pt idx="66">
                  <c:v>7.9326923076923075</c:v>
                </c:pt>
                <c:pt idx="67">
                  <c:v>8.0528846153846168</c:v>
                </c:pt>
                <c:pt idx="68">
                  <c:v>8.1730769230769234</c:v>
                </c:pt>
                <c:pt idx="69">
                  <c:v>8.2932692307692299</c:v>
                </c:pt>
                <c:pt idx="70">
                  <c:v>8.4134615384615383</c:v>
                </c:pt>
                <c:pt idx="71">
                  <c:v>8.5336538461538467</c:v>
                </c:pt>
                <c:pt idx="72">
                  <c:v>8.6538461538461533</c:v>
                </c:pt>
                <c:pt idx="73">
                  <c:v>8.7740384615384617</c:v>
                </c:pt>
                <c:pt idx="74">
                  <c:v>8.8942307692307701</c:v>
                </c:pt>
                <c:pt idx="75">
                  <c:v>9.0144230769230766</c:v>
                </c:pt>
                <c:pt idx="76">
                  <c:v>9.1346153846153832</c:v>
                </c:pt>
                <c:pt idx="77">
                  <c:v>9.2548076923076934</c:v>
                </c:pt>
                <c:pt idx="78">
                  <c:v>9.375</c:v>
                </c:pt>
                <c:pt idx="79">
                  <c:v>9.4951923076923066</c:v>
                </c:pt>
                <c:pt idx="80">
                  <c:v>9.6153846153846168</c:v>
                </c:pt>
                <c:pt idx="81">
                  <c:v>9.7355769230769234</c:v>
                </c:pt>
                <c:pt idx="82">
                  <c:v>9.8557692307692299</c:v>
                </c:pt>
                <c:pt idx="83">
                  <c:v>9.9759615384615383</c:v>
                </c:pt>
                <c:pt idx="84">
                  <c:v>10.096153846153847</c:v>
                </c:pt>
                <c:pt idx="85">
                  <c:v>10.216346153846153</c:v>
                </c:pt>
                <c:pt idx="86">
                  <c:v>10.336538461538462</c:v>
                </c:pt>
                <c:pt idx="87">
                  <c:v>10.45673076923077</c:v>
                </c:pt>
                <c:pt idx="88">
                  <c:v>10.576923076923077</c:v>
                </c:pt>
                <c:pt idx="89">
                  <c:v>10.697115384615383</c:v>
                </c:pt>
                <c:pt idx="90">
                  <c:v>10.817307692307693</c:v>
                </c:pt>
                <c:pt idx="91">
                  <c:v>10.9375</c:v>
                </c:pt>
                <c:pt idx="92">
                  <c:v>11.057692307692307</c:v>
                </c:pt>
                <c:pt idx="93">
                  <c:v>11.177884615384617</c:v>
                </c:pt>
                <c:pt idx="94">
                  <c:v>11.298076923076923</c:v>
                </c:pt>
                <c:pt idx="95">
                  <c:v>11.41826923076923</c:v>
                </c:pt>
                <c:pt idx="96">
                  <c:v>11.538461538461538</c:v>
                </c:pt>
                <c:pt idx="97">
                  <c:v>11.658653846153847</c:v>
                </c:pt>
                <c:pt idx="98">
                  <c:v>11.778846153846153</c:v>
                </c:pt>
                <c:pt idx="99">
                  <c:v>11.899038461538462</c:v>
                </c:pt>
                <c:pt idx="100">
                  <c:v>12.01923076923077</c:v>
                </c:pt>
                <c:pt idx="101">
                  <c:v>12.139423076923077</c:v>
                </c:pt>
              </c:numCache>
            </c:numRef>
          </c:xVal>
          <c:yVal>
            <c:numRef>
              <c:f>Start_up!$C$8:$C$109</c:f>
              <c:numCache>
                <c:formatCode>0.000</c:formatCode>
                <c:ptCount val="102"/>
                <c:pt idx="0">
                  <c:v>0</c:v>
                </c:pt>
                <c:pt idx="1">
                  <c:v>3.0048076923076924E-2</c:v>
                </c:pt>
                <c:pt idx="2">
                  <c:v>6.0096153846153848E-2</c:v>
                </c:pt>
                <c:pt idx="3">
                  <c:v>9.0144230769230768E-2</c:v>
                </c:pt>
                <c:pt idx="4">
                  <c:v>0.1201923076923077</c:v>
                </c:pt>
                <c:pt idx="5">
                  <c:v>0.15024038461538464</c:v>
                </c:pt>
                <c:pt idx="6">
                  <c:v>0.18028846153846154</c:v>
                </c:pt>
                <c:pt idx="7">
                  <c:v>0.21033653846153846</c:v>
                </c:pt>
                <c:pt idx="8">
                  <c:v>0.24038461538461539</c:v>
                </c:pt>
                <c:pt idx="9">
                  <c:v>0.27043269230769229</c:v>
                </c:pt>
                <c:pt idx="10">
                  <c:v>0.30048076923076927</c:v>
                </c:pt>
                <c:pt idx="11">
                  <c:v>0.33052884615384615</c:v>
                </c:pt>
                <c:pt idx="12">
                  <c:v>0.36057692307692307</c:v>
                </c:pt>
                <c:pt idx="13">
                  <c:v>0.390625</c:v>
                </c:pt>
                <c:pt idx="14">
                  <c:v>0.42067307692307693</c:v>
                </c:pt>
                <c:pt idx="15">
                  <c:v>0.4507211538461538</c:v>
                </c:pt>
                <c:pt idx="16">
                  <c:v>0.48076923076923078</c:v>
                </c:pt>
                <c:pt idx="17">
                  <c:v>0.51081730769230771</c:v>
                </c:pt>
                <c:pt idx="18">
                  <c:v>0.54086538461538458</c:v>
                </c:pt>
                <c:pt idx="19">
                  <c:v>0.57091346153846145</c:v>
                </c:pt>
                <c:pt idx="20">
                  <c:v>0.60096153846153855</c:v>
                </c:pt>
                <c:pt idx="21">
                  <c:v>0.63100961538461542</c:v>
                </c:pt>
                <c:pt idx="22">
                  <c:v>0.66105769230769229</c:v>
                </c:pt>
                <c:pt idx="23">
                  <c:v>0.69110576923076916</c:v>
                </c:pt>
                <c:pt idx="24">
                  <c:v>0.72115384615384615</c:v>
                </c:pt>
                <c:pt idx="25">
                  <c:v>0.75120192307692313</c:v>
                </c:pt>
                <c:pt idx="26">
                  <c:v>0.78125</c:v>
                </c:pt>
                <c:pt idx="27">
                  <c:v>0.81129807692307698</c:v>
                </c:pt>
                <c:pt idx="28">
                  <c:v>0.84134615384615385</c:v>
                </c:pt>
                <c:pt idx="29">
                  <c:v>0.87139423076923084</c:v>
                </c:pt>
                <c:pt idx="30">
                  <c:v>0.9014423076923076</c:v>
                </c:pt>
                <c:pt idx="31">
                  <c:v>0.93149038461538458</c:v>
                </c:pt>
                <c:pt idx="32">
                  <c:v>0.96153846153846156</c:v>
                </c:pt>
                <c:pt idx="33">
                  <c:v>0.99158653846153844</c:v>
                </c:pt>
                <c:pt idx="34">
                  <c:v>1.0216346153846154</c:v>
                </c:pt>
                <c:pt idx="35">
                  <c:v>1.0516826923076923</c:v>
                </c:pt>
                <c:pt idx="36">
                  <c:v>1.0817307692307692</c:v>
                </c:pt>
                <c:pt idx="37">
                  <c:v>1.1117788461538463</c:v>
                </c:pt>
                <c:pt idx="38">
                  <c:v>1.1418269230769229</c:v>
                </c:pt>
                <c:pt idx="39">
                  <c:v>1.171875</c:v>
                </c:pt>
                <c:pt idx="40">
                  <c:v>1.2019230769230771</c:v>
                </c:pt>
                <c:pt idx="41">
                  <c:v>1.2319711538461537</c:v>
                </c:pt>
                <c:pt idx="42">
                  <c:v>1.2620192307692308</c:v>
                </c:pt>
                <c:pt idx="43">
                  <c:v>1.2920673076923077</c:v>
                </c:pt>
                <c:pt idx="44">
                  <c:v>1.3221153846153846</c:v>
                </c:pt>
                <c:pt idx="45">
                  <c:v>1.3521634615384617</c:v>
                </c:pt>
                <c:pt idx="46">
                  <c:v>1.3822115384615383</c:v>
                </c:pt>
                <c:pt idx="47">
                  <c:v>1.4122596153846154</c:v>
                </c:pt>
                <c:pt idx="48">
                  <c:v>1.4423076923076923</c:v>
                </c:pt>
                <c:pt idx="49">
                  <c:v>1.4723557692307692</c:v>
                </c:pt>
                <c:pt idx="50">
                  <c:v>1.5024038461538463</c:v>
                </c:pt>
                <c:pt idx="51">
                  <c:v>1.5324519230769229</c:v>
                </c:pt>
                <c:pt idx="52">
                  <c:v>1.5625</c:v>
                </c:pt>
                <c:pt idx="53">
                  <c:v>1.5925480769230769</c:v>
                </c:pt>
                <c:pt idx="54">
                  <c:v>1.622596153846154</c:v>
                </c:pt>
                <c:pt idx="55">
                  <c:v>1.6526442307692308</c:v>
                </c:pt>
                <c:pt idx="56">
                  <c:v>1.6826923076923077</c:v>
                </c:pt>
                <c:pt idx="57">
                  <c:v>1.7127403846153848</c:v>
                </c:pt>
                <c:pt idx="58">
                  <c:v>1.7427884615384617</c:v>
                </c:pt>
                <c:pt idx="59">
                  <c:v>1.7728365384615383</c:v>
                </c:pt>
                <c:pt idx="60">
                  <c:v>1.8028846153846152</c:v>
                </c:pt>
                <c:pt idx="61">
                  <c:v>1.8329326923076923</c:v>
                </c:pt>
                <c:pt idx="62">
                  <c:v>1.8629807692307692</c:v>
                </c:pt>
                <c:pt idx="63">
                  <c:v>1.893028846153846</c:v>
                </c:pt>
                <c:pt idx="64">
                  <c:v>1.9230769230769231</c:v>
                </c:pt>
                <c:pt idx="65">
                  <c:v>1.953125</c:v>
                </c:pt>
                <c:pt idx="66">
                  <c:v>1.9831730769230769</c:v>
                </c:pt>
                <c:pt idx="67">
                  <c:v>2.0132211538461542</c:v>
                </c:pt>
                <c:pt idx="68">
                  <c:v>2.0432692307692308</c:v>
                </c:pt>
                <c:pt idx="69">
                  <c:v>2.0733173076923075</c:v>
                </c:pt>
                <c:pt idx="70">
                  <c:v>2.1033653846153846</c:v>
                </c:pt>
                <c:pt idx="71">
                  <c:v>2.1334134615384617</c:v>
                </c:pt>
                <c:pt idx="72">
                  <c:v>2.1634615384615383</c:v>
                </c:pt>
                <c:pt idx="73">
                  <c:v>2.1935096153846154</c:v>
                </c:pt>
                <c:pt idx="74">
                  <c:v>2.2235576923076925</c:v>
                </c:pt>
                <c:pt idx="75">
                  <c:v>2.2536057692307692</c:v>
                </c:pt>
                <c:pt idx="76">
                  <c:v>2.2836538461538458</c:v>
                </c:pt>
                <c:pt idx="77">
                  <c:v>2.3137019230769234</c:v>
                </c:pt>
                <c:pt idx="78">
                  <c:v>2.34375</c:v>
                </c:pt>
                <c:pt idx="79">
                  <c:v>2.3737980769230766</c:v>
                </c:pt>
                <c:pt idx="80">
                  <c:v>2.4038461538461542</c:v>
                </c:pt>
                <c:pt idx="81">
                  <c:v>2.4338942307692308</c:v>
                </c:pt>
                <c:pt idx="82">
                  <c:v>2.4639423076923075</c:v>
                </c:pt>
                <c:pt idx="83">
                  <c:v>2.4939903846153846</c:v>
                </c:pt>
                <c:pt idx="84">
                  <c:v>2.5240384615384617</c:v>
                </c:pt>
                <c:pt idx="85">
                  <c:v>2.5540865384615383</c:v>
                </c:pt>
                <c:pt idx="86">
                  <c:v>2.5841346153846154</c:v>
                </c:pt>
                <c:pt idx="87">
                  <c:v>2.6141826923076925</c:v>
                </c:pt>
                <c:pt idx="88">
                  <c:v>2.6442307692307692</c:v>
                </c:pt>
                <c:pt idx="89">
                  <c:v>2.6742788461538458</c:v>
                </c:pt>
                <c:pt idx="90">
                  <c:v>2.7043269230769234</c:v>
                </c:pt>
                <c:pt idx="91">
                  <c:v>2.734375</c:v>
                </c:pt>
                <c:pt idx="92">
                  <c:v>2.7644230769230766</c:v>
                </c:pt>
                <c:pt idx="93">
                  <c:v>2.7944711538461542</c:v>
                </c:pt>
                <c:pt idx="94">
                  <c:v>2.8245192307692308</c:v>
                </c:pt>
                <c:pt idx="95">
                  <c:v>2.8545673076923075</c:v>
                </c:pt>
                <c:pt idx="96">
                  <c:v>2.8846153846153846</c:v>
                </c:pt>
                <c:pt idx="97">
                  <c:v>2.9146634615384617</c:v>
                </c:pt>
                <c:pt idx="98">
                  <c:v>2.9447115384615383</c:v>
                </c:pt>
                <c:pt idx="99">
                  <c:v>2.9747596153846154</c:v>
                </c:pt>
                <c:pt idx="100">
                  <c:v>3.0048076923076925</c:v>
                </c:pt>
                <c:pt idx="101">
                  <c:v>3.0348557692307692</c:v>
                </c:pt>
              </c:numCache>
            </c:numRef>
          </c:yVal>
          <c:smooth val="1"/>
          <c:extLst>
            <c:ext xmlns:c16="http://schemas.microsoft.com/office/drawing/2014/chart" uri="{C3380CC4-5D6E-409C-BE32-E72D297353CC}">
              <c16:uniqueId val="{00000000-F275-4C5B-8562-4A074D9C059F}"/>
            </c:ext>
          </c:extLst>
        </c:ser>
        <c:ser>
          <c:idx val="1"/>
          <c:order val="1"/>
          <c:tx>
            <c:strRef>
              <c:f>Start_up!$G$7</c:f>
              <c:strCache>
                <c:ptCount val="1"/>
                <c:pt idx="0">
                  <c:v>IFET</c:v>
                </c:pt>
              </c:strCache>
            </c:strRef>
          </c:tx>
          <c:marker>
            <c:symbol val="none"/>
          </c:marker>
          <c:xVal>
            <c:numRef>
              <c:f>Start_up!$B$8:$B$109</c:f>
              <c:numCache>
                <c:formatCode>0.00</c:formatCode>
                <c:ptCount val="102"/>
                <c:pt idx="0">
                  <c:v>0</c:v>
                </c:pt>
                <c:pt idx="1">
                  <c:v>0.1201923076923077</c:v>
                </c:pt>
                <c:pt idx="2">
                  <c:v>0.24038461538461539</c:v>
                </c:pt>
                <c:pt idx="3">
                  <c:v>0.36057692307692307</c:v>
                </c:pt>
                <c:pt idx="4">
                  <c:v>0.48076923076923078</c:v>
                </c:pt>
                <c:pt idx="5">
                  <c:v>0.60096153846153855</c:v>
                </c:pt>
                <c:pt idx="6">
                  <c:v>0.72115384615384615</c:v>
                </c:pt>
                <c:pt idx="7">
                  <c:v>0.84134615384615385</c:v>
                </c:pt>
                <c:pt idx="8">
                  <c:v>0.96153846153846156</c:v>
                </c:pt>
                <c:pt idx="9">
                  <c:v>1.0817307692307692</c:v>
                </c:pt>
                <c:pt idx="10">
                  <c:v>1.2019230769230771</c:v>
                </c:pt>
                <c:pt idx="11">
                  <c:v>1.3221153846153846</c:v>
                </c:pt>
                <c:pt idx="12">
                  <c:v>1.4423076923076923</c:v>
                </c:pt>
                <c:pt idx="13">
                  <c:v>1.5625</c:v>
                </c:pt>
                <c:pt idx="14">
                  <c:v>1.6826923076923077</c:v>
                </c:pt>
                <c:pt idx="15">
                  <c:v>1.8028846153846152</c:v>
                </c:pt>
                <c:pt idx="16">
                  <c:v>1.9230769230769231</c:v>
                </c:pt>
                <c:pt idx="17">
                  <c:v>2.0432692307692308</c:v>
                </c:pt>
                <c:pt idx="18">
                  <c:v>2.1634615384615383</c:v>
                </c:pt>
                <c:pt idx="19">
                  <c:v>2.2836538461538458</c:v>
                </c:pt>
                <c:pt idx="20">
                  <c:v>2.4038461538461542</c:v>
                </c:pt>
                <c:pt idx="21">
                  <c:v>2.5240384615384617</c:v>
                </c:pt>
                <c:pt idx="22">
                  <c:v>2.6442307692307692</c:v>
                </c:pt>
                <c:pt idx="23">
                  <c:v>2.7644230769230766</c:v>
                </c:pt>
                <c:pt idx="24">
                  <c:v>2.8846153846153846</c:v>
                </c:pt>
                <c:pt idx="25">
                  <c:v>3.0048076923076925</c:v>
                </c:pt>
                <c:pt idx="26">
                  <c:v>3.125</c:v>
                </c:pt>
                <c:pt idx="27">
                  <c:v>3.2451923076923079</c:v>
                </c:pt>
                <c:pt idx="28">
                  <c:v>3.3653846153846154</c:v>
                </c:pt>
                <c:pt idx="29">
                  <c:v>3.4855769230769234</c:v>
                </c:pt>
                <c:pt idx="30">
                  <c:v>3.6057692307692304</c:v>
                </c:pt>
                <c:pt idx="31">
                  <c:v>3.7259615384615383</c:v>
                </c:pt>
                <c:pt idx="32">
                  <c:v>3.8461538461538463</c:v>
                </c:pt>
                <c:pt idx="33">
                  <c:v>3.9663461538461537</c:v>
                </c:pt>
                <c:pt idx="34">
                  <c:v>4.0865384615384617</c:v>
                </c:pt>
                <c:pt idx="35">
                  <c:v>4.2067307692307692</c:v>
                </c:pt>
                <c:pt idx="36">
                  <c:v>4.3269230769230766</c:v>
                </c:pt>
                <c:pt idx="37">
                  <c:v>4.447115384615385</c:v>
                </c:pt>
                <c:pt idx="38">
                  <c:v>4.5673076923076916</c:v>
                </c:pt>
                <c:pt idx="39">
                  <c:v>4.6875</c:v>
                </c:pt>
                <c:pt idx="40">
                  <c:v>4.8076923076923084</c:v>
                </c:pt>
                <c:pt idx="41">
                  <c:v>4.927884615384615</c:v>
                </c:pt>
                <c:pt idx="42">
                  <c:v>5.0480769230769234</c:v>
                </c:pt>
                <c:pt idx="43">
                  <c:v>5.1682692307692308</c:v>
                </c:pt>
                <c:pt idx="44">
                  <c:v>5.2884615384615383</c:v>
                </c:pt>
                <c:pt idx="45">
                  <c:v>5.4086538461538467</c:v>
                </c:pt>
                <c:pt idx="46">
                  <c:v>5.5288461538461533</c:v>
                </c:pt>
                <c:pt idx="47">
                  <c:v>5.6490384615384617</c:v>
                </c:pt>
                <c:pt idx="48">
                  <c:v>5.7692307692307692</c:v>
                </c:pt>
                <c:pt idx="49">
                  <c:v>5.8894230769230766</c:v>
                </c:pt>
                <c:pt idx="50">
                  <c:v>6.009615384615385</c:v>
                </c:pt>
                <c:pt idx="51">
                  <c:v>6.1298076923076916</c:v>
                </c:pt>
                <c:pt idx="52">
                  <c:v>6.25</c:v>
                </c:pt>
                <c:pt idx="53">
                  <c:v>6.3701923076923075</c:v>
                </c:pt>
                <c:pt idx="54">
                  <c:v>6.4903846153846159</c:v>
                </c:pt>
                <c:pt idx="55">
                  <c:v>6.6105769230769234</c:v>
                </c:pt>
                <c:pt idx="56">
                  <c:v>6.7307692307692308</c:v>
                </c:pt>
                <c:pt idx="57">
                  <c:v>6.8509615384615392</c:v>
                </c:pt>
                <c:pt idx="58">
                  <c:v>6.9711538461538467</c:v>
                </c:pt>
                <c:pt idx="59">
                  <c:v>7.0913461538461533</c:v>
                </c:pt>
                <c:pt idx="60">
                  <c:v>7.2115384615384608</c:v>
                </c:pt>
                <c:pt idx="61">
                  <c:v>7.3317307692307692</c:v>
                </c:pt>
                <c:pt idx="62">
                  <c:v>7.4519230769230766</c:v>
                </c:pt>
                <c:pt idx="63">
                  <c:v>7.5721153846153841</c:v>
                </c:pt>
                <c:pt idx="64">
                  <c:v>7.6923076923076925</c:v>
                </c:pt>
                <c:pt idx="65">
                  <c:v>7.8125</c:v>
                </c:pt>
                <c:pt idx="66">
                  <c:v>7.9326923076923075</c:v>
                </c:pt>
                <c:pt idx="67">
                  <c:v>8.0528846153846168</c:v>
                </c:pt>
                <c:pt idx="68">
                  <c:v>8.1730769230769234</c:v>
                </c:pt>
                <c:pt idx="69">
                  <c:v>8.2932692307692299</c:v>
                </c:pt>
                <c:pt idx="70">
                  <c:v>8.4134615384615383</c:v>
                </c:pt>
                <c:pt idx="71">
                  <c:v>8.5336538461538467</c:v>
                </c:pt>
                <c:pt idx="72">
                  <c:v>8.6538461538461533</c:v>
                </c:pt>
                <c:pt idx="73">
                  <c:v>8.7740384615384617</c:v>
                </c:pt>
                <c:pt idx="74">
                  <c:v>8.8942307692307701</c:v>
                </c:pt>
                <c:pt idx="75">
                  <c:v>9.0144230769230766</c:v>
                </c:pt>
                <c:pt idx="76">
                  <c:v>9.1346153846153832</c:v>
                </c:pt>
                <c:pt idx="77">
                  <c:v>9.2548076923076934</c:v>
                </c:pt>
                <c:pt idx="78">
                  <c:v>9.375</c:v>
                </c:pt>
                <c:pt idx="79">
                  <c:v>9.4951923076923066</c:v>
                </c:pt>
                <c:pt idx="80">
                  <c:v>9.6153846153846168</c:v>
                </c:pt>
                <c:pt idx="81">
                  <c:v>9.7355769230769234</c:v>
                </c:pt>
                <c:pt idx="82">
                  <c:v>9.8557692307692299</c:v>
                </c:pt>
                <c:pt idx="83">
                  <c:v>9.9759615384615383</c:v>
                </c:pt>
                <c:pt idx="84">
                  <c:v>10.096153846153847</c:v>
                </c:pt>
                <c:pt idx="85">
                  <c:v>10.216346153846153</c:v>
                </c:pt>
                <c:pt idx="86">
                  <c:v>10.336538461538462</c:v>
                </c:pt>
                <c:pt idx="87">
                  <c:v>10.45673076923077</c:v>
                </c:pt>
                <c:pt idx="88">
                  <c:v>10.576923076923077</c:v>
                </c:pt>
                <c:pt idx="89">
                  <c:v>10.697115384615383</c:v>
                </c:pt>
                <c:pt idx="90">
                  <c:v>10.817307692307693</c:v>
                </c:pt>
                <c:pt idx="91">
                  <c:v>10.9375</c:v>
                </c:pt>
                <c:pt idx="92">
                  <c:v>11.057692307692307</c:v>
                </c:pt>
                <c:pt idx="93">
                  <c:v>11.177884615384617</c:v>
                </c:pt>
                <c:pt idx="94">
                  <c:v>11.298076923076923</c:v>
                </c:pt>
                <c:pt idx="95">
                  <c:v>11.41826923076923</c:v>
                </c:pt>
                <c:pt idx="96">
                  <c:v>11.538461538461538</c:v>
                </c:pt>
                <c:pt idx="97">
                  <c:v>11.658653846153847</c:v>
                </c:pt>
                <c:pt idx="98">
                  <c:v>11.778846153846153</c:v>
                </c:pt>
                <c:pt idx="99">
                  <c:v>11.899038461538462</c:v>
                </c:pt>
                <c:pt idx="100">
                  <c:v>12.01923076923077</c:v>
                </c:pt>
                <c:pt idx="101">
                  <c:v>12.139423076923077</c:v>
                </c:pt>
              </c:numCache>
            </c:numRef>
          </c:xVal>
          <c:yVal>
            <c:numRef>
              <c:f>Start_up!$G$8:$G$110</c:f>
              <c:numCache>
                <c:formatCode>General</c:formatCode>
                <c:ptCount val="103"/>
                <c:pt idx="0">
                  <c:v>1.1856502959526476</c:v>
                </c:pt>
                <c:pt idx="1">
                  <c:v>1.1971614638745181</c:v>
                </c:pt>
                <c:pt idx="2">
                  <c:v>1.208898340971327</c:v>
                </c:pt>
                <c:pt idx="3">
                  <c:v>1.2208676314759936</c:v>
                </c:pt>
                <c:pt idx="4">
                  <c:v>1.2330763077907534</c:v>
                </c:pt>
                <c:pt idx="5">
                  <c:v>1.2455316240310641</c:v>
                </c:pt>
                <c:pt idx="6">
                  <c:v>1.2582411303987282</c:v>
                </c:pt>
                <c:pt idx="7">
                  <c:v>1.2712126884440758</c:v>
                </c:pt>
                <c:pt idx="8">
                  <c:v>1.2844544872820349</c:v>
                </c:pt>
                <c:pt idx="9">
                  <c:v>1.2979750608323721</c:v>
                </c:pt>
                <c:pt idx="10">
                  <c:v>1.3117833061603761</c:v>
                </c:pt>
                <c:pt idx="11">
                  <c:v>1.3258885030008103</c:v>
                </c:pt>
                <c:pt idx="12">
                  <c:v>1.3403003345551667</c:v>
                </c:pt>
                <c:pt idx="13">
                  <c:v>1.3550289096601686</c:v>
                </c:pt>
                <c:pt idx="14">
                  <c:v>1.3700847864341708</c:v>
                </c:pt>
                <c:pt idx="15">
                  <c:v>1.3854789975177004</c:v>
                </c:pt>
                <c:pt idx="16">
                  <c:v>1.4012230770349472</c:v>
                </c:pt>
                <c:pt idx="17">
                  <c:v>1.4173290894146591</c:v>
                </c:pt>
                <c:pt idx="18">
                  <c:v>1.4338096602218064</c:v>
                </c:pt>
                <c:pt idx="19">
                  <c:v>1.4506780091655924</c:v>
                </c:pt>
                <c:pt idx="20">
                  <c:v>1.4679479854651827</c:v>
                </c:pt>
                <c:pt idx="21">
                  <c:v>1.4856341057719922</c:v>
                </c:pt>
                <c:pt idx="22">
                  <c:v>1.5037515948667728</c:v>
                </c:pt>
                <c:pt idx="23">
                  <c:v>1.5223164293713005</c:v>
                </c:pt>
                <c:pt idx="24">
                  <c:v>1.541345384738442</c:v>
                </c:pt>
                <c:pt idx="25">
                  <c:v>1.5608560858110805</c:v>
                </c:pt>
                <c:pt idx="26">
                  <c:v>1.5808670612701967</c:v>
                </c:pt>
                <c:pt idx="27">
                  <c:v>1.6013978023256541</c:v>
                </c:pt>
                <c:pt idx="28">
                  <c:v>1.6224688260404652</c:v>
                </c:pt>
                <c:pt idx="29">
                  <c:v>1.6441017437210048</c:v>
                </c:pt>
                <c:pt idx="30">
                  <c:v>1.6663193348523695</c:v>
                </c:pt>
                <c:pt idx="31">
                  <c:v>1.6891456271106213</c:v>
                </c:pt>
                <c:pt idx="32">
                  <c:v>1.7126059830427134</c:v>
                </c:pt>
                <c:pt idx="33">
                  <c:v>1.7367271940714837</c:v>
                </c:pt>
                <c:pt idx="34">
                  <c:v>1.7615375825582194</c:v>
                </c:pt>
                <c:pt idx="35">
                  <c:v>1.7870671127402227</c:v>
                </c:pt>
                <c:pt idx="36">
                  <c:v>1.8133475114569904</c:v>
                </c:pt>
                <c:pt idx="37">
                  <c:v>1.840412399687692</c:v>
                </c:pt>
                <c:pt idx="38">
                  <c:v>1.868297436046596</c:v>
                </c:pt>
                <c:pt idx="39">
                  <c:v>1.8970404735242361</c:v>
                </c:pt>
                <c:pt idx="40">
                  <c:v>1.9266817309230526</c:v>
                </c:pt>
                <c:pt idx="41">
                  <c:v>1.9572639806202436</c:v>
                </c:pt>
                <c:pt idx="42">
                  <c:v>1.9888327545012154</c:v>
                </c:pt>
                <c:pt idx="43">
                  <c:v>2.0214365701487762</c:v>
                </c:pt>
                <c:pt idx="44">
                  <c:v>2.0551271796512558</c:v>
                </c:pt>
                <c:pt idx="45">
                  <c:v>2.0899598437131419</c:v>
                </c:pt>
                <c:pt idx="46">
                  <c:v>2.1259936341219885</c:v>
                </c:pt>
                <c:pt idx="47">
                  <c:v>2.1632917680539534</c:v>
                </c:pt>
                <c:pt idx="48">
                  <c:v>2.2019219781977739</c:v>
                </c:pt>
                <c:pt idx="49">
                  <c:v>2.2419569232559153</c:v>
                </c:pt>
                <c:pt idx="50">
                  <c:v>2.2834746440569509</c:v>
                </c:pt>
                <c:pt idx="51">
                  <c:v>2.3265590713033082</c:v>
                </c:pt>
                <c:pt idx="52">
                  <c:v>2.3713005919052952</c:v>
                </c:pt>
                <c:pt idx="53">
                  <c:v>2.417796681942654</c:v>
                </c:pt>
                <c:pt idx="54">
                  <c:v>2.4661526155815072</c:v>
                </c:pt>
                <c:pt idx="55">
                  <c:v>2.5164822607974564</c:v>
                </c:pt>
                <c:pt idx="56">
                  <c:v>2.5689089745640699</c:v>
                </c:pt>
                <c:pt idx="57">
                  <c:v>2.6235666123207526</c:v>
                </c:pt>
                <c:pt idx="58">
                  <c:v>2.6806006691103339</c:v>
                </c:pt>
                <c:pt idx="59">
                  <c:v>2.7401695728683411</c:v>
                </c:pt>
                <c:pt idx="60">
                  <c:v>2.8024461540698939</c:v>
                </c:pt>
                <c:pt idx="61">
                  <c:v>2.8676193204436129</c:v>
                </c:pt>
                <c:pt idx="62">
                  <c:v>2.9358959709303654</c:v>
                </c:pt>
                <c:pt idx="63">
                  <c:v>3.0075031897335447</c:v>
                </c:pt>
                <c:pt idx="64">
                  <c:v>3.0826907694768839</c:v>
                </c:pt>
                <c:pt idx="65">
                  <c:v>3.1617341225403934</c:v>
                </c:pt>
                <c:pt idx="66">
                  <c:v>3.2449376520809303</c:v>
                </c:pt>
                <c:pt idx="67">
                  <c:v>3.3326386697047403</c:v>
                </c:pt>
                <c:pt idx="68">
                  <c:v>3.4252119660854268</c:v>
                </c:pt>
                <c:pt idx="69">
                  <c:v>3.5230751651164378</c:v>
                </c:pt>
                <c:pt idx="70">
                  <c:v>3.6266950229139807</c:v>
                </c:pt>
                <c:pt idx="71">
                  <c:v>3.736594872093193</c:v>
                </c:pt>
                <c:pt idx="72">
                  <c:v>3.8533634618461043</c:v>
                </c:pt>
                <c:pt idx="73">
                  <c:v>3.9776655090024309</c:v>
                </c:pt>
                <c:pt idx="74">
                  <c:v>4.1102543593025125</c:v>
                </c:pt>
                <c:pt idx="75">
                  <c:v>4.251987268243977</c:v>
                </c:pt>
                <c:pt idx="76">
                  <c:v>4.403843956395546</c:v>
                </c:pt>
                <c:pt idx="77">
                  <c:v>4.5669492881139035</c:v>
                </c:pt>
                <c:pt idx="78">
                  <c:v>4.7426011838105904</c:v>
                </c:pt>
                <c:pt idx="79">
                  <c:v>4.9323052311630127</c:v>
                </c:pt>
                <c:pt idx="80">
                  <c:v>5.1378179491281424</c:v>
                </c:pt>
                <c:pt idx="81">
                  <c:v>5.3612013382206678</c:v>
                </c:pt>
                <c:pt idx="82">
                  <c:v>5.5725563909774438</c:v>
                </c:pt>
                <c:pt idx="83">
                  <c:v>5.5725563909774438</c:v>
                </c:pt>
                <c:pt idx="84">
                  <c:v>5.5725563909774438</c:v>
                </c:pt>
                <c:pt idx="85">
                  <c:v>5.5725563909774438</c:v>
                </c:pt>
                <c:pt idx="86">
                  <c:v>5.5725563909774438</c:v>
                </c:pt>
                <c:pt idx="87">
                  <c:v>5.5725563909774438</c:v>
                </c:pt>
                <c:pt idx="88">
                  <c:v>5.5725563909774438</c:v>
                </c:pt>
                <c:pt idx="89">
                  <c:v>5.5725563909774438</c:v>
                </c:pt>
                <c:pt idx="90">
                  <c:v>5.5725563909774438</c:v>
                </c:pt>
                <c:pt idx="91">
                  <c:v>5.5725563909774438</c:v>
                </c:pt>
                <c:pt idx="92">
                  <c:v>5.5725563909774438</c:v>
                </c:pt>
                <c:pt idx="93">
                  <c:v>5.5725563909774438</c:v>
                </c:pt>
                <c:pt idx="94">
                  <c:v>5.5725563909774438</c:v>
                </c:pt>
                <c:pt idx="95">
                  <c:v>5.5725563909774438</c:v>
                </c:pt>
                <c:pt idx="96">
                  <c:v>5.5725563909774438</c:v>
                </c:pt>
                <c:pt idx="97">
                  <c:v>5.5725563909774438</c:v>
                </c:pt>
                <c:pt idx="98">
                  <c:v>5.5725563909774438</c:v>
                </c:pt>
                <c:pt idx="99">
                  <c:v>5.5725563909774438</c:v>
                </c:pt>
                <c:pt idx="100">
                  <c:v>5.5725563909774438</c:v>
                </c:pt>
                <c:pt idx="101">
                  <c:v>5.5725563909774438</c:v>
                </c:pt>
                <c:pt idx="102">
                  <c:v>5.5725563909774438</c:v>
                </c:pt>
              </c:numCache>
            </c:numRef>
          </c:yVal>
          <c:smooth val="1"/>
          <c:extLst>
            <c:ext xmlns:c16="http://schemas.microsoft.com/office/drawing/2014/chart" uri="{C3380CC4-5D6E-409C-BE32-E72D297353CC}">
              <c16:uniqueId val="{00000001-F275-4C5B-8562-4A074D9C059F}"/>
            </c:ext>
          </c:extLst>
        </c:ser>
        <c:dLbls>
          <c:showLegendKey val="0"/>
          <c:showVal val="0"/>
          <c:showCatName val="0"/>
          <c:showSerName val="0"/>
          <c:showPercent val="0"/>
          <c:showBubbleSize val="0"/>
        </c:dLbls>
        <c:axId val="51803264"/>
        <c:axId val="51806592"/>
      </c:scatterChart>
      <c:valAx>
        <c:axId val="51803264"/>
        <c:scaling>
          <c:orientation val="minMax"/>
        </c:scaling>
        <c:delete val="0"/>
        <c:axPos val="b"/>
        <c:title>
          <c:tx>
            <c:rich>
              <a:bodyPr/>
              <a:lstStyle/>
              <a:p>
                <a:pPr>
                  <a:defRPr/>
                </a:pPr>
                <a:r>
                  <a:rPr lang="en-US"/>
                  <a:t>Output</a:t>
                </a:r>
                <a:r>
                  <a:rPr lang="en-US" baseline="0"/>
                  <a:t> Voltage (V)</a:t>
                </a:r>
                <a:endParaRPr lang="en-US"/>
              </a:p>
            </c:rich>
          </c:tx>
          <c:overlay val="0"/>
        </c:title>
        <c:numFmt formatCode="0.00" sourceLinked="1"/>
        <c:majorTickMark val="out"/>
        <c:minorTickMark val="none"/>
        <c:tickLblPos val="nextTo"/>
        <c:crossAx val="51806592"/>
        <c:crosses val="autoZero"/>
        <c:crossBetween val="midCat"/>
      </c:valAx>
      <c:valAx>
        <c:axId val="51806592"/>
        <c:scaling>
          <c:orientation val="minMax"/>
          <c:min val="0"/>
        </c:scaling>
        <c:delete val="0"/>
        <c:axPos val="l"/>
        <c:majorGridlines/>
        <c:title>
          <c:tx>
            <c:rich>
              <a:bodyPr rot="-5400000" vert="horz"/>
              <a:lstStyle/>
              <a:p>
                <a:pPr>
                  <a:defRPr/>
                </a:pPr>
                <a:r>
                  <a:rPr lang="en-US"/>
                  <a:t>Current (A)</a:t>
                </a:r>
              </a:p>
            </c:rich>
          </c:tx>
          <c:overlay val="0"/>
        </c:title>
        <c:numFmt formatCode="0.000" sourceLinked="1"/>
        <c:majorTickMark val="out"/>
        <c:minorTickMark val="none"/>
        <c:tickLblPos val="nextTo"/>
        <c:crossAx val="51803264"/>
        <c:crosses val="autoZero"/>
        <c:crossBetween val="midCat"/>
      </c:valAx>
    </c:plotArea>
    <c:legend>
      <c:legendPos val="r"/>
      <c:layout>
        <c:manualLayout>
          <c:xMode val="edge"/>
          <c:yMode val="edge"/>
          <c:x val="0.34624252358789726"/>
          <c:y val="0.24479126489117176"/>
          <c:w val="0.21462230092985587"/>
          <c:h val="0.16792443955258282"/>
        </c:manualLayout>
      </c:layout>
      <c:overlay val="0"/>
      <c:spPr>
        <a:solidFill>
          <a:sysClr val="window" lastClr="FFFFFF"/>
        </a:solidFill>
        <a:ln>
          <a:solidFill>
            <a:schemeClr val="tx1"/>
          </a:solidFill>
        </a:ln>
      </c:spPr>
      <c:txPr>
        <a:bodyPr/>
        <a:lstStyle/>
        <a:p>
          <a:pPr>
            <a:defRPr>
              <a:ln>
                <a:solidFill>
                  <a:sysClr val="windowText" lastClr="000000"/>
                </a:solidFill>
              </a:ln>
            </a:defRPr>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dLbls>
          <c:showLegendKey val="0"/>
          <c:showVal val="0"/>
          <c:showCatName val="0"/>
          <c:showSerName val="0"/>
          <c:showPercent val="0"/>
          <c:showBubbleSize val="0"/>
        </c:dLbls>
        <c:marker val="1"/>
        <c:smooth val="0"/>
        <c:axId val="52195712"/>
        <c:axId val="52197248"/>
      </c:lineChart>
      <c:catAx>
        <c:axId val="52195712"/>
        <c:scaling>
          <c:orientation val="minMax"/>
        </c:scaling>
        <c:delete val="0"/>
        <c:axPos val="b"/>
        <c:majorTickMark val="out"/>
        <c:minorTickMark val="none"/>
        <c:tickLblPos val="nextTo"/>
        <c:crossAx val="52197248"/>
        <c:crosses val="autoZero"/>
        <c:auto val="1"/>
        <c:lblAlgn val="ctr"/>
        <c:lblOffset val="100"/>
        <c:noMultiLvlLbl val="0"/>
      </c:catAx>
      <c:valAx>
        <c:axId val="52197248"/>
        <c:scaling>
          <c:orientation val="minMax"/>
        </c:scaling>
        <c:delete val="0"/>
        <c:axPos val="l"/>
        <c:majorGridlines/>
        <c:majorTickMark val="out"/>
        <c:minorTickMark val="none"/>
        <c:tickLblPos val="nextTo"/>
        <c:crossAx val="521957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9.png"/><Relationship Id="rId18" Type="http://schemas.openxmlformats.org/officeDocument/2006/relationships/hyperlink" Target="https://training.ti.com/node/1133681" TargetMode="External"/><Relationship Id="rId3" Type="http://schemas.openxmlformats.org/officeDocument/2006/relationships/image" Target="../media/image4.emf"/><Relationship Id="rId7" Type="http://schemas.openxmlformats.org/officeDocument/2006/relationships/chart" Target="../charts/chart3.xml"/><Relationship Id="rId12" Type="http://schemas.openxmlformats.org/officeDocument/2006/relationships/hyperlink" Target="https://training.ti.com/node/1133677" TargetMode="External"/><Relationship Id="rId17" Type="http://schemas.openxmlformats.org/officeDocument/2006/relationships/image" Target="../media/image11.png"/><Relationship Id="rId2" Type="http://schemas.openxmlformats.org/officeDocument/2006/relationships/image" Target="../media/image3.png"/><Relationship Id="rId16" Type="http://schemas.openxmlformats.org/officeDocument/2006/relationships/hyperlink" Target="https://training.ti.com/node/1133664" TargetMode="External"/><Relationship Id="rId1" Type="http://schemas.openxmlformats.org/officeDocument/2006/relationships/image" Target="../media/image2.png"/><Relationship Id="rId6" Type="http://schemas.openxmlformats.org/officeDocument/2006/relationships/chart" Target="../charts/chart2.xml"/><Relationship Id="rId11" Type="http://schemas.openxmlformats.org/officeDocument/2006/relationships/image" Target="../media/image8.png"/><Relationship Id="rId5" Type="http://schemas.openxmlformats.org/officeDocument/2006/relationships/chart" Target="../charts/chart1.xml"/><Relationship Id="rId15" Type="http://schemas.openxmlformats.org/officeDocument/2006/relationships/image" Target="../media/image10.png"/><Relationship Id="rId10" Type="http://schemas.openxmlformats.org/officeDocument/2006/relationships/hyperlink" Target="http://www.ti.com/power-management/protection-monitoring-hot-swap/controllers/support-training.html#videos" TargetMode="External"/><Relationship Id="rId19" Type="http://schemas.openxmlformats.org/officeDocument/2006/relationships/image" Target="../media/image12.png"/><Relationship Id="rId4" Type="http://schemas.openxmlformats.org/officeDocument/2006/relationships/image" Target="../media/image5.png"/><Relationship Id="rId9" Type="http://schemas.openxmlformats.org/officeDocument/2006/relationships/image" Target="../media/image7.png"/><Relationship Id="rId14" Type="http://schemas.openxmlformats.org/officeDocument/2006/relationships/hyperlink" Target="https://training.ti.com/node/1133673" TargetMode="Externa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190500</xdr:rowOff>
    </xdr:from>
    <xdr:to>
      <xdr:col>15</xdr:col>
      <xdr:colOff>600075</xdr:colOff>
      <xdr:row>7</xdr:row>
      <xdr:rowOff>19050</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0" y="352425"/>
          <a:ext cx="9553575" cy="9334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142875</xdr:colOff>
      <xdr:row>2</xdr:row>
      <xdr:rowOff>47625</xdr:rowOff>
    </xdr:from>
    <xdr:to>
      <xdr:col>4</xdr:col>
      <xdr:colOff>485775</xdr:colOff>
      <xdr:row>6</xdr:row>
      <xdr:rowOff>85725</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38150"/>
          <a:ext cx="232410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259977</xdr:colOff>
      <xdr:row>81</xdr:row>
      <xdr:rowOff>116540</xdr:rowOff>
    </xdr:from>
    <xdr:to>
      <xdr:col>5</xdr:col>
      <xdr:colOff>805766</xdr:colOff>
      <xdr:row>100</xdr:row>
      <xdr:rowOff>87443</xdr:rowOff>
    </xdr:to>
    <xdr:pic>
      <xdr:nvPicPr>
        <xdr:cNvPr id="24" name="Picture 1">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871" y="12165105"/>
          <a:ext cx="6121836" cy="3789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1820</xdr:colOff>
      <xdr:row>1</xdr:row>
      <xdr:rowOff>104775</xdr:rowOff>
    </xdr:from>
    <xdr:to>
      <xdr:col>8</xdr:col>
      <xdr:colOff>778566</xdr:colOff>
      <xdr:row>5</xdr:row>
      <xdr:rowOff>157369</xdr:rowOff>
    </xdr:to>
    <xdr:sp macro="" textlink="">
      <xdr:nvSpPr>
        <xdr:cNvPr id="1025" name="Text Box 1">
          <a:extLst>
            <a:ext uri="{FF2B5EF4-FFF2-40B4-BE49-F238E27FC236}">
              <a16:creationId xmlns:a16="http://schemas.microsoft.com/office/drawing/2014/main" id="{00000000-0008-0000-0100-000001040000}"/>
            </a:ext>
          </a:extLst>
        </xdr:cNvPr>
        <xdr:cNvSpPr txBox="1">
          <a:spLocks noChangeArrowheads="1"/>
        </xdr:cNvSpPr>
      </xdr:nvSpPr>
      <xdr:spPr bwMode="auto">
        <a:xfrm>
          <a:off x="26668" y="875058"/>
          <a:ext cx="8255941" cy="748333"/>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US" sz="1200" b="1" i="0" u="sng" strike="noStrike" baseline="0">
              <a:solidFill>
                <a:srgbClr val="FF0000"/>
              </a:solidFill>
              <a:latin typeface="Arial"/>
              <a:cs typeface="Arial"/>
            </a:rPr>
            <a:t>Note</a:t>
          </a:r>
          <a:r>
            <a:rPr lang="en-US" sz="1200" b="1" i="0" u="none" strike="noStrike" baseline="0">
              <a:solidFill>
                <a:srgbClr val="FF0000"/>
              </a:solidFill>
              <a:latin typeface="Arial"/>
              <a:cs typeface="Arial"/>
            </a:rPr>
            <a:t>:</a:t>
          </a:r>
          <a:r>
            <a:rPr lang="en-US" sz="1200" b="0" i="0" u="none" strike="noStrike" baseline="0">
              <a:solidFill>
                <a:srgbClr val="FF0000"/>
              </a:solidFill>
              <a:latin typeface="Arial"/>
              <a:cs typeface="Arial"/>
            </a:rPr>
            <a:t> The components calculated in this worksheet are reasonable starting values for a design using the TPS24720 Hot-swap Controller. As such, they are not optimized for any particular performance attribute. Tolerances of the components are not included in the calculations. See the Instructions tab for additional information.</a:t>
          </a:r>
        </a:p>
        <a:p>
          <a:pPr algn="l" rtl="0">
            <a:defRPr sz="1000"/>
          </a:pPr>
          <a:r>
            <a:rPr lang="en-US" sz="1200" b="1" i="0" u="none" strike="noStrike" baseline="0">
              <a:solidFill>
                <a:sysClr val="windowText" lastClr="000000"/>
              </a:solidFill>
              <a:latin typeface="Arial"/>
              <a:cs typeface="Arial"/>
            </a:rPr>
            <a:t>Consult the TPS24720 datasheet for more detail.</a:t>
          </a:r>
        </a:p>
      </xdr:txBody>
    </xdr:sp>
    <xdr:clientData/>
  </xdr:twoCellAnchor>
  <xdr:twoCellAnchor>
    <xdr:from>
      <xdr:col>39</xdr:col>
      <xdr:colOff>0</xdr:colOff>
      <xdr:row>61</xdr:row>
      <xdr:rowOff>0</xdr:rowOff>
    </xdr:from>
    <xdr:to>
      <xdr:col>39</xdr:col>
      <xdr:colOff>0</xdr:colOff>
      <xdr:row>69</xdr:row>
      <xdr:rowOff>0</xdr:rowOff>
    </xdr:to>
    <xdr:sp macro="" textlink="">
      <xdr:nvSpPr>
        <xdr:cNvPr id="1056" name="Text Box 32">
          <a:extLst>
            <a:ext uri="{FF2B5EF4-FFF2-40B4-BE49-F238E27FC236}">
              <a16:creationId xmlns:a16="http://schemas.microsoft.com/office/drawing/2014/main" id="{00000000-0008-0000-0100-000020040000}"/>
            </a:ext>
          </a:extLst>
        </xdr:cNvPr>
        <xdr:cNvSpPr txBox="1">
          <a:spLocks noChangeArrowheads="1"/>
        </xdr:cNvSpPr>
      </xdr:nvSpPr>
      <xdr:spPr bwMode="auto">
        <a:xfrm>
          <a:off x="16821150" y="4267200"/>
          <a:ext cx="2276475" cy="8477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Max R</a:t>
          </a:r>
          <a:r>
            <a:rPr lang="en-US" sz="1000" b="0" i="0" u="none" strike="noStrike" baseline="-25000">
              <a:solidFill>
                <a:srgbClr val="000000"/>
              </a:solidFill>
              <a:latin typeface="Arial"/>
              <a:cs typeface="Arial"/>
            </a:rPr>
            <a:t>S</a:t>
          </a:r>
          <a:r>
            <a:rPr lang="en-US" sz="1000" b="0" i="0" u="none" strike="noStrike" baseline="0">
              <a:solidFill>
                <a:srgbClr val="000000"/>
              </a:solidFill>
              <a:latin typeface="Arial"/>
              <a:cs typeface="Arial"/>
            </a:rPr>
            <a:t> = </a:t>
          </a:r>
          <a:r>
            <a:rPr lang="en-US" sz="1000" b="0" i="0" u="sng" strike="noStrike" baseline="0">
              <a:solidFill>
                <a:srgbClr val="000000"/>
              </a:solidFill>
              <a:latin typeface="Arial"/>
              <a:cs typeface="Arial"/>
            </a:rPr>
            <a:t>            45 mV                 </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(Max Load Current x 1.01)</a:t>
          </a:r>
        </a:p>
        <a:p>
          <a:pPr algn="l" rtl="0">
            <a:defRPr sz="1000"/>
          </a:pPr>
          <a:endParaRPr lang="en-US" sz="10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The 1.01 factor provides 1% margin from the max. normal load current.</a:t>
          </a:r>
        </a:p>
      </xdr:txBody>
    </xdr:sp>
    <xdr:clientData/>
  </xdr:twoCellAnchor>
  <xdr:twoCellAnchor editAs="oneCell">
    <xdr:from>
      <xdr:col>0</xdr:col>
      <xdr:colOff>76200</xdr:colOff>
      <xdr:row>0</xdr:row>
      <xdr:rowOff>171450</xdr:rowOff>
    </xdr:from>
    <xdr:to>
      <xdr:col>1</xdr:col>
      <xdr:colOff>1657687</xdr:colOff>
      <xdr:row>0</xdr:row>
      <xdr:rowOff>609600</xdr:rowOff>
    </xdr:to>
    <xdr:pic>
      <xdr:nvPicPr>
        <xdr:cNvPr id="10" name="Picture 9">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2" cstate="print"/>
        <a:srcRect r="26499"/>
        <a:stretch>
          <a:fillRect/>
        </a:stretch>
      </xdr:blipFill>
      <xdr:spPr bwMode="auto">
        <a:xfrm>
          <a:off x="76200" y="171450"/>
          <a:ext cx="1657687" cy="438150"/>
        </a:xfrm>
        <a:prstGeom prst="rect">
          <a:avLst/>
        </a:prstGeom>
        <a:noFill/>
        <a:ln w="9525">
          <a:noFill/>
          <a:miter lim="800000"/>
          <a:headEnd/>
          <a:tailEnd/>
        </a:ln>
      </xdr:spPr>
    </xdr:pic>
    <xdr:clientData/>
  </xdr:twoCellAnchor>
  <xdr:twoCellAnchor editAs="oneCell">
    <xdr:from>
      <xdr:col>5</xdr:col>
      <xdr:colOff>95251</xdr:colOff>
      <xdr:row>162</xdr:row>
      <xdr:rowOff>95251</xdr:rowOff>
    </xdr:from>
    <xdr:to>
      <xdr:col>10</xdr:col>
      <xdr:colOff>632841</xdr:colOff>
      <xdr:row>162</xdr:row>
      <xdr:rowOff>97409</xdr:rowOff>
    </xdr:to>
    <xdr:pic>
      <xdr:nvPicPr>
        <xdr:cNvPr id="3" name="Picture 21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467351" y="15116176"/>
          <a:ext cx="4019549" cy="653471"/>
        </a:xfrm>
        <a:prstGeom prst="rect">
          <a:avLst/>
        </a:prstGeom>
        <a:noFill/>
      </xdr:spPr>
    </xdr:pic>
    <xdr:clientData/>
  </xdr:twoCellAnchor>
  <xdr:twoCellAnchor>
    <xdr:from>
      <xdr:col>16</xdr:col>
      <xdr:colOff>714375</xdr:colOff>
      <xdr:row>0</xdr:row>
      <xdr:rowOff>114871</xdr:rowOff>
    </xdr:from>
    <xdr:to>
      <xdr:col>16</xdr:col>
      <xdr:colOff>2247900</xdr:colOff>
      <xdr:row>0</xdr:row>
      <xdr:rowOff>516906</xdr:rowOff>
    </xdr:to>
    <xdr:pic>
      <xdr:nvPicPr>
        <xdr:cNvPr id="11" name="Picture 8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0982325" y="114871"/>
          <a:ext cx="1533525" cy="402035"/>
        </a:xfrm>
        <a:prstGeom prst="rect">
          <a:avLst/>
        </a:prstGeom>
        <a:noFill/>
        <a:ln w="1">
          <a:noFill/>
          <a:miter lim="800000"/>
          <a:headEnd/>
          <a:tailEnd type="none" w="med" len="med"/>
        </a:ln>
        <a:effectLst/>
      </xdr:spPr>
    </xdr:pic>
    <xdr:clientData/>
  </xdr:twoCellAnchor>
  <xdr:twoCellAnchor>
    <xdr:from>
      <xdr:col>8</xdr:col>
      <xdr:colOff>109222</xdr:colOff>
      <xdr:row>51</xdr:row>
      <xdr:rowOff>44451</xdr:rowOff>
    </xdr:from>
    <xdr:to>
      <xdr:col>38</xdr:col>
      <xdr:colOff>733239</xdr:colOff>
      <xdr:row>66</xdr:row>
      <xdr:rowOff>110191</xdr:rowOff>
    </xdr:to>
    <xdr:graphicFrame macro="">
      <xdr:nvGraphicFramePr>
        <xdr:cNvPr id="19" name="Chart 100">
          <a:extLst>
            <a:ext uri="{FF2B5EF4-FFF2-40B4-BE49-F238E27FC236}">
              <a16:creationId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8</xdr:col>
      <xdr:colOff>53340</xdr:colOff>
      <xdr:row>44</xdr:row>
      <xdr:rowOff>175260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7726680" y="519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7</xdr:col>
      <xdr:colOff>580689</xdr:colOff>
      <xdr:row>69</xdr:row>
      <xdr:rowOff>25027</xdr:rowOff>
    </xdr:from>
    <xdr:to>
      <xdr:col>38</xdr:col>
      <xdr:colOff>740709</xdr:colOff>
      <xdr:row>87</xdr:row>
      <xdr:rowOff>90918</xdr:rowOff>
    </xdr:to>
    <xdr:graphicFrame macro="">
      <xdr:nvGraphicFramePr>
        <xdr:cNvPr id="16" name="Chart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11</xdr:col>
      <xdr:colOff>434340</xdr:colOff>
      <xdr:row>57</xdr:row>
      <xdr:rowOff>91440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0309860" y="7741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7</xdr:col>
      <xdr:colOff>317585</xdr:colOff>
      <xdr:row>87</xdr:row>
      <xdr:rowOff>118101</xdr:rowOff>
    </xdr:from>
    <xdr:to>
      <xdr:col>38</xdr:col>
      <xdr:colOff>407699</xdr:colOff>
      <xdr:row>101</xdr:row>
      <xdr:rowOff>141292</xdr:rowOff>
    </xdr:to>
    <xdr:graphicFrame macro="">
      <xdr:nvGraphicFramePr>
        <xdr:cNvPr id="18" name="Chart 17">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12</xdr:col>
      <xdr:colOff>662940</xdr:colOff>
      <xdr:row>71</xdr:row>
      <xdr:rowOff>30480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1193780" y="9860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9</xdr:col>
      <xdr:colOff>277906</xdr:colOff>
      <xdr:row>2</xdr:row>
      <xdr:rowOff>107576</xdr:rowOff>
    </xdr:from>
    <xdr:to>
      <xdr:col>12</xdr:col>
      <xdr:colOff>277907</xdr:colOff>
      <xdr:row>9</xdr:row>
      <xdr:rowOff>135590</xdr:rowOff>
    </xdr:to>
    <xdr:pic>
      <xdr:nvPicPr>
        <xdr:cNvPr id="22" name="Picture 21">
          <a:extLst>
            <a:ext uri="{FF2B5EF4-FFF2-40B4-BE49-F238E27FC236}">
              <a16:creationId xmlns:a16="http://schemas.microsoft.com/office/drawing/2014/main" id="{00000000-0008-0000-0100-000016000000}"/>
            </a:ext>
          </a:extLst>
        </xdr:cNvPr>
        <xdr:cNvPicPr/>
      </xdr:nvPicPr>
      <xdr:blipFill>
        <a:blip xmlns:r="http://schemas.openxmlformats.org/officeDocument/2006/relationships" r:embed="rId8"/>
        <a:stretch>
          <a:fillRect/>
        </a:stretch>
      </xdr:blipFill>
      <xdr:spPr>
        <a:xfrm>
          <a:off x="8884024" y="1075764"/>
          <a:ext cx="1927411" cy="1256179"/>
        </a:xfrm>
        <a:prstGeom prst="rect">
          <a:avLst/>
        </a:prstGeom>
      </xdr:spPr>
    </xdr:pic>
    <xdr:clientData/>
  </xdr:twoCellAnchor>
  <xdr:twoCellAnchor editAs="oneCell">
    <xdr:from>
      <xdr:col>1</xdr:col>
      <xdr:colOff>98612</xdr:colOff>
      <xdr:row>121</xdr:row>
      <xdr:rowOff>98610</xdr:rowOff>
    </xdr:from>
    <xdr:to>
      <xdr:col>3</xdr:col>
      <xdr:colOff>825873</xdr:colOff>
      <xdr:row>135</xdr:row>
      <xdr:rowOff>89467</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5506" y="20098869"/>
          <a:ext cx="4383741" cy="2662339"/>
        </a:xfrm>
        <a:prstGeom prst="rect">
          <a:avLst/>
        </a:prstGeom>
      </xdr:spPr>
    </xdr:pic>
    <xdr:clientData/>
  </xdr:twoCellAnchor>
  <xdr:twoCellAnchor>
    <xdr:from>
      <xdr:col>1</xdr:col>
      <xdr:colOff>1057835</xdr:colOff>
      <xdr:row>81</xdr:row>
      <xdr:rowOff>44823</xdr:rowOff>
    </xdr:from>
    <xdr:to>
      <xdr:col>4</xdr:col>
      <xdr:colOff>753036</xdr:colOff>
      <xdr:row>83</xdr:row>
      <xdr:rowOff>997</xdr:rowOff>
    </xdr:to>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1084729" y="12093388"/>
          <a:ext cx="3836895" cy="33269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t>Looking</a:t>
          </a:r>
          <a:r>
            <a:rPr lang="en-US" sz="2000" baseline="0"/>
            <a:t> up FET SOA (CSD16401Q5)</a:t>
          </a:r>
          <a:endParaRPr lang="en-US" sz="2000"/>
        </a:p>
      </xdr:txBody>
    </xdr:sp>
    <xdr:clientData/>
  </xdr:twoCellAnchor>
  <xdr:twoCellAnchor editAs="oneCell">
    <xdr:from>
      <xdr:col>1</xdr:col>
      <xdr:colOff>52294</xdr:colOff>
      <xdr:row>14</xdr:row>
      <xdr:rowOff>22412</xdr:rowOff>
    </xdr:from>
    <xdr:to>
      <xdr:col>1</xdr:col>
      <xdr:colOff>1752683</xdr:colOff>
      <xdr:row>21</xdr:row>
      <xdr:rowOff>207657</xdr:rowOff>
    </xdr:to>
    <xdr:pic>
      <xdr:nvPicPr>
        <xdr:cNvPr id="20" name="Picture 19">
          <a:hlinkClick xmlns:r="http://schemas.openxmlformats.org/officeDocument/2006/relationships" r:id="rId10"/>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1"/>
        <a:stretch>
          <a:fillRect/>
        </a:stretch>
      </xdr:blipFill>
      <xdr:spPr>
        <a:xfrm>
          <a:off x="82176" y="3092824"/>
          <a:ext cx="1700389" cy="1544892"/>
        </a:xfrm>
        <a:prstGeom prst="rect">
          <a:avLst/>
        </a:prstGeom>
      </xdr:spPr>
    </xdr:pic>
    <xdr:clientData/>
  </xdr:twoCellAnchor>
  <xdr:twoCellAnchor editAs="oneCell">
    <xdr:from>
      <xdr:col>1</xdr:col>
      <xdr:colOff>52294</xdr:colOff>
      <xdr:row>27</xdr:row>
      <xdr:rowOff>29882</xdr:rowOff>
    </xdr:from>
    <xdr:to>
      <xdr:col>1</xdr:col>
      <xdr:colOff>1798779</xdr:colOff>
      <xdr:row>32</xdr:row>
      <xdr:rowOff>19937</xdr:rowOff>
    </xdr:to>
    <xdr:pic>
      <xdr:nvPicPr>
        <xdr:cNvPr id="21" name="Picture 20">
          <a:hlinkClick xmlns:r="http://schemas.openxmlformats.org/officeDocument/2006/relationships" r:id="rId12"/>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3"/>
        <a:stretch>
          <a:fillRect/>
        </a:stretch>
      </xdr:blipFill>
      <xdr:spPr>
        <a:xfrm>
          <a:off x="82176" y="6021294"/>
          <a:ext cx="1746485" cy="961231"/>
        </a:xfrm>
        <a:prstGeom prst="rect">
          <a:avLst/>
        </a:prstGeom>
      </xdr:spPr>
    </xdr:pic>
    <xdr:clientData/>
  </xdr:twoCellAnchor>
  <xdr:twoCellAnchor editAs="oneCell">
    <xdr:from>
      <xdr:col>1</xdr:col>
      <xdr:colOff>67235</xdr:colOff>
      <xdr:row>38</xdr:row>
      <xdr:rowOff>44823</xdr:rowOff>
    </xdr:from>
    <xdr:to>
      <xdr:col>1</xdr:col>
      <xdr:colOff>1872512</xdr:colOff>
      <xdr:row>44</xdr:row>
      <xdr:rowOff>44823</xdr:rowOff>
    </xdr:to>
    <xdr:pic>
      <xdr:nvPicPr>
        <xdr:cNvPr id="25" name="Picture 24">
          <a:hlinkClick xmlns:r="http://schemas.openxmlformats.org/officeDocument/2006/relationships" r:id="rId12"/>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3"/>
        <a:stretch>
          <a:fillRect/>
        </a:stretch>
      </xdr:blipFill>
      <xdr:spPr>
        <a:xfrm>
          <a:off x="97117" y="8172823"/>
          <a:ext cx="1805277" cy="1135529"/>
        </a:xfrm>
        <a:prstGeom prst="rect">
          <a:avLst/>
        </a:prstGeom>
      </xdr:spPr>
    </xdr:pic>
    <xdr:clientData/>
  </xdr:twoCellAnchor>
  <xdr:twoCellAnchor editAs="oneCell">
    <xdr:from>
      <xdr:col>1</xdr:col>
      <xdr:colOff>44824</xdr:colOff>
      <xdr:row>52</xdr:row>
      <xdr:rowOff>44823</xdr:rowOff>
    </xdr:from>
    <xdr:to>
      <xdr:col>1</xdr:col>
      <xdr:colOff>1901912</xdr:colOff>
      <xdr:row>58</xdr:row>
      <xdr:rowOff>52276</xdr:rowOff>
    </xdr:to>
    <xdr:pic>
      <xdr:nvPicPr>
        <xdr:cNvPr id="26" name="Picture 25">
          <a:hlinkClick xmlns:r="http://schemas.openxmlformats.org/officeDocument/2006/relationships" r:id="rId14"/>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5"/>
        <a:stretch>
          <a:fillRect/>
        </a:stretch>
      </xdr:blipFill>
      <xdr:spPr>
        <a:xfrm>
          <a:off x="74706" y="10847294"/>
          <a:ext cx="1857088" cy="1060806"/>
        </a:xfrm>
        <a:prstGeom prst="rect">
          <a:avLst/>
        </a:prstGeom>
      </xdr:spPr>
    </xdr:pic>
    <xdr:clientData/>
  </xdr:twoCellAnchor>
  <xdr:twoCellAnchor editAs="oneCell">
    <xdr:from>
      <xdr:col>1</xdr:col>
      <xdr:colOff>52294</xdr:colOff>
      <xdr:row>70</xdr:row>
      <xdr:rowOff>52295</xdr:rowOff>
    </xdr:from>
    <xdr:to>
      <xdr:col>1</xdr:col>
      <xdr:colOff>2011874</xdr:colOff>
      <xdr:row>76</xdr:row>
      <xdr:rowOff>112062</xdr:rowOff>
    </xdr:to>
    <xdr:pic>
      <xdr:nvPicPr>
        <xdr:cNvPr id="27" name="Picture 26">
          <a:hlinkClick xmlns:r="http://schemas.openxmlformats.org/officeDocument/2006/relationships" r:id="rId1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7"/>
        <a:stretch>
          <a:fillRect/>
        </a:stretch>
      </xdr:blipFill>
      <xdr:spPr>
        <a:xfrm>
          <a:off x="82176" y="14097001"/>
          <a:ext cx="1959580" cy="1016002"/>
        </a:xfrm>
        <a:prstGeom prst="rect">
          <a:avLst/>
        </a:prstGeom>
      </xdr:spPr>
    </xdr:pic>
    <xdr:clientData/>
  </xdr:twoCellAnchor>
  <xdr:twoCellAnchor editAs="oneCell">
    <xdr:from>
      <xdr:col>1</xdr:col>
      <xdr:colOff>52295</xdr:colOff>
      <xdr:row>103</xdr:row>
      <xdr:rowOff>22412</xdr:rowOff>
    </xdr:from>
    <xdr:to>
      <xdr:col>1</xdr:col>
      <xdr:colOff>2061081</xdr:colOff>
      <xdr:row>108</xdr:row>
      <xdr:rowOff>104588</xdr:rowOff>
    </xdr:to>
    <xdr:pic>
      <xdr:nvPicPr>
        <xdr:cNvPr id="28" name="Picture 27">
          <a:hlinkClick xmlns:r="http://schemas.openxmlformats.org/officeDocument/2006/relationships" r:id="rId18"/>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9"/>
        <a:stretch>
          <a:fillRect/>
        </a:stretch>
      </xdr:blipFill>
      <xdr:spPr>
        <a:xfrm>
          <a:off x="82177" y="20417118"/>
          <a:ext cx="2008786" cy="10533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97155</xdr:colOff>
      <xdr:row>67</xdr:row>
      <xdr:rowOff>22860</xdr:rowOff>
    </xdr:from>
    <xdr:to>
      <xdr:col>13</xdr:col>
      <xdr:colOff>20955</xdr:colOff>
      <xdr:row>92</xdr:row>
      <xdr:rowOff>133350</xdr:rowOff>
    </xdr:to>
    <xdr:sp macro="" textlink="">
      <xdr:nvSpPr>
        <xdr:cNvPr id="2" name="Text Box 17">
          <a:extLst>
            <a:ext uri="{FF2B5EF4-FFF2-40B4-BE49-F238E27FC236}">
              <a16:creationId xmlns:a16="http://schemas.microsoft.com/office/drawing/2014/main" id="{00000000-0008-0000-0300-000002000000}"/>
            </a:ext>
          </a:extLst>
        </xdr:cNvPr>
        <xdr:cNvSpPr txBox="1">
          <a:spLocks noChangeArrowheads="1"/>
        </xdr:cNvSpPr>
      </xdr:nvSpPr>
      <xdr:spPr bwMode="auto">
        <a:xfrm>
          <a:off x="4608195" y="11254740"/>
          <a:ext cx="4381500" cy="43014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Option A</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R1 =  Assumed Value</a:t>
          </a:r>
        </a:p>
        <a:p>
          <a:pPr algn="l" rtl="0">
            <a:defRPr sz="1000"/>
          </a:pPr>
          <a:endParaRPr lang="en-US" sz="1000" b="0" i="0" u="sng"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R3 = </a:t>
          </a:r>
          <a:r>
            <a:rPr lang="en-US" sz="1000" b="0" i="0" u="sng" strike="noStrike" baseline="0">
              <a:solidFill>
                <a:srgbClr val="000000"/>
              </a:solidFill>
              <a:latin typeface="Arial"/>
              <a:cs typeface="Arial"/>
            </a:rPr>
            <a:t>         1.35V x R1 x UVLO</a:t>
          </a:r>
          <a:r>
            <a:rPr lang="en-US" sz="800" b="0" i="0" u="sng" strike="noStrike" baseline="0">
              <a:solidFill>
                <a:srgbClr val="000000"/>
              </a:solidFill>
              <a:latin typeface="Arial"/>
              <a:cs typeface="Arial"/>
            </a:rPr>
            <a:t>(lower)</a:t>
          </a:r>
          <a:r>
            <a:rPr lang="en-US" sz="1000" b="0" i="0" u="sng" strike="noStrike" baseline="0">
              <a:solidFill>
                <a:srgbClr val="000000"/>
              </a:solidFill>
              <a:latin typeface="Arial"/>
              <a:cs typeface="Arial"/>
            </a:rPr>
            <a:t>         </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OVLO</a:t>
          </a:r>
          <a:r>
            <a:rPr lang="en-US" sz="800" b="0" i="0" u="none" strike="noStrike" baseline="0">
              <a:solidFill>
                <a:srgbClr val="000000"/>
              </a:solidFill>
              <a:latin typeface="Arial"/>
              <a:cs typeface="Arial"/>
            </a:rPr>
            <a:t>(upper)</a:t>
          </a:r>
          <a:r>
            <a:rPr lang="en-US" sz="1000" b="0" i="0" u="none" strike="noStrike" baseline="0">
              <a:solidFill>
                <a:srgbClr val="000000"/>
              </a:solidFill>
              <a:latin typeface="Arial"/>
              <a:cs typeface="Arial"/>
            </a:rPr>
            <a:t> x (UVLO</a:t>
          </a:r>
          <a:r>
            <a:rPr lang="en-US" sz="800" b="0" i="0" u="none" strike="noStrike" baseline="0">
              <a:solidFill>
                <a:srgbClr val="000000"/>
              </a:solidFill>
              <a:latin typeface="Arial"/>
              <a:cs typeface="Arial"/>
            </a:rPr>
            <a:t>(lower)</a:t>
          </a:r>
          <a:r>
            <a:rPr lang="en-US" sz="1000" b="0" i="0" u="none" strike="noStrike" baseline="0">
              <a:solidFill>
                <a:srgbClr val="000000"/>
              </a:solidFill>
              <a:latin typeface="Arial"/>
              <a:cs typeface="Arial"/>
            </a:rPr>
            <a:t> - 1.35V)</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R2 =  </a:t>
          </a:r>
          <a:r>
            <a:rPr lang="en-US" sz="1000" b="0" i="0" u="sng" strike="noStrike" baseline="0">
              <a:solidFill>
                <a:srgbClr val="000000"/>
              </a:solidFill>
              <a:latin typeface="Arial"/>
              <a:cs typeface="Arial"/>
            </a:rPr>
            <a:t>       1.35V  x  R1      </a:t>
          </a:r>
          <a:r>
            <a:rPr lang="en-US" sz="1000" b="0" i="0" u="none" strike="noStrike" baseline="0">
              <a:solidFill>
                <a:srgbClr val="000000"/>
              </a:solidFill>
              <a:latin typeface="Arial"/>
              <a:cs typeface="Arial"/>
            </a:rPr>
            <a:t>  -  R3</a:t>
          </a:r>
        </a:p>
        <a:p>
          <a:pPr algn="l" rtl="0">
            <a:defRPr sz="1000"/>
          </a:pPr>
          <a:r>
            <a:rPr lang="en-US" sz="1000" b="0" i="0" u="none" strike="noStrike" baseline="0">
              <a:solidFill>
                <a:srgbClr val="000000"/>
              </a:solidFill>
              <a:latin typeface="Arial"/>
              <a:cs typeface="Arial"/>
            </a:rPr>
            <a:t>          UVLO</a:t>
          </a:r>
          <a:r>
            <a:rPr lang="en-US" sz="800" b="0" i="0" u="none" strike="noStrike" baseline="0">
              <a:solidFill>
                <a:srgbClr val="000000"/>
              </a:solidFill>
              <a:latin typeface="Arial"/>
              <a:cs typeface="Arial"/>
            </a:rPr>
            <a:t>(lower)</a:t>
          </a:r>
          <a:r>
            <a:rPr lang="en-US" sz="1000" b="0" i="0" u="none" strike="noStrike" baseline="0">
              <a:solidFill>
                <a:srgbClr val="000000"/>
              </a:solidFill>
              <a:latin typeface="Arial"/>
              <a:cs typeface="Arial"/>
            </a:rPr>
            <a:t> - 1.35V</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Typical UVLO</a:t>
          </a:r>
          <a:r>
            <a:rPr lang="en-US" sz="800" b="0" i="0" u="none" strike="noStrike" baseline="0">
              <a:solidFill>
                <a:srgbClr val="000000"/>
              </a:solidFill>
              <a:latin typeface="Arial"/>
              <a:cs typeface="Arial"/>
            </a:rPr>
            <a:t>(upper)</a:t>
          </a:r>
          <a:r>
            <a:rPr lang="en-US" sz="1000" b="0" i="0" u="none" strike="noStrike" baseline="0">
              <a:solidFill>
                <a:srgbClr val="000000"/>
              </a:solidFill>
              <a:latin typeface="Arial"/>
              <a:cs typeface="Arial"/>
            </a:rPr>
            <a:t> = 1.35V + (R1 x  </a:t>
          </a:r>
          <a:r>
            <a:rPr lang="en-US" sz="1000" b="0" i="0" u="sng" strike="noStrike" baseline="0">
              <a:solidFill>
                <a:srgbClr val="000000"/>
              </a:solidFill>
              <a:latin typeface="Arial"/>
              <a:cs typeface="Arial"/>
            </a:rPr>
            <a:t>( 1.35V     </a:t>
          </a:r>
          <a:r>
            <a:rPr lang="en-US" sz="1000" b="0" i="0" u="none" strike="noStrike" baseline="0">
              <a:solidFill>
                <a:srgbClr val="000000"/>
              </a:solidFill>
              <a:latin typeface="Arial"/>
              <a:cs typeface="Arial"/>
            </a:rPr>
            <a:t> +  23uA)</a:t>
          </a:r>
        </a:p>
        <a:p>
          <a:pPr algn="l" rtl="0">
            <a:defRPr sz="1000"/>
          </a:pPr>
          <a:r>
            <a:rPr lang="en-US" sz="1000" b="0" i="0" u="none" strike="noStrike" baseline="0">
              <a:solidFill>
                <a:srgbClr val="000000"/>
              </a:solidFill>
              <a:latin typeface="Arial"/>
              <a:cs typeface="Arial"/>
            </a:rPr>
            <a:t>                                                           (R2 + R3)</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Typical UVLO</a:t>
          </a:r>
          <a:r>
            <a:rPr lang="en-US" sz="800" b="0" i="0" u="none" strike="noStrike" baseline="0">
              <a:solidFill>
                <a:srgbClr val="000000"/>
              </a:solidFill>
              <a:latin typeface="Arial"/>
              <a:cs typeface="Arial"/>
            </a:rPr>
            <a:t>(lower)</a:t>
          </a:r>
          <a:r>
            <a:rPr lang="en-US" sz="1000" b="0" i="0" u="none" strike="noStrike" baseline="0">
              <a:solidFill>
                <a:srgbClr val="000000"/>
              </a:solidFill>
              <a:latin typeface="Arial"/>
              <a:cs typeface="Arial"/>
            </a:rPr>
            <a:t> = 1.35V x </a:t>
          </a:r>
          <a:r>
            <a:rPr lang="en-US" sz="1000" b="0" i="0" u="sng" strike="noStrike" baseline="0">
              <a:solidFill>
                <a:srgbClr val="000000"/>
              </a:solidFill>
              <a:latin typeface="Arial"/>
              <a:cs typeface="Arial"/>
            </a:rPr>
            <a:t> (R1 + R2 + R3) </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(R2 + R3)</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Typical OVLO</a:t>
          </a:r>
          <a:r>
            <a:rPr lang="en-US" sz="800" b="0" i="0" u="none" strike="noStrike" baseline="0">
              <a:solidFill>
                <a:srgbClr val="000000"/>
              </a:solidFill>
              <a:latin typeface="Arial"/>
              <a:cs typeface="Arial"/>
            </a:rPr>
            <a:t>(upper)</a:t>
          </a:r>
          <a:r>
            <a:rPr lang="en-US" sz="1000" b="0" i="0" u="none" strike="noStrike" baseline="0">
              <a:solidFill>
                <a:srgbClr val="000000"/>
              </a:solidFill>
              <a:latin typeface="Arial"/>
              <a:cs typeface="Arial"/>
            </a:rPr>
            <a:t> = </a:t>
          </a:r>
          <a:r>
            <a:rPr lang="en-US" sz="1000" b="0" i="0" u="sng" strike="noStrike" baseline="0">
              <a:solidFill>
                <a:srgbClr val="000000"/>
              </a:solidFill>
              <a:latin typeface="Arial"/>
              <a:cs typeface="Arial"/>
            </a:rPr>
            <a:t>  1.35V x (R1 + R2 + R3) </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R3</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Typical OVLO</a:t>
          </a:r>
          <a:r>
            <a:rPr lang="en-US" sz="800" b="0" i="0" u="none" strike="noStrike" baseline="0">
              <a:solidFill>
                <a:srgbClr val="000000"/>
              </a:solidFill>
              <a:latin typeface="Arial"/>
              <a:cs typeface="Arial"/>
            </a:rPr>
            <a:t>(lower)</a:t>
          </a:r>
          <a:r>
            <a:rPr lang="en-US" sz="1000" b="0" i="0" u="none" strike="noStrike" baseline="0">
              <a:solidFill>
                <a:srgbClr val="000000"/>
              </a:solidFill>
              <a:latin typeface="Arial"/>
              <a:cs typeface="Arial"/>
            </a:rPr>
            <a:t> = ((R1 + R2) x ((</a:t>
          </a:r>
          <a:r>
            <a:rPr lang="en-US" sz="1000" b="0" i="0" u="sng" strike="noStrike" baseline="0">
              <a:solidFill>
                <a:srgbClr val="000000"/>
              </a:solidFill>
              <a:latin typeface="Arial"/>
              <a:cs typeface="Arial"/>
            </a:rPr>
            <a:t> 1.16V)</a:t>
          </a:r>
          <a:r>
            <a:rPr lang="en-US" sz="1000" b="0" i="0" u="none" strike="noStrike" baseline="0">
              <a:solidFill>
                <a:srgbClr val="000000"/>
              </a:solidFill>
              <a:latin typeface="Arial"/>
              <a:cs typeface="Arial"/>
            </a:rPr>
            <a:t>  -  23uA)) + 1.35V</a:t>
          </a:r>
        </a:p>
        <a:p>
          <a:pPr algn="l" rtl="0">
            <a:defRPr sz="1000"/>
          </a:pPr>
          <a:r>
            <a:rPr lang="en-US" sz="1000" b="0" i="0" u="none" strike="noStrike" baseline="0">
              <a:solidFill>
                <a:srgbClr val="000000"/>
              </a:solidFill>
              <a:latin typeface="Arial"/>
              <a:cs typeface="Arial"/>
            </a:rPr>
            <a:t>                                                            R3</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6</xdr:col>
      <xdr:colOff>38100</xdr:colOff>
      <xdr:row>117</xdr:row>
      <xdr:rowOff>133350</xdr:rowOff>
    </xdr:from>
    <xdr:to>
      <xdr:col>9</xdr:col>
      <xdr:colOff>276225</xdr:colOff>
      <xdr:row>128</xdr:row>
      <xdr:rowOff>142875</xdr:rowOff>
    </xdr:to>
    <xdr:sp macro="" textlink="">
      <xdr:nvSpPr>
        <xdr:cNvPr id="3" name="Text Box 98">
          <a:extLst>
            <a:ext uri="{FF2B5EF4-FFF2-40B4-BE49-F238E27FC236}">
              <a16:creationId xmlns:a16="http://schemas.microsoft.com/office/drawing/2014/main" id="{00000000-0008-0000-0300-000003000000}"/>
            </a:ext>
          </a:extLst>
        </xdr:cNvPr>
        <xdr:cNvSpPr txBox="1">
          <a:spLocks noChangeArrowheads="1"/>
        </xdr:cNvSpPr>
      </xdr:nvSpPr>
      <xdr:spPr bwMode="auto">
        <a:xfrm>
          <a:off x="32308800" y="16125825"/>
          <a:ext cx="2838450" cy="1790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Rpwr = 1.71 x 10</a:t>
          </a:r>
          <a:r>
            <a:rPr lang="en-US" sz="1000" b="0" i="0" u="none" strike="noStrike" baseline="30000">
              <a:solidFill>
                <a:srgbClr val="000000"/>
              </a:solidFill>
              <a:latin typeface="Arial"/>
              <a:cs typeface="Arial"/>
            </a:rPr>
            <a:t>5</a:t>
          </a:r>
          <a:r>
            <a:rPr lang="en-US" sz="1000" b="0" i="0" u="none" strike="noStrike" baseline="0">
              <a:solidFill>
                <a:srgbClr val="000000"/>
              </a:solidFill>
              <a:latin typeface="Arial"/>
              <a:cs typeface="Arial"/>
            </a:rPr>
            <a:t> x Rs x P</a:t>
          </a:r>
          <a:r>
            <a:rPr lang="en-US" sz="1000" b="0" i="0" u="none" strike="noStrike" baseline="-25000">
              <a:solidFill>
                <a:srgbClr val="000000"/>
              </a:solidFill>
              <a:latin typeface="Arial"/>
              <a:cs typeface="Arial"/>
            </a:rPr>
            <a:t>FET</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t>
          </a:r>
          <a:r>
            <a:rPr lang="en-US" sz="1000" b="0" i="0" u="none" strike="noStrike" baseline="-25000">
              <a:solidFill>
                <a:srgbClr val="000000"/>
              </a:solidFill>
              <a:latin typeface="Arial"/>
              <a:cs typeface="Arial"/>
            </a:rPr>
            <a:t>FET(min)</a:t>
          </a:r>
          <a:r>
            <a:rPr lang="en-US" sz="1000" b="0" i="0" u="none" strike="noStrike" baseline="0">
              <a:solidFill>
                <a:srgbClr val="000000"/>
              </a:solidFill>
              <a:latin typeface="Arial"/>
              <a:cs typeface="Arial"/>
            </a:rPr>
            <a:t> =    </a:t>
          </a:r>
          <a:r>
            <a:rPr lang="en-US" sz="1000" b="0" i="0" u="sng" strike="noStrike" baseline="0">
              <a:solidFill>
                <a:srgbClr val="000000"/>
              </a:solidFill>
              <a:latin typeface="Arial"/>
              <a:cs typeface="Arial"/>
            </a:rPr>
            <a:t>  4.44 x 10</a:t>
          </a:r>
          <a:r>
            <a:rPr lang="en-US" sz="1000" b="0" i="0" u="sng" strike="noStrike" baseline="30000">
              <a:solidFill>
                <a:srgbClr val="000000"/>
              </a:solidFill>
              <a:latin typeface="Arial"/>
              <a:cs typeface="Arial"/>
            </a:rPr>
            <a:t>-6</a:t>
          </a:r>
          <a:r>
            <a:rPr lang="en-US" sz="1000" b="0" i="0" u="sng" strike="noStrike" baseline="0">
              <a:solidFill>
                <a:srgbClr val="000000"/>
              </a:solidFill>
              <a:latin typeface="Arial"/>
              <a:cs typeface="Arial"/>
            </a:rPr>
            <a:t> x Rpwr  </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Rs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t>
          </a:r>
          <a:r>
            <a:rPr lang="en-US" sz="1000" b="0" i="0" u="none" strike="noStrike" baseline="-25000">
              <a:solidFill>
                <a:srgbClr val="000000"/>
              </a:solidFill>
              <a:latin typeface="Arial"/>
              <a:cs typeface="Arial"/>
            </a:rPr>
            <a:t>FET(typ)</a:t>
          </a:r>
          <a:r>
            <a:rPr lang="en-US" sz="1000" b="0" i="0" u="none" strike="noStrike" baseline="0">
              <a:solidFill>
                <a:srgbClr val="000000"/>
              </a:solidFill>
              <a:latin typeface="Arial"/>
              <a:cs typeface="Arial"/>
            </a:rPr>
            <a:t> =   </a:t>
          </a:r>
          <a:r>
            <a:rPr lang="en-US" sz="1000" b="0" i="0" u="sng" strike="noStrike" baseline="0">
              <a:solidFill>
                <a:srgbClr val="000000"/>
              </a:solidFill>
              <a:latin typeface="Arial"/>
              <a:cs typeface="Arial"/>
            </a:rPr>
            <a:t>   5.85 x 10</a:t>
          </a:r>
          <a:r>
            <a:rPr lang="en-US" sz="1000" b="0" i="0" u="sng" strike="noStrike" baseline="30000">
              <a:solidFill>
                <a:srgbClr val="000000"/>
              </a:solidFill>
              <a:latin typeface="Arial"/>
              <a:cs typeface="Arial"/>
            </a:rPr>
            <a:t>-6</a:t>
          </a:r>
          <a:r>
            <a:rPr lang="en-US" sz="1000" b="0" i="0" u="sng" strike="noStrike" baseline="0">
              <a:solidFill>
                <a:srgbClr val="000000"/>
              </a:solidFill>
              <a:latin typeface="Arial"/>
              <a:cs typeface="Arial"/>
            </a:rPr>
            <a:t> x Rpwr  </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Rs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t>
          </a:r>
          <a:r>
            <a:rPr lang="en-US" sz="1000" b="0" i="0" u="none" strike="noStrike" baseline="-25000">
              <a:solidFill>
                <a:srgbClr val="000000"/>
              </a:solidFill>
              <a:latin typeface="Arial"/>
              <a:cs typeface="Arial"/>
            </a:rPr>
            <a:t>FET(max)</a:t>
          </a:r>
          <a:r>
            <a:rPr lang="en-US" sz="1000" b="0" i="0" u="none" strike="noStrike" baseline="0">
              <a:solidFill>
                <a:srgbClr val="000000"/>
              </a:solidFill>
              <a:latin typeface="Arial"/>
              <a:cs typeface="Arial"/>
            </a:rPr>
            <a:t> =   </a:t>
          </a:r>
          <a:r>
            <a:rPr lang="en-US" sz="1000" b="0" i="0" u="sng" strike="noStrike" baseline="0">
              <a:solidFill>
                <a:srgbClr val="000000"/>
              </a:solidFill>
              <a:latin typeface="Arial"/>
              <a:cs typeface="Arial"/>
            </a:rPr>
            <a:t>   7.25 x 10</a:t>
          </a:r>
          <a:r>
            <a:rPr lang="en-US" sz="1000" b="0" i="0" u="sng" strike="noStrike" baseline="30000">
              <a:solidFill>
                <a:srgbClr val="000000"/>
              </a:solidFill>
              <a:latin typeface="Arial"/>
              <a:cs typeface="Arial"/>
            </a:rPr>
            <a:t>-6</a:t>
          </a:r>
          <a:r>
            <a:rPr lang="en-US" sz="1000" b="0" i="0" u="sng" strike="noStrike" baseline="0">
              <a:solidFill>
                <a:srgbClr val="000000"/>
              </a:solidFill>
              <a:latin typeface="Arial"/>
              <a:cs typeface="Arial"/>
            </a:rPr>
            <a:t> x Rpwr  </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Rs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563880</xdr:colOff>
      <xdr:row>24</xdr:row>
      <xdr:rowOff>87630</xdr:rowOff>
    </xdr:from>
    <xdr:to>
      <xdr:col>27</xdr:col>
      <xdr:colOff>388620</xdr:colOff>
      <xdr:row>44</xdr:row>
      <xdr:rowOff>137160</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142875</xdr:colOff>
      <xdr:row>23</xdr:row>
      <xdr:rowOff>95250</xdr:rowOff>
    </xdr:from>
    <xdr:to>
      <xdr:col>25</xdr:col>
      <xdr:colOff>474902</xdr:colOff>
      <xdr:row>49</xdr:row>
      <xdr:rowOff>122460</xdr:rowOff>
    </xdr:to>
    <xdr:pic>
      <xdr:nvPicPr>
        <xdr:cNvPr id="2" name="Picture 219">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906375" y="3819525"/>
          <a:ext cx="6428027" cy="4446810"/>
        </a:xfrm>
        <a:prstGeom prst="rect">
          <a:avLst/>
        </a:prstGeom>
        <a:noFill/>
        <a:ln w="1">
          <a:noFill/>
          <a:miter lim="800000"/>
          <a:headEnd/>
          <a:tailEnd type="none" w="med" len="med"/>
        </a:ln>
        <a:effectLst/>
      </xdr:spPr>
    </xdr:pic>
    <xdr:clientData/>
  </xdr:twoCellAnchor>
  <xdr:twoCellAnchor>
    <xdr:from>
      <xdr:col>15</xdr:col>
      <xdr:colOff>304800</xdr:colOff>
      <xdr:row>2</xdr:row>
      <xdr:rowOff>85725</xdr:rowOff>
    </xdr:from>
    <xdr:to>
      <xdr:col>23</xdr:col>
      <xdr:colOff>0</xdr:colOff>
      <xdr:row>21</xdr:row>
      <xdr:rowOff>76200</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s08.itg.ti.com/Users/a0872642/Desktop/Excell%20Tools/TPS24720_design_calc_1_14_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s08.itg.ti.com/Users/a0872642/Desktop/Excell%20Tools/TPS24720_design_calc_1_14_14_7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LIM_SOA_considerations"/>
      <sheetName val="Worksheet"/>
      <sheetName val="SOA"/>
      <sheetName val="Device Parmaters"/>
    </sheetNames>
    <sheetDataSet>
      <sheetData sheetId="0"/>
      <sheetData sheetId="1">
        <row r="9">
          <cell r="C9">
            <v>0.5</v>
          </cell>
        </row>
        <row r="15">
          <cell r="C15">
            <v>50</v>
          </cell>
        </row>
        <row r="23">
          <cell r="C23">
            <v>12.6</v>
          </cell>
        </row>
        <row r="25">
          <cell r="C25">
            <v>42</v>
          </cell>
        </row>
        <row r="30">
          <cell r="C30">
            <v>1</v>
          </cell>
        </row>
        <row r="40">
          <cell r="C40">
            <v>45</v>
          </cell>
        </row>
        <row r="45">
          <cell r="C45">
            <v>13.214879379662346</v>
          </cell>
        </row>
        <row r="46">
          <cell r="C46">
            <v>1.2333333333333334</v>
          </cell>
        </row>
        <row r="47">
          <cell r="C47">
            <v>14.44821271299568</v>
          </cell>
        </row>
        <row r="52">
          <cell r="C52">
            <v>61.344890223835883</v>
          </cell>
        </row>
        <row r="61">
          <cell r="C61">
            <v>1650</v>
          </cell>
        </row>
        <row r="67">
          <cell r="C67">
            <v>2.2000000000000001E-7</v>
          </cell>
        </row>
      </sheetData>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LIM_SOA_considerations"/>
      <sheetName val="Worksheet"/>
      <sheetName val="SOA"/>
    </sheetNames>
    <sheetDataSet>
      <sheetData sheetId="0"/>
      <sheetData sheetId="1">
        <row r="9">
          <cell r="C9">
            <v>0.5</v>
          </cell>
        </row>
        <row r="15">
          <cell r="C15">
            <v>50</v>
          </cell>
        </row>
        <row r="23">
          <cell r="C23">
            <v>12.6</v>
          </cell>
        </row>
        <row r="25">
          <cell r="C25">
            <v>42</v>
          </cell>
        </row>
        <row r="30">
          <cell r="C30">
            <v>1</v>
          </cell>
        </row>
        <row r="40">
          <cell r="C40">
            <v>45</v>
          </cell>
        </row>
        <row r="45">
          <cell r="C45">
            <v>13.214879379662346</v>
          </cell>
        </row>
        <row r="46">
          <cell r="C46">
            <v>0.74</v>
          </cell>
        </row>
        <row r="47">
          <cell r="C47">
            <v>13.954879379662346</v>
          </cell>
        </row>
        <row r="52">
          <cell r="C52">
            <v>62.580553546791855</v>
          </cell>
        </row>
        <row r="61">
          <cell r="C61">
            <v>1650</v>
          </cell>
        </row>
        <row r="67">
          <cell r="C67">
            <v>2.2000000000000001E-7</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ti.com/lit/pdf/slva673"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raining.ti.com/node/1133681" TargetMode="External"/><Relationship Id="rId13" Type="http://schemas.openxmlformats.org/officeDocument/2006/relationships/hyperlink" Target="https://training.ti.com/node/1133677" TargetMode="External"/><Relationship Id="rId18" Type="http://schemas.openxmlformats.org/officeDocument/2006/relationships/drawing" Target="../drawings/drawing2.xml"/><Relationship Id="rId3" Type="http://schemas.openxmlformats.org/officeDocument/2006/relationships/hyperlink" Target="http://www.ti.com/product/TPS24720" TargetMode="External"/><Relationship Id="rId7" Type="http://schemas.openxmlformats.org/officeDocument/2006/relationships/hyperlink" Target="https://training.ti.com/node/1133664" TargetMode="External"/><Relationship Id="rId12" Type="http://schemas.openxmlformats.org/officeDocument/2006/relationships/hyperlink" Target="http://www.ti.com/general/docs/video/watch.tsp?entryid=4607940999001" TargetMode="External"/><Relationship Id="rId17" Type="http://schemas.openxmlformats.org/officeDocument/2006/relationships/printerSettings" Target="../printerSettings/printerSettings1.bin"/><Relationship Id="rId2" Type="http://schemas.openxmlformats.org/officeDocument/2006/relationships/hyperlink" Target="http://e2e.ti.com/" TargetMode="External"/><Relationship Id="rId16" Type="http://schemas.openxmlformats.org/officeDocument/2006/relationships/hyperlink" Target="https://training.ti.com/node/1133681" TargetMode="External"/><Relationship Id="rId20" Type="http://schemas.openxmlformats.org/officeDocument/2006/relationships/comments" Target="../comments1.xml"/><Relationship Id="rId1" Type="http://schemas.openxmlformats.org/officeDocument/2006/relationships/hyperlink" Target="http://www.ti.com/hotswap" TargetMode="External"/><Relationship Id="rId6" Type="http://schemas.openxmlformats.org/officeDocument/2006/relationships/hyperlink" Target="https://training.ti.com/node/1133673" TargetMode="External"/><Relationship Id="rId11" Type="http://schemas.openxmlformats.org/officeDocument/2006/relationships/hyperlink" Target="http://www.ti.com/general/docs/video/watch.tsp?entryid=4609077027001" TargetMode="External"/><Relationship Id="rId5" Type="http://schemas.openxmlformats.org/officeDocument/2006/relationships/hyperlink" Target="https://training.ti.com/node/1133677" TargetMode="External"/><Relationship Id="rId15" Type="http://schemas.openxmlformats.org/officeDocument/2006/relationships/hyperlink" Target="https://training.ti.com/node/1133664" TargetMode="External"/><Relationship Id="rId10" Type="http://schemas.openxmlformats.org/officeDocument/2006/relationships/hyperlink" Target="http://www.ti.com/general/docs/video/watch.tsp?entryid=4609077122001" TargetMode="External"/><Relationship Id="rId19" Type="http://schemas.openxmlformats.org/officeDocument/2006/relationships/vmlDrawing" Target="../drawings/vmlDrawing1.vml"/><Relationship Id="rId4" Type="http://schemas.openxmlformats.org/officeDocument/2006/relationships/hyperlink" Target="https://training.ti.com/node/1133677" TargetMode="External"/><Relationship Id="rId9" Type="http://schemas.openxmlformats.org/officeDocument/2006/relationships/hyperlink" Target="http://www.ti.com/general/docs/video/watch.tsp?entryid=4609733745001" TargetMode="External"/><Relationship Id="rId14" Type="http://schemas.openxmlformats.org/officeDocument/2006/relationships/hyperlink" Target="https://training.ti.com/node/113367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203"/>
  <sheetViews>
    <sheetView workbookViewId="0">
      <selection activeCell="B12" sqref="B12"/>
    </sheetView>
  </sheetViews>
  <sheetFormatPr defaultRowHeight="12.5" x14ac:dyDescent="0.25"/>
  <cols>
    <col min="1" max="1" width="4.54296875" customWidth="1"/>
    <col min="2" max="2" width="10.1796875" bestFit="1" customWidth="1"/>
    <col min="7" max="7" width="9.54296875" customWidth="1"/>
  </cols>
  <sheetData>
    <row r="1" spans="1:36" x14ac:dyDescent="0.25">
      <c r="A1" s="273"/>
      <c r="B1" s="274"/>
      <c r="C1" s="274"/>
      <c r="D1" s="274"/>
      <c r="E1" s="274"/>
      <c r="F1" s="274"/>
      <c r="G1" s="274"/>
      <c r="H1" s="274"/>
      <c r="I1" s="274"/>
      <c r="J1" s="274"/>
      <c r="K1" s="274"/>
      <c r="L1" s="274"/>
      <c r="M1" s="274"/>
      <c r="N1" s="274"/>
      <c r="O1" s="274"/>
      <c r="P1" s="275"/>
      <c r="Q1" s="29"/>
      <c r="R1" s="29"/>
      <c r="S1" s="29"/>
      <c r="T1" s="14"/>
      <c r="U1" s="14"/>
      <c r="V1" s="14"/>
      <c r="W1" s="14"/>
      <c r="X1" s="14"/>
      <c r="Y1" s="14"/>
      <c r="Z1" s="14"/>
      <c r="AA1" s="14"/>
      <c r="AB1" s="14"/>
      <c r="AC1" s="14"/>
      <c r="AD1" s="14"/>
      <c r="AE1" s="14"/>
      <c r="AF1" s="14"/>
      <c r="AG1" s="14"/>
      <c r="AH1" s="14"/>
      <c r="AI1" s="14"/>
      <c r="AJ1" s="14"/>
    </row>
    <row r="2" spans="1:36" ht="18" x14ac:dyDescent="0.4">
      <c r="A2" s="273"/>
      <c r="B2" s="276"/>
      <c r="C2" s="274"/>
      <c r="D2" s="274"/>
      <c r="E2" s="274"/>
      <c r="F2" s="274"/>
      <c r="G2" s="274"/>
      <c r="H2" s="274"/>
      <c r="I2" s="277"/>
      <c r="J2" s="274"/>
      <c r="K2" s="274"/>
      <c r="L2" s="274"/>
      <c r="M2" s="274"/>
      <c r="N2" s="274"/>
      <c r="O2" s="274"/>
      <c r="P2" s="275"/>
      <c r="Q2" s="29"/>
      <c r="R2" s="29"/>
      <c r="S2" s="29"/>
      <c r="T2" s="14"/>
      <c r="U2" s="14"/>
      <c r="V2" s="14"/>
      <c r="W2" s="14"/>
      <c r="X2" s="14"/>
      <c r="Y2" s="14"/>
      <c r="Z2" s="14"/>
      <c r="AA2" s="14"/>
      <c r="AB2" s="14"/>
      <c r="AC2" s="14"/>
      <c r="AD2" s="14"/>
      <c r="AE2" s="14"/>
      <c r="AF2" s="14"/>
      <c r="AG2" s="14"/>
      <c r="AH2" s="14"/>
      <c r="AI2" s="14"/>
      <c r="AJ2" s="14"/>
    </row>
    <row r="3" spans="1:36" ht="18" x14ac:dyDescent="0.4">
      <c r="A3" s="273"/>
      <c r="B3" s="276"/>
      <c r="C3" s="274"/>
      <c r="D3" s="274"/>
      <c r="E3" s="274"/>
      <c r="F3" s="274"/>
      <c r="G3" s="274"/>
      <c r="H3" s="274"/>
      <c r="I3" s="274"/>
      <c r="J3" s="274"/>
      <c r="K3" s="274"/>
      <c r="L3" s="274"/>
      <c r="M3" s="274"/>
      <c r="N3" s="274"/>
      <c r="O3" s="274"/>
      <c r="P3" s="275"/>
      <c r="Q3" s="29"/>
      <c r="R3" s="29"/>
      <c r="S3" s="29"/>
      <c r="T3" s="14"/>
      <c r="U3" s="14"/>
      <c r="V3" s="14"/>
      <c r="W3" s="14"/>
      <c r="X3" s="14"/>
      <c r="Y3" s="14"/>
      <c r="Z3" s="14"/>
      <c r="AA3" s="14"/>
      <c r="AB3" s="14"/>
      <c r="AC3" s="14"/>
      <c r="AD3" s="14"/>
      <c r="AE3" s="14"/>
      <c r="AF3" s="14"/>
      <c r="AG3" s="14"/>
      <c r="AH3" s="14"/>
      <c r="AI3" s="14"/>
      <c r="AJ3" s="14"/>
    </row>
    <row r="4" spans="1:36" x14ac:dyDescent="0.25">
      <c r="A4" s="273"/>
      <c r="B4" s="274"/>
      <c r="C4" s="274"/>
      <c r="D4" s="274"/>
      <c r="E4" s="274"/>
      <c r="F4" s="274"/>
      <c r="G4" s="274"/>
      <c r="H4" s="274"/>
      <c r="I4" s="274"/>
      <c r="J4" s="274"/>
      <c r="K4" s="274"/>
      <c r="L4" s="274"/>
      <c r="M4" s="274"/>
      <c r="N4" s="274"/>
      <c r="O4" s="274"/>
      <c r="P4" s="275"/>
      <c r="Q4" s="29"/>
      <c r="R4" s="29"/>
      <c r="S4" s="29"/>
      <c r="T4" s="14"/>
      <c r="U4" s="14"/>
      <c r="V4" s="14"/>
      <c r="W4" s="14"/>
      <c r="X4" s="14"/>
      <c r="Y4" s="14"/>
      <c r="Z4" s="14"/>
      <c r="AA4" s="14"/>
      <c r="AB4" s="14"/>
      <c r="AC4" s="14"/>
      <c r="AD4" s="14"/>
      <c r="AE4" s="14"/>
      <c r="AF4" s="14"/>
      <c r="AG4" s="14"/>
      <c r="AH4" s="14"/>
      <c r="AI4" s="14"/>
      <c r="AJ4" s="14"/>
    </row>
    <row r="5" spans="1:36" ht="12.75" customHeight="1" x14ac:dyDescent="0.25">
      <c r="A5" s="273"/>
      <c r="B5" s="274"/>
      <c r="C5" s="274"/>
      <c r="D5" s="274"/>
      <c r="E5" s="274"/>
      <c r="F5" s="274"/>
      <c r="G5" s="274"/>
      <c r="H5" s="274"/>
      <c r="I5" s="274"/>
      <c r="J5" s="274"/>
      <c r="K5" s="274"/>
      <c r="L5" s="274"/>
      <c r="M5" s="274"/>
      <c r="N5" s="274"/>
      <c r="O5" s="274"/>
      <c r="P5" s="275"/>
      <c r="Q5" s="29"/>
      <c r="R5" s="29"/>
      <c r="S5" s="29"/>
      <c r="T5" s="14"/>
      <c r="U5" s="14"/>
      <c r="V5" s="14"/>
      <c r="W5" s="14"/>
      <c r="X5" s="14"/>
      <c r="Y5" s="14"/>
      <c r="Z5" s="14"/>
      <c r="AA5" s="14"/>
      <c r="AB5" s="14"/>
      <c r="AC5" s="14"/>
      <c r="AD5" s="14"/>
      <c r="AE5" s="14"/>
      <c r="AF5" s="14"/>
      <c r="AG5" s="14"/>
      <c r="AH5" s="14"/>
      <c r="AI5" s="14"/>
      <c r="AJ5" s="14"/>
    </row>
    <row r="6" spans="1:36" ht="12.75" customHeight="1" x14ac:dyDescent="0.3">
      <c r="A6" s="273"/>
      <c r="B6" s="278"/>
      <c r="C6" s="274"/>
      <c r="D6" s="274"/>
      <c r="E6" s="274"/>
      <c r="F6" s="274"/>
      <c r="G6" s="274"/>
      <c r="H6" s="274"/>
      <c r="I6" s="274"/>
      <c r="J6" s="274"/>
      <c r="K6" s="274"/>
      <c r="L6" s="274"/>
      <c r="M6" s="274"/>
      <c r="N6" s="274"/>
      <c r="O6" s="274"/>
      <c r="P6" s="275"/>
      <c r="Q6" s="29"/>
      <c r="R6" s="29"/>
      <c r="S6" s="29"/>
      <c r="T6" s="14"/>
      <c r="U6" s="14"/>
      <c r="V6" s="14"/>
      <c r="W6" s="14"/>
      <c r="X6" s="14"/>
      <c r="Y6" s="14"/>
      <c r="Z6" s="14"/>
      <c r="AA6" s="14"/>
      <c r="AB6" s="14"/>
      <c r="AC6" s="14"/>
      <c r="AD6" s="14"/>
      <c r="AE6" s="14"/>
      <c r="AF6" s="14"/>
      <c r="AG6" s="14"/>
      <c r="AH6" s="14"/>
      <c r="AI6" s="14"/>
      <c r="AJ6" s="14"/>
    </row>
    <row r="7" spans="1:36" ht="12.75" customHeight="1" x14ac:dyDescent="0.25">
      <c r="A7" s="273"/>
      <c r="B7" s="274"/>
      <c r="C7" s="274"/>
      <c r="D7" s="274"/>
      <c r="E7" s="274"/>
      <c r="F7" s="274"/>
      <c r="G7" s="274"/>
      <c r="H7" s="274"/>
      <c r="I7" s="274"/>
      <c r="J7" s="274"/>
      <c r="K7" s="274"/>
      <c r="L7" s="274"/>
      <c r="M7" s="274"/>
      <c r="N7" s="274"/>
      <c r="O7" s="274"/>
      <c r="P7" s="275"/>
      <c r="Q7" s="29"/>
      <c r="R7" s="29"/>
      <c r="S7" s="29"/>
      <c r="T7" s="14"/>
      <c r="U7" s="14"/>
      <c r="V7" s="14"/>
      <c r="W7" s="14"/>
      <c r="X7" s="14"/>
      <c r="Y7" s="14"/>
      <c r="Z7" s="14"/>
      <c r="AA7" s="14"/>
      <c r="AB7" s="14"/>
      <c r="AC7" s="14"/>
      <c r="AD7" s="14"/>
      <c r="AE7" s="14"/>
      <c r="AF7" s="14"/>
      <c r="AG7" s="14"/>
      <c r="AH7" s="14"/>
      <c r="AI7" s="14"/>
      <c r="AJ7" s="14"/>
    </row>
    <row r="8" spans="1:36" ht="12.75" customHeight="1" x14ac:dyDescent="0.25">
      <c r="A8" s="273"/>
      <c r="B8" s="274"/>
      <c r="C8" s="274"/>
      <c r="D8" s="274"/>
      <c r="E8" s="274"/>
      <c r="F8" s="274"/>
      <c r="G8" s="274"/>
      <c r="H8" s="274"/>
      <c r="I8" s="274"/>
      <c r="J8" s="274"/>
      <c r="K8" s="274"/>
      <c r="L8" s="274"/>
      <c r="M8" s="274"/>
      <c r="N8" s="274"/>
      <c r="O8" s="274"/>
      <c r="P8" s="275"/>
      <c r="Q8" s="29"/>
      <c r="R8" s="29"/>
      <c r="S8" s="29"/>
      <c r="T8" s="14"/>
      <c r="U8" s="14"/>
      <c r="V8" s="14"/>
      <c r="W8" s="14"/>
      <c r="X8" s="14"/>
      <c r="Y8" s="14"/>
      <c r="Z8" s="14"/>
      <c r="AA8" s="14"/>
      <c r="AB8" s="14"/>
      <c r="AC8" s="14"/>
      <c r="AD8" s="14"/>
      <c r="AE8" s="14"/>
      <c r="AF8" s="14"/>
      <c r="AG8" s="14"/>
      <c r="AH8" s="14"/>
      <c r="AI8" s="14"/>
      <c r="AJ8" s="14"/>
    </row>
    <row r="9" spans="1:36" ht="12.75" customHeight="1" x14ac:dyDescent="0.3">
      <c r="A9" s="273"/>
      <c r="B9" s="278"/>
      <c r="C9" s="274"/>
      <c r="D9" s="274"/>
      <c r="E9" s="274"/>
      <c r="F9" s="274"/>
      <c r="G9" s="274"/>
      <c r="H9" s="274"/>
      <c r="I9" s="274"/>
      <c r="J9" s="274"/>
      <c r="K9" s="274"/>
      <c r="L9" s="274"/>
      <c r="M9" s="274"/>
      <c r="N9" s="274"/>
      <c r="O9" s="274"/>
      <c r="P9" s="275"/>
      <c r="Q9" s="29"/>
      <c r="R9" s="29"/>
      <c r="S9" s="29"/>
      <c r="T9" s="14"/>
      <c r="U9" s="14"/>
      <c r="V9" s="14"/>
      <c r="W9" s="14"/>
      <c r="X9" s="14"/>
      <c r="Y9" s="14"/>
      <c r="Z9" s="14"/>
      <c r="AA9" s="14"/>
      <c r="AB9" s="14"/>
      <c r="AC9" s="14"/>
      <c r="AD9" s="14"/>
      <c r="AE9" s="14"/>
      <c r="AF9" s="14"/>
      <c r="AG9" s="14"/>
      <c r="AH9" s="14"/>
      <c r="AI9" s="14"/>
      <c r="AJ9" s="14"/>
    </row>
    <row r="10" spans="1:36" ht="15.75" customHeight="1" x14ac:dyDescent="0.35">
      <c r="A10" s="273"/>
      <c r="B10" s="278"/>
      <c r="C10" s="274"/>
      <c r="D10" s="274"/>
      <c r="E10" s="274"/>
      <c r="F10" s="274"/>
      <c r="G10" s="274"/>
      <c r="H10" s="274"/>
      <c r="I10" s="274"/>
      <c r="J10" s="274"/>
      <c r="K10" s="274"/>
      <c r="L10" s="274"/>
      <c r="M10" s="274"/>
      <c r="N10" s="274"/>
      <c r="O10" s="279" t="s">
        <v>397</v>
      </c>
      <c r="P10" s="275"/>
      <c r="Q10" s="29"/>
      <c r="R10" s="29"/>
      <c r="S10" s="29"/>
      <c r="T10" s="14"/>
      <c r="U10" s="14"/>
      <c r="V10" s="14"/>
      <c r="W10" s="14"/>
      <c r="X10" s="14"/>
      <c r="Y10" s="14"/>
      <c r="Z10" s="14"/>
      <c r="AA10" s="14"/>
      <c r="AB10" s="14"/>
      <c r="AC10" s="14"/>
      <c r="AD10" s="14"/>
      <c r="AE10" s="14"/>
      <c r="AF10" s="14"/>
      <c r="AG10" s="14"/>
      <c r="AH10" s="14"/>
      <c r="AI10" s="14"/>
      <c r="AJ10" s="14"/>
    </row>
    <row r="11" spans="1:36" ht="27.75" customHeight="1" x14ac:dyDescent="0.6">
      <c r="A11" s="273"/>
      <c r="B11" s="280" t="s">
        <v>429</v>
      </c>
      <c r="C11" s="274"/>
      <c r="D11" s="274"/>
      <c r="E11" s="274"/>
      <c r="F11" s="274"/>
      <c r="G11" s="274"/>
      <c r="H11" s="274"/>
      <c r="I11" s="274"/>
      <c r="J11" s="274"/>
      <c r="K11" s="274"/>
      <c r="L11" s="274"/>
      <c r="M11" s="274"/>
      <c r="N11" s="274"/>
      <c r="O11" s="274"/>
      <c r="P11" s="275"/>
      <c r="Q11" s="29"/>
      <c r="R11" s="29"/>
      <c r="S11" s="29"/>
      <c r="T11" s="14"/>
      <c r="U11" s="14"/>
      <c r="V11" s="14"/>
      <c r="W11" s="14"/>
      <c r="X11" s="14"/>
      <c r="Y11" s="14"/>
      <c r="Z11" s="14"/>
      <c r="AA11" s="14"/>
      <c r="AB11" s="14"/>
      <c r="AC11" s="14"/>
      <c r="AD11" s="14"/>
      <c r="AE11" s="14"/>
      <c r="AF11" s="14"/>
      <c r="AG11" s="14"/>
      <c r="AH11" s="14"/>
      <c r="AI11" s="14"/>
      <c r="AJ11" s="14"/>
    </row>
    <row r="12" spans="1:36" ht="12.75" customHeight="1" x14ac:dyDescent="0.3">
      <c r="A12" s="273"/>
      <c r="B12" s="278"/>
      <c r="C12" s="274"/>
      <c r="D12" s="274"/>
      <c r="E12" s="274"/>
      <c r="F12" s="274"/>
      <c r="G12" s="274"/>
      <c r="H12" s="274"/>
      <c r="I12" s="274"/>
      <c r="J12" s="274"/>
      <c r="K12" s="274"/>
      <c r="L12" s="274"/>
      <c r="M12" s="274"/>
      <c r="N12" s="274"/>
      <c r="O12" s="274"/>
      <c r="P12" s="275"/>
      <c r="Q12" s="29"/>
      <c r="R12" s="29"/>
      <c r="S12" s="29"/>
      <c r="T12" s="14"/>
      <c r="U12" s="14"/>
      <c r="V12" s="14"/>
      <c r="W12" s="14"/>
      <c r="X12" s="14"/>
      <c r="Y12" s="14"/>
      <c r="Z12" s="14"/>
      <c r="AA12" s="14"/>
      <c r="AB12" s="14"/>
      <c r="AC12" s="14"/>
      <c r="AD12" s="14"/>
      <c r="AE12" s="14"/>
      <c r="AF12" s="14"/>
      <c r="AG12" s="14"/>
      <c r="AH12" s="14"/>
      <c r="AI12" s="14"/>
      <c r="AJ12" s="14"/>
    </row>
    <row r="13" spans="1:36" ht="21" customHeight="1" x14ac:dyDescent="0.4">
      <c r="A13" s="273"/>
      <c r="B13" s="309" t="s">
        <v>412</v>
      </c>
      <c r="C13" s="310"/>
      <c r="D13" s="310"/>
      <c r="E13" s="310"/>
      <c r="F13" s="308"/>
      <c r="G13" s="308"/>
      <c r="H13" s="308"/>
      <c r="I13" s="308"/>
      <c r="J13" s="308"/>
      <c r="K13" s="308"/>
      <c r="L13" s="308"/>
      <c r="M13" s="308"/>
      <c r="N13" s="274"/>
      <c r="O13" s="274"/>
      <c r="P13" s="275"/>
      <c r="Q13" s="29"/>
      <c r="R13" s="29"/>
      <c r="S13" s="29"/>
      <c r="T13" s="14"/>
      <c r="U13" s="14"/>
      <c r="V13" s="14"/>
      <c r="W13" s="14"/>
      <c r="X13" s="14"/>
      <c r="Y13" s="14"/>
      <c r="Z13" s="14"/>
      <c r="AA13" s="14"/>
      <c r="AB13" s="14"/>
      <c r="AC13" s="14"/>
      <c r="AD13" s="14"/>
      <c r="AE13" s="14"/>
      <c r="AF13" s="14"/>
      <c r="AG13" s="14"/>
      <c r="AH13" s="14"/>
      <c r="AI13" s="14"/>
      <c r="AJ13" s="14"/>
    </row>
    <row r="14" spans="1:36" ht="12.75" customHeight="1" x14ac:dyDescent="0.3">
      <c r="A14" s="273"/>
      <c r="B14" s="311" t="s">
        <v>413</v>
      </c>
      <c r="C14" s="312"/>
      <c r="D14" s="312"/>
      <c r="E14" s="312"/>
      <c r="F14" s="308"/>
      <c r="G14" s="308"/>
      <c r="H14" s="308"/>
      <c r="I14" s="308"/>
      <c r="J14" s="308"/>
      <c r="K14" s="308"/>
      <c r="L14" s="308"/>
      <c r="M14" s="308"/>
      <c r="N14" s="274"/>
      <c r="O14" s="274"/>
      <c r="P14" s="275"/>
      <c r="Q14" s="29"/>
      <c r="R14" s="29"/>
      <c r="S14" s="29"/>
      <c r="T14" s="14"/>
      <c r="U14" s="14"/>
      <c r="V14" s="14"/>
      <c r="W14" s="14"/>
      <c r="X14" s="14"/>
      <c r="Y14" s="14"/>
      <c r="Z14" s="14"/>
      <c r="AA14" s="14"/>
      <c r="AB14" s="14"/>
      <c r="AC14" s="14"/>
      <c r="AD14" s="14"/>
      <c r="AE14" s="14"/>
      <c r="AF14" s="14"/>
      <c r="AG14" s="14"/>
      <c r="AH14" s="14"/>
      <c r="AI14" s="14"/>
      <c r="AJ14" s="14"/>
    </row>
    <row r="15" spans="1:36" ht="12.75" customHeight="1" x14ac:dyDescent="0.3">
      <c r="A15" s="273"/>
      <c r="B15" s="311" t="s">
        <v>414</v>
      </c>
      <c r="C15" s="312"/>
      <c r="D15" s="312"/>
      <c r="E15" s="312"/>
      <c r="F15" s="308"/>
      <c r="G15" s="308"/>
      <c r="H15" s="308"/>
      <c r="I15" s="308"/>
      <c r="J15" s="308"/>
      <c r="K15" s="308"/>
      <c r="L15" s="308"/>
      <c r="M15" s="308"/>
      <c r="N15" s="274"/>
      <c r="O15" s="274"/>
      <c r="P15" s="275"/>
      <c r="Q15" s="29"/>
      <c r="R15" s="29"/>
      <c r="S15" s="29"/>
      <c r="T15" s="14"/>
      <c r="U15" s="14"/>
      <c r="V15" s="14"/>
      <c r="W15" s="14"/>
      <c r="X15" s="14"/>
      <c r="Y15" s="14"/>
      <c r="Z15" s="14"/>
      <c r="AA15" s="14"/>
      <c r="AB15" s="14"/>
      <c r="AC15" s="14"/>
      <c r="AD15" s="14"/>
      <c r="AE15" s="14"/>
      <c r="AF15" s="14"/>
      <c r="AG15" s="14"/>
      <c r="AH15" s="14"/>
      <c r="AI15" s="14"/>
      <c r="AJ15" s="14"/>
    </row>
    <row r="16" spans="1:36" ht="12.75" customHeight="1" x14ac:dyDescent="0.3">
      <c r="A16" s="273"/>
      <c r="B16" s="311"/>
      <c r="C16" s="312"/>
      <c r="D16" s="312"/>
      <c r="E16" s="312"/>
      <c r="F16" s="308"/>
      <c r="G16" s="308"/>
      <c r="H16" s="308"/>
      <c r="I16" s="308"/>
      <c r="J16" s="308"/>
      <c r="K16" s="308"/>
      <c r="L16" s="308"/>
      <c r="M16" s="308"/>
      <c r="N16" s="274"/>
      <c r="O16" s="274"/>
      <c r="P16" s="275"/>
      <c r="Q16" s="29"/>
      <c r="R16" s="29"/>
      <c r="S16" s="29"/>
      <c r="T16" s="14"/>
      <c r="U16" s="14"/>
      <c r="V16" s="14"/>
      <c r="W16" s="14"/>
      <c r="X16" s="14"/>
      <c r="Y16" s="14"/>
      <c r="Z16" s="14"/>
      <c r="AA16" s="14"/>
      <c r="AB16" s="14"/>
      <c r="AC16" s="14"/>
      <c r="AD16" s="14"/>
      <c r="AE16" s="14"/>
      <c r="AF16" s="14"/>
      <c r="AG16" s="14"/>
      <c r="AH16" s="14"/>
      <c r="AI16" s="14"/>
      <c r="AJ16" s="14"/>
    </row>
    <row r="17" spans="1:36" ht="12.75" customHeight="1" x14ac:dyDescent="0.25">
      <c r="A17" s="273"/>
      <c r="B17" s="355" t="s">
        <v>415</v>
      </c>
      <c r="C17" s="355"/>
      <c r="D17" s="355"/>
      <c r="E17" s="310"/>
      <c r="F17" s="308"/>
      <c r="G17" s="308"/>
      <c r="H17" s="308"/>
      <c r="I17" s="308"/>
      <c r="J17" s="308"/>
      <c r="K17" s="308"/>
      <c r="L17" s="308"/>
      <c r="M17" s="308"/>
      <c r="N17" s="274"/>
      <c r="O17" s="274"/>
      <c r="P17" s="275"/>
      <c r="Q17" s="29"/>
      <c r="R17" s="29"/>
      <c r="S17" s="29"/>
      <c r="T17" s="14"/>
      <c r="U17" s="14"/>
      <c r="V17" s="14"/>
      <c r="W17" s="14"/>
      <c r="X17" s="14"/>
      <c r="Y17" s="14"/>
      <c r="Z17" s="14"/>
      <c r="AA17" s="14"/>
      <c r="AB17" s="14"/>
      <c r="AC17" s="14"/>
      <c r="AD17" s="14"/>
      <c r="AE17" s="14"/>
      <c r="AF17" s="14"/>
      <c r="AG17" s="14"/>
      <c r="AH17" s="14"/>
      <c r="AI17" s="14"/>
      <c r="AJ17" s="14"/>
    </row>
    <row r="18" spans="1:36" ht="12.75" customHeight="1" x14ac:dyDescent="0.25">
      <c r="A18" s="273"/>
      <c r="B18" s="281"/>
      <c r="C18" s="281"/>
      <c r="D18" s="281"/>
      <c r="E18" s="281"/>
      <c r="F18" s="282"/>
      <c r="G18" s="282"/>
      <c r="H18" s="282"/>
      <c r="I18" s="282"/>
      <c r="J18" s="274"/>
      <c r="K18" s="274"/>
      <c r="L18" s="274"/>
      <c r="M18" s="274"/>
      <c r="N18" s="274"/>
      <c r="O18" s="274"/>
      <c r="P18" s="275"/>
      <c r="Q18" s="29"/>
      <c r="R18" s="29"/>
      <c r="S18" s="29"/>
      <c r="T18" s="14"/>
      <c r="U18" s="14"/>
      <c r="V18" s="14"/>
      <c r="W18" s="14"/>
      <c r="X18" s="14"/>
      <c r="Y18" s="14"/>
      <c r="Z18" s="14"/>
      <c r="AA18" s="14"/>
      <c r="AB18" s="14"/>
      <c r="AC18" s="14"/>
      <c r="AD18" s="14"/>
      <c r="AE18" s="14"/>
      <c r="AF18" s="14"/>
      <c r="AG18" s="14"/>
      <c r="AH18" s="14"/>
      <c r="AI18" s="14"/>
      <c r="AJ18" s="14"/>
    </row>
    <row r="19" spans="1:36" ht="12.75" customHeight="1" x14ac:dyDescent="0.25">
      <c r="A19" s="273"/>
      <c r="B19" s="283" t="s">
        <v>398</v>
      </c>
      <c r="C19" s="281"/>
      <c r="D19" s="281"/>
      <c r="E19" s="281"/>
      <c r="F19" s="282"/>
      <c r="G19" s="282"/>
      <c r="H19" s="282"/>
      <c r="I19" s="282"/>
      <c r="J19" s="274"/>
      <c r="K19" s="274"/>
      <c r="L19" s="274"/>
      <c r="M19" s="274"/>
      <c r="N19" s="274"/>
      <c r="O19" s="274"/>
      <c r="P19" s="275"/>
      <c r="Q19" s="29"/>
      <c r="R19" s="29"/>
      <c r="S19" s="29"/>
      <c r="T19" s="14"/>
      <c r="U19" s="14"/>
      <c r="V19" s="14"/>
      <c r="W19" s="14"/>
      <c r="X19" s="14"/>
      <c r="Y19" s="14"/>
      <c r="Z19" s="14"/>
      <c r="AA19" s="14"/>
      <c r="AB19" s="14"/>
      <c r="AC19" s="14"/>
      <c r="AD19" s="14"/>
      <c r="AE19" s="14"/>
      <c r="AF19" s="14"/>
      <c r="AG19" s="14"/>
      <c r="AH19" s="14"/>
      <c r="AI19" s="14"/>
      <c r="AJ19" s="14"/>
    </row>
    <row r="20" spans="1:36" ht="12.75" customHeight="1" x14ac:dyDescent="0.3">
      <c r="A20" s="273"/>
      <c r="B20" s="284" t="s">
        <v>399</v>
      </c>
      <c r="C20" s="281"/>
      <c r="D20" s="281"/>
      <c r="E20" s="281"/>
      <c r="F20" s="282"/>
      <c r="G20" s="282"/>
      <c r="H20" s="282"/>
      <c r="I20" s="282"/>
      <c r="J20" s="274"/>
      <c r="K20" s="274"/>
      <c r="L20" s="274"/>
      <c r="M20" s="274"/>
      <c r="N20" s="345"/>
      <c r="O20" s="345"/>
      <c r="P20" s="275"/>
      <c r="Q20" s="29"/>
      <c r="R20" s="29"/>
      <c r="S20" s="29"/>
      <c r="T20" s="14"/>
      <c r="U20" s="14"/>
      <c r="V20" s="14"/>
      <c r="W20" s="14"/>
      <c r="X20" s="14"/>
      <c r="Y20" s="14"/>
      <c r="Z20" s="14"/>
      <c r="AA20" s="14"/>
      <c r="AB20" s="14"/>
      <c r="AC20" s="14"/>
      <c r="AD20" s="14"/>
      <c r="AE20" s="14"/>
      <c r="AF20" s="14"/>
      <c r="AG20" s="14"/>
      <c r="AH20" s="14"/>
      <c r="AI20" s="14"/>
      <c r="AJ20" s="14"/>
    </row>
    <row r="21" spans="1:36" ht="12.75" customHeight="1" x14ac:dyDescent="0.3">
      <c r="A21" s="273"/>
      <c r="B21" s="284" t="s">
        <v>400</v>
      </c>
      <c r="C21" s="281"/>
      <c r="D21" s="281"/>
      <c r="E21" s="281"/>
      <c r="F21" s="282"/>
      <c r="G21" s="282"/>
      <c r="H21" s="282"/>
      <c r="I21" s="282"/>
      <c r="J21" s="274"/>
      <c r="K21" s="274"/>
      <c r="L21" s="274"/>
      <c r="M21" s="274"/>
      <c r="N21" s="274"/>
      <c r="O21" s="274"/>
      <c r="P21" s="275"/>
      <c r="Q21" s="29"/>
      <c r="R21" s="29"/>
      <c r="S21" s="29"/>
      <c r="T21" s="14"/>
      <c r="U21" s="14"/>
      <c r="V21" s="14"/>
      <c r="W21" s="14"/>
      <c r="X21" s="14"/>
      <c r="Y21" s="14"/>
      <c r="Z21" s="14"/>
      <c r="AA21" s="14"/>
      <c r="AB21" s="14"/>
      <c r="AC21" s="14"/>
      <c r="AD21" s="14"/>
      <c r="AE21" s="14"/>
      <c r="AF21" s="14"/>
      <c r="AG21" s="14"/>
      <c r="AH21" s="14"/>
      <c r="AI21" s="14"/>
      <c r="AJ21" s="14"/>
    </row>
    <row r="22" spans="1:36" ht="12.75" customHeight="1" x14ac:dyDescent="0.3">
      <c r="A22" s="273"/>
      <c r="B22" s="284" t="s">
        <v>401</v>
      </c>
      <c r="C22" s="281"/>
      <c r="D22" s="281"/>
      <c r="E22" s="281"/>
      <c r="F22" s="282"/>
      <c r="G22" s="282"/>
      <c r="H22" s="282"/>
      <c r="I22" s="282"/>
      <c r="J22" s="274"/>
      <c r="K22" s="274"/>
      <c r="L22" s="274"/>
      <c r="M22" s="274"/>
      <c r="N22" s="274"/>
      <c r="O22" s="274"/>
      <c r="P22" s="275"/>
      <c r="Q22" s="29"/>
      <c r="R22" s="29"/>
      <c r="S22" s="29"/>
      <c r="T22" s="14"/>
      <c r="U22" s="14"/>
      <c r="V22" s="14"/>
      <c r="W22" s="14"/>
      <c r="X22" s="14"/>
      <c r="Y22" s="14"/>
      <c r="Z22" s="14"/>
      <c r="AA22" s="14"/>
      <c r="AB22" s="14"/>
      <c r="AC22" s="14"/>
      <c r="AD22" s="14"/>
      <c r="AE22" s="14"/>
      <c r="AF22" s="14"/>
      <c r="AG22" s="14"/>
      <c r="AH22" s="14"/>
      <c r="AI22" s="14"/>
      <c r="AJ22" s="14"/>
    </row>
    <row r="23" spans="1:36" ht="12.75" customHeight="1" x14ac:dyDescent="0.3">
      <c r="A23" s="273"/>
      <c r="B23" s="284" t="s">
        <v>408</v>
      </c>
      <c r="C23" s="281"/>
      <c r="D23" s="281"/>
      <c r="E23" s="281"/>
      <c r="F23" s="282"/>
      <c r="G23" s="282"/>
      <c r="H23" s="282"/>
      <c r="I23" s="282"/>
      <c r="J23" s="274"/>
      <c r="K23" s="274"/>
      <c r="L23" s="274"/>
      <c r="M23" s="274"/>
      <c r="N23" s="274"/>
      <c r="O23" s="274"/>
      <c r="P23" s="285"/>
      <c r="Q23" s="286"/>
      <c r="R23" s="286"/>
      <c r="S23" s="286"/>
      <c r="T23" s="14"/>
      <c r="U23" s="14"/>
      <c r="V23" s="14"/>
      <c r="W23" s="14"/>
      <c r="X23" s="14"/>
      <c r="Y23" s="14"/>
      <c r="Z23" s="14"/>
      <c r="AA23" s="14"/>
      <c r="AB23" s="14"/>
      <c r="AC23" s="14"/>
      <c r="AD23" s="14"/>
      <c r="AE23" s="14"/>
      <c r="AF23" s="14"/>
      <c r="AG23" s="14"/>
      <c r="AH23" s="14"/>
      <c r="AI23" s="14"/>
      <c r="AJ23" s="14"/>
    </row>
    <row r="24" spans="1:36" ht="12.75" customHeight="1" x14ac:dyDescent="0.3">
      <c r="A24" s="273"/>
      <c r="B24" s="284" t="s">
        <v>409</v>
      </c>
      <c r="C24" s="281"/>
      <c r="D24" s="281"/>
      <c r="E24" s="281"/>
      <c r="F24" s="282"/>
      <c r="G24" s="282"/>
      <c r="H24" s="282"/>
      <c r="I24" s="282"/>
      <c r="J24" s="274"/>
      <c r="K24" s="274"/>
      <c r="L24" s="274"/>
      <c r="M24" s="274"/>
      <c r="N24" s="274"/>
      <c r="O24" s="274"/>
      <c r="P24" s="285"/>
      <c r="Q24" s="286"/>
      <c r="R24" s="286"/>
      <c r="S24" s="286"/>
      <c r="T24" s="14"/>
      <c r="U24" s="14"/>
      <c r="V24" s="14"/>
      <c r="W24" s="14"/>
      <c r="X24" s="14"/>
      <c r="Y24" s="14"/>
      <c r="Z24" s="14"/>
      <c r="AA24" s="14"/>
      <c r="AB24" s="14"/>
      <c r="AC24" s="14"/>
      <c r="AD24" s="14"/>
      <c r="AE24" s="14"/>
      <c r="AF24" s="14"/>
      <c r="AG24" s="14"/>
      <c r="AH24" s="14"/>
      <c r="AI24" s="14"/>
      <c r="AJ24" s="14"/>
    </row>
    <row r="25" spans="1:36" ht="12.75" customHeight="1" x14ac:dyDescent="0.3">
      <c r="A25" s="273"/>
      <c r="B25" s="284" t="s">
        <v>410</v>
      </c>
      <c r="C25" s="281"/>
      <c r="D25" s="281"/>
      <c r="E25" s="281"/>
      <c r="F25" s="282"/>
      <c r="G25" s="282"/>
      <c r="H25" s="282"/>
      <c r="I25" s="282"/>
      <c r="J25" s="274"/>
      <c r="K25" s="274"/>
      <c r="L25" s="274"/>
      <c r="M25" s="274"/>
      <c r="N25" s="274"/>
      <c r="O25" s="274"/>
      <c r="P25" s="285"/>
      <c r="Q25" s="286"/>
      <c r="R25" s="286"/>
      <c r="S25" s="286"/>
      <c r="T25" s="14"/>
      <c r="U25" s="14"/>
      <c r="V25" s="14"/>
      <c r="W25" s="14"/>
      <c r="X25" s="14"/>
      <c r="Y25" s="14"/>
      <c r="Z25" s="14"/>
      <c r="AA25" s="14"/>
      <c r="AB25" s="14"/>
      <c r="AC25" s="14"/>
      <c r="AD25" s="14"/>
      <c r="AE25" s="14"/>
      <c r="AF25" s="14"/>
      <c r="AG25" s="14"/>
      <c r="AH25" s="14"/>
      <c r="AI25" s="14"/>
      <c r="AJ25" s="14"/>
    </row>
    <row r="26" spans="1:36" ht="12.75" customHeight="1" x14ac:dyDescent="0.3">
      <c r="A26" s="273"/>
      <c r="B26" s="284" t="s">
        <v>402</v>
      </c>
      <c r="C26" s="281"/>
      <c r="D26" s="281"/>
      <c r="E26" s="281"/>
      <c r="F26" s="282"/>
      <c r="G26" s="282"/>
      <c r="H26" s="282"/>
      <c r="I26" s="282"/>
      <c r="J26" s="274"/>
      <c r="K26" s="274"/>
      <c r="L26" s="274"/>
      <c r="M26" s="274"/>
      <c r="N26" s="274"/>
      <c r="O26" s="274"/>
      <c r="P26" s="275"/>
      <c r="Q26" s="29"/>
      <c r="R26" s="29"/>
      <c r="S26" s="29"/>
      <c r="T26" s="14"/>
      <c r="U26" s="14"/>
      <c r="V26" s="14"/>
      <c r="W26" s="14"/>
      <c r="X26" s="14"/>
      <c r="Y26" s="14"/>
      <c r="Z26" s="14"/>
      <c r="AA26" s="14"/>
      <c r="AB26" s="14"/>
      <c r="AC26" s="14"/>
      <c r="AD26" s="14"/>
      <c r="AE26" s="14"/>
      <c r="AF26" s="14"/>
      <c r="AG26" s="14"/>
      <c r="AH26" s="14"/>
      <c r="AI26" s="14"/>
      <c r="AJ26" s="14"/>
    </row>
    <row r="27" spans="1:36" ht="12.75" customHeight="1" x14ac:dyDescent="0.3">
      <c r="A27" s="273"/>
      <c r="B27" s="278"/>
      <c r="C27" s="274"/>
      <c r="D27" s="274"/>
      <c r="E27" s="274"/>
      <c r="F27" s="274"/>
      <c r="G27" s="274"/>
      <c r="H27" s="274"/>
      <c r="I27" s="274"/>
      <c r="J27" s="274"/>
      <c r="K27" s="274"/>
      <c r="L27" s="274"/>
      <c r="M27" s="274"/>
      <c r="N27" s="274"/>
      <c r="O27" s="274"/>
      <c r="P27" s="275"/>
      <c r="Q27" s="29"/>
      <c r="R27" s="29"/>
      <c r="S27" s="29"/>
      <c r="T27" s="14"/>
      <c r="U27" s="14"/>
      <c r="V27" s="14"/>
      <c r="W27" s="14"/>
      <c r="X27" s="14"/>
      <c r="Y27" s="14"/>
      <c r="Z27" s="14"/>
      <c r="AA27" s="14"/>
      <c r="AB27" s="14"/>
      <c r="AC27" s="14"/>
      <c r="AD27" s="14"/>
      <c r="AE27" s="14"/>
      <c r="AF27" s="14"/>
      <c r="AG27" s="14"/>
      <c r="AH27" s="14"/>
      <c r="AI27" s="14"/>
      <c r="AJ27" s="14"/>
    </row>
    <row r="28" spans="1:36" ht="18.75" customHeight="1" x14ac:dyDescent="0.4">
      <c r="A28" s="273"/>
      <c r="B28" s="287" t="s">
        <v>403</v>
      </c>
      <c r="C28" s="282"/>
      <c r="D28" s="282"/>
      <c r="E28" s="282"/>
      <c r="F28" s="282"/>
      <c r="G28" s="282"/>
      <c r="H28" s="282"/>
      <c r="I28" s="282"/>
      <c r="J28" s="282"/>
      <c r="K28" s="282"/>
      <c r="L28" s="282"/>
      <c r="M28" s="282"/>
      <c r="N28" s="274"/>
      <c r="O28" s="274"/>
      <c r="P28" s="275"/>
      <c r="Q28" s="29"/>
      <c r="R28" s="29"/>
      <c r="S28" s="29"/>
      <c r="T28" s="14"/>
      <c r="U28" s="14"/>
      <c r="V28" s="14"/>
      <c r="W28" s="14"/>
      <c r="X28" s="14"/>
      <c r="Y28" s="14"/>
      <c r="Z28" s="14"/>
      <c r="AA28" s="14"/>
      <c r="AB28" s="14"/>
      <c r="AC28" s="14"/>
      <c r="AD28" s="14"/>
      <c r="AE28" s="14"/>
      <c r="AF28" s="14"/>
      <c r="AG28" s="14"/>
      <c r="AH28" s="14"/>
      <c r="AI28" s="14"/>
      <c r="AJ28" s="14"/>
    </row>
    <row r="29" spans="1:36" ht="12.75" customHeight="1" x14ac:dyDescent="0.25">
      <c r="A29" s="273"/>
      <c r="B29" s="288" t="s">
        <v>404</v>
      </c>
      <c r="C29" s="282"/>
      <c r="D29" s="282"/>
      <c r="E29" s="282"/>
      <c r="F29" s="282"/>
      <c r="G29" s="282"/>
      <c r="H29" s="282"/>
      <c r="I29" s="282"/>
      <c r="J29" s="282"/>
      <c r="K29" s="282"/>
      <c r="L29" s="282"/>
      <c r="M29" s="282"/>
      <c r="N29" s="274"/>
      <c r="O29" s="274"/>
      <c r="P29" s="275"/>
      <c r="Q29" s="29"/>
      <c r="R29" s="29"/>
      <c r="S29" s="29"/>
      <c r="T29" s="14"/>
      <c r="U29" s="14"/>
      <c r="V29" s="14"/>
      <c r="W29" s="14"/>
      <c r="X29" s="14"/>
      <c r="Y29" s="14"/>
      <c r="Z29" s="14"/>
      <c r="AA29" s="14"/>
      <c r="AB29" s="14"/>
      <c r="AC29" s="14"/>
      <c r="AD29" s="14"/>
      <c r="AE29" s="14"/>
      <c r="AF29" s="14"/>
      <c r="AG29" s="14"/>
      <c r="AH29" s="14"/>
      <c r="AI29" s="14"/>
      <c r="AJ29" s="14"/>
    </row>
    <row r="30" spans="1:36" ht="12.75" customHeight="1" x14ac:dyDescent="0.25">
      <c r="A30" s="273"/>
      <c r="B30" s="282" t="s">
        <v>405</v>
      </c>
      <c r="C30" s="282"/>
      <c r="D30" s="282"/>
      <c r="E30" s="282"/>
      <c r="F30" s="282"/>
      <c r="G30" s="282"/>
      <c r="H30" s="282"/>
      <c r="I30" s="282"/>
      <c r="J30" s="282"/>
      <c r="K30" s="282"/>
      <c r="L30" s="282"/>
      <c r="M30" s="282"/>
      <c r="N30" s="274"/>
      <c r="O30" s="274"/>
      <c r="P30" s="275"/>
      <c r="Q30" s="29"/>
      <c r="R30" s="29"/>
      <c r="S30" s="29"/>
      <c r="T30" s="14"/>
      <c r="U30" s="14"/>
      <c r="V30" s="14"/>
      <c r="W30" s="14"/>
      <c r="X30" s="14"/>
      <c r="Y30" s="14"/>
      <c r="Z30" s="14"/>
      <c r="AA30" s="14"/>
      <c r="AB30" s="14"/>
      <c r="AC30" s="14"/>
      <c r="AD30" s="14"/>
      <c r="AE30" s="14"/>
      <c r="AF30" s="14"/>
      <c r="AG30" s="14"/>
      <c r="AH30" s="14"/>
      <c r="AI30" s="14"/>
      <c r="AJ30" s="14"/>
    </row>
    <row r="31" spans="1:36" ht="12.75" customHeight="1" x14ac:dyDescent="0.25">
      <c r="A31" s="273"/>
      <c r="B31" s="282"/>
      <c r="C31" s="282"/>
      <c r="D31" s="282"/>
      <c r="E31" s="282"/>
      <c r="F31" s="282"/>
      <c r="G31" s="282"/>
      <c r="H31" s="282"/>
      <c r="I31" s="282"/>
      <c r="J31" s="282"/>
      <c r="K31" s="282"/>
      <c r="L31" s="282"/>
      <c r="M31" s="282"/>
      <c r="N31" s="274"/>
      <c r="O31" s="274"/>
      <c r="P31" s="275"/>
      <c r="Q31" s="29"/>
      <c r="R31" s="29"/>
      <c r="S31" s="29"/>
      <c r="T31" s="14"/>
      <c r="U31" s="14"/>
      <c r="V31" s="14"/>
      <c r="W31" s="14"/>
      <c r="X31" s="14"/>
      <c r="Y31" s="14"/>
      <c r="Z31" s="14"/>
      <c r="AA31" s="14"/>
      <c r="AB31" s="14"/>
      <c r="AC31" s="14"/>
      <c r="AD31" s="14"/>
      <c r="AE31" s="14"/>
      <c r="AF31" s="14"/>
      <c r="AG31" s="14"/>
      <c r="AH31" s="14"/>
      <c r="AI31" s="14"/>
      <c r="AJ31" s="14"/>
    </row>
    <row r="32" spans="1:36" ht="12.75" customHeight="1" x14ac:dyDescent="0.25">
      <c r="A32" s="273"/>
      <c r="B32" s="288" t="s">
        <v>406</v>
      </c>
      <c r="C32" s="282"/>
      <c r="D32" s="282"/>
      <c r="E32" s="282"/>
      <c r="F32" s="282"/>
      <c r="G32" s="282"/>
      <c r="H32" s="282"/>
      <c r="I32" s="282"/>
      <c r="J32" s="282"/>
      <c r="K32" s="282"/>
      <c r="L32" s="282"/>
      <c r="M32" s="282"/>
      <c r="N32" s="274"/>
      <c r="O32" s="274"/>
      <c r="P32" s="275"/>
      <c r="Q32" s="29"/>
      <c r="R32" s="29"/>
      <c r="S32" s="29"/>
      <c r="T32" s="14"/>
      <c r="U32" s="14"/>
      <c r="V32" s="14"/>
      <c r="W32" s="14"/>
      <c r="X32" s="14"/>
      <c r="Y32" s="14"/>
      <c r="Z32" s="14"/>
      <c r="AA32" s="14"/>
      <c r="AB32" s="14"/>
      <c r="AC32" s="14"/>
      <c r="AD32" s="14"/>
      <c r="AE32" s="14"/>
      <c r="AF32" s="14"/>
      <c r="AG32" s="14"/>
      <c r="AH32" s="14"/>
      <c r="AI32" s="14"/>
      <c r="AJ32" s="14"/>
    </row>
    <row r="33" spans="1:36" ht="12.75" customHeight="1" x14ac:dyDescent="0.25">
      <c r="A33" s="273"/>
      <c r="B33" s="282"/>
      <c r="C33" s="282"/>
      <c r="D33" s="282"/>
      <c r="E33" s="282"/>
      <c r="F33" s="282"/>
      <c r="G33" s="282"/>
      <c r="H33" s="282"/>
      <c r="I33" s="282"/>
      <c r="J33" s="282"/>
      <c r="K33" s="282"/>
      <c r="L33" s="282"/>
      <c r="M33" s="282"/>
      <c r="N33" s="274"/>
      <c r="O33" s="274"/>
      <c r="P33" s="275"/>
      <c r="Q33" s="29"/>
      <c r="R33" s="29"/>
      <c r="S33" s="29"/>
      <c r="T33" s="14"/>
      <c r="U33" s="14"/>
      <c r="V33" s="14"/>
      <c r="W33" s="14"/>
      <c r="X33" s="14"/>
      <c r="Y33" s="14"/>
      <c r="Z33" s="14"/>
      <c r="AA33" s="14"/>
      <c r="AB33" s="14"/>
      <c r="AC33" s="14"/>
      <c r="AD33" s="14"/>
      <c r="AE33" s="14"/>
      <c r="AF33" s="14"/>
      <c r="AG33" s="14"/>
      <c r="AH33" s="14"/>
      <c r="AI33" s="14"/>
      <c r="AJ33" s="14"/>
    </row>
    <row r="34" spans="1:36" ht="12.75" customHeight="1" x14ac:dyDescent="0.25">
      <c r="A34" s="273"/>
      <c r="B34" s="282" t="s">
        <v>407</v>
      </c>
      <c r="C34" s="282"/>
      <c r="D34" s="282"/>
      <c r="E34" s="282"/>
      <c r="F34" s="282"/>
      <c r="G34" s="282"/>
      <c r="H34" s="282"/>
      <c r="I34" s="282"/>
      <c r="J34" s="282"/>
      <c r="K34" s="282"/>
      <c r="L34" s="282"/>
      <c r="M34" s="282"/>
      <c r="N34" s="274"/>
      <c r="O34" s="274"/>
      <c r="P34" s="275"/>
      <c r="Q34" s="29"/>
      <c r="R34" s="29"/>
      <c r="S34" s="29"/>
      <c r="T34" s="14"/>
      <c r="U34" s="14"/>
      <c r="V34" s="14"/>
      <c r="W34" s="14"/>
      <c r="X34" s="14"/>
      <c r="Y34" s="14"/>
      <c r="Z34" s="14"/>
      <c r="AA34" s="14"/>
      <c r="AB34" s="14"/>
      <c r="AC34" s="14"/>
      <c r="AD34" s="14"/>
      <c r="AE34" s="14"/>
      <c r="AF34" s="14"/>
      <c r="AG34" s="14"/>
      <c r="AH34" s="14"/>
      <c r="AI34" s="14"/>
      <c r="AJ34" s="14"/>
    </row>
    <row r="35" spans="1:36" ht="12.75" customHeight="1" x14ac:dyDescent="0.3">
      <c r="A35" s="273"/>
      <c r="B35" s="278"/>
      <c r="C35" s="274"/>
      <c r="D35" s="274"/>
      <c r="E35" s="274"/>
      <c r="F35" s="274"/>
      <c r="G35" s="274"/>
      <c r="H35" s="274"/>
      <c r="I35" s="274"/>
      <c r="J35" s="274"/>
      <c r="K35" s="274"/>
      <c r="L35" s="274"/>
      <c r="M35" s="274"/>
      <c r="N35" s="274"/>
      <c r="O35" s="274"/>
      <c r="P35" s="275"/>
      <c r="Q35" s="29"/>
      <c r="R35" s="29"/>
      <c r="S35" s="29"/>
      <c r="T35" s="14"/>
      <c r="U35" s="14"/>
      <c r="V35" s="14"/>
      <c r="W35" s="14"/>
      <c r="X35" s="14"/>
      <c r="Y35" s="14"/>
      <c r="Z35" s="14"/>
      <c r="AA35" s="14"/>
      <c r="AB35" s="14"/>
      <c r="AC35" s="14"/>
      <c r="AD35" s="14"/>
      <c r="AE35" s="14"/>
      <c r="AF35" s="14"/>
      <c r="AG35" s="14"/>
      <c r="AH35" s="14"/>
      <c r="AI35" s="14"/>
      <c r="AJ35" s="14"/>
    </row>
    <row r="36" spans="1:36" ht="12.75" customHeight="1" thickBot="1" x14ac:dyDescent="0.35">
      <c r="A36" s="273"/>
      <c r="B36" s="278"/>
      <c r="C36" s="274"/>
      <c r="D36" s="274"/>
      <c r="E36" s="274"/>
      <c r="F36" s="274"/>
      <c r="G36" s="274"/>
      <c r="H36" s="274"/>
      <c r="I36" s="274"/>
      <c r="J36" s="274"/>
      <c r="K36" s="274"/>
      <c r="L36" s="274"/>
      <c r="M36" s="274"/>
      <c r="N36" s="274"/>
      <c r="O36" s="274"/>
      <c r="P36" s="275"/>
      <c r="Q36" s="29"/>
      <c r="R36" s="29"/>
      <c r="S36" s="29"/>
      <c r="T36" s="14"/>
      <c r="U36" s="14"/>
      <c r="V36" s="14"/>
      <c r="W36" s="14"/>
      <c r="X36" s="14"/>
      <c r="Y36" s="14"/>
      <c r="Z36" s="14"/>
      <c r="AA36" s="14"/>
      <c r="AB36" s="14"/>
      <c r="AC36" s="14"/>
      <c r="AD36" s="14"/>
      <c r="AE36" s="14"/>
      <c r="AF36" s="14"/>
      <c r="AG36" s="14"/>
      <c r="AH36" s="14"/>
      <c r="AI36" s="14"/>
      <c r="AJ36" s="14"/>
    </row>
    <row r="37" spans="1:36" ht="12.75" customHeight="1" x14ac:dyDescent="0.25">
      <c r="A37" s="273"/>
      <c r="B37" s="346" t="s">
        <v>411</v>
      </c>
      <c r="C37" s="347"/>
      <c r="D37" s="347"/>
      <c r="E37" s="347"/>
      <c r="F37" s="347"/>
      <c r="G37" s="347"/>
      <c r="H37" s="347"/>
      <c r="I37" s="347"/>
      <c r="J37" s="347"/>
      <c r="K37" s="347"/>
      <c r="L37" s="347"/>
      <c r="M37" s="348"/>
      <c r="N37" s="274"/>
      <c r="O37" s="274"/>
      <c r="P37" s="275"/>
      <c r="Q37" s="29"/>
      <c r="R37" s="29"/>
      <c r="S37" s="29"/>
      <c r="T37" s="14"/>
      <c r="U37" s="14"/>
      <c r="V37" s="14"/>
      <c r="W37" s="14"/>
      <c r="X37" s="14"/>
      <c r="Y37" s="14"/>
      <c r="Z37" s="14"/>
      <c r="AA37" s="14"/>
      <c r="AB37" s="14"/>
      <c r="AC37" s="14"/>
      <c r="AD37" s="14"/>
      <c r="AE37" s="14"/>
      <c r="AF37" s="14"/>
      <c r="AG37" s="14"/>
      <c r="AH37" s="14"/>
      <c r="AI37" s="14"/>
      <c r="AJ37" s="14"/>
    </row>
    <row r="38" spans="1:36" ht="12.75" customHeight="1" x14ac:dyDescent="0.25">
      <c r="A38" s="273"/>
      <c r="B38" s="349"/>
      <c r="C38" s="350"/>
      <c r="D38" s="350"/>
      <c r="E38" s="350"/>
      <c r="F38" s="350"/>
      <c r="G38" s="350"/>
      <c r="H38" s="350"/>
      <c r="I38" s="350"/>
      <c r="J38" s="350"/>
      <c r="K38" s="350"/>
      <c r="L38" s="350"/>
      <c r="M38" s="351"/>
      <c r="N38" s="274"/>
      <c r="O38" s="274"/>
      <c r="P38" s="275"/>
      <c r="Q38" s="29"/>
      <c r="R38" s="29"/>
      <c r="S38" s="29"/>
      <c r="T38" s="14"/>
      <c r="U38" s="14"/>
      <c r="V38" s="14"/>
      <c r="W38" s="14"/>
      <c r="X38" s="14"/>
      <c r="Y38" s="14"/>
      <c r="Z38" s="14"/>
      <c r="AA38" s="14"/>
      <c r="AB38" s="14"/>
      <c r="AC38" s="14"/>
      <c r="AD38" s="14"/>
      <c r="AE38" s="14"/>
      <c r="AF38" s="14"/>
      <c r="AG38" s="14"/>
      <c r="AH38" s="14"/>
      <c r="AI38" s="14"/>
      <c r="AJ38" s="14"/>
    </row>
    <row r="39" spans="1:36" ht="12.75" customHeight="1" x14ac:dyDescent="0.25">
      <c r="A39" s="273"/>
      <c r="B39" s="349"/>
      <c r="C39" s="350"/>
      <c r="D39" s="350"/>
      <c r="E39" s="350"/>
      <c r="F39" s="350"/>
      <c r="G39" s="350"/>
      <c r="H39" s="350"/>
      <c r="I39" s="350"/>
      <c r="J39" s="350"/>
      <c r="K39" s="350"/>
      <c r="L39" s="350"/>
      <c r="M39" s="351"/>
      <c r="N39" s="274"/>
      <c r="O39" s="274"/>
      <c r="P39" s="275"/>
      <c r="Q39" s="29"/>
      <c r="R39" s="29"/>
      <c r="S39" s="29"/>
      <c r="T39" s="14"/>
      <c r="U39" s="14"/>
      <c r="V39" s="14"/>
      <c r="W39" s="14"/>
      <c r="X39" s="14"/>
      <c r="Y39" s="14"/>
      <c r="Z39" s="14"/>
      <c r="AA39" s="14"/>
      <c r="AB39" s="14"/>
      <c r="AC39" s="14"/>
      <c r="AD39" s="14"/>
      <c r="AE39" s="14"/>
      <c r="AF39" s="14"/>
      <c r="AG39" s="14"/>
      <c r="AH39" s="14"/>
      <c r="AI39" s="14"/>
      <c r="AJ39" s="14"/>
    </row>
    <row r="40" spans="1:36" ht="12.75" customHeight="1" x14ac:dyDescent="0.25">
      <c r="A40" s="273"/>
      <c r="B40" s="349"/>
      <c r="C40" s="350"/>
      <c r="D40" s="350"/>
      <c r="E40" s="350"/>
      <c r="F40" s="350"/>
      <c r="G40" s="350"/>
      <c r="H40" s="350"/>
      <c r="I40" s="350"/>
      <c r="J40" s="350"/>
      <c r="K40" s="350"/>
      <c r="L40" s="350"/>
      <c r="M40" s="351"/>
      <c r="N40" s="274"/>
      <c r="O40" s="274"/>
      <c r="P40" s="275"/>
      <c r="Q40" s="29"/>
      <c r="R40" s="29"/>
      <c r="S40" s="29"/>
      <c r="T40" s="14"/>
      <c r="U40" s="14"/>
      <c r="V40" s="14"/>
      <c r="W40" s="14"/>
      <c r="X40" s="14"/>
      <c r="Y40" s="14"/>
      <c r="Z40" s="14"/>
      <c r="AA40" s="14"/>
      <c r="AB40" s="14"/>
      <c r="AC40" s="14"/>
      <c r="AD40" s="14"/>
      <c r="AE40" s="14"/>
      <c r="AF40" s="14"/>
      <c r="AG40" s="14"/>
      <c r="AH40" s="14"/>
      <c r="AI40" s="14"/>
      <c r="AJ40" s="14"/>
    </row>
    <row r="41" spans="1:36" ht="12.75" customHeight="1" x14ac:dyDescent="0.25">
      <c r="A41" s="273"/>
      <c r="B41" s="349"/>
      <c r="C41" s="350"/>
      <c r="D41" s="350"/>
      <c r="E41" s="350"/>
      <c r="F41" s="350"/>
      <c r="G41" s="350"/>
      <c r="H41" s="350"/>
      <c r="I41" s="350"/>
      <c r="J41" s="350"/>
      <c r="K41" s="350"/>
      <c r="L41" s="350"/>
      <c r="M41" s="351"/>
      <c r="N41" s="274"/>
      <c r="O41" s="274"/>
      <c r="P41" s="275"/>
      <c r="Q41" s="29"/>
      <c r="R41" s="29"/>
      <c r="S41" s="29"/>
      <c r="T41" s="14"/>
      <c r="U41" s="14"/>
      <c r="V41" s="14"/>
      <c r="W41" s="14"/>
      <c r="X41" s="14"/>
      <c r="Y41" s="14"/>
      <c r="Z41" s="14"/>
      <c r="AA41" s="14"/>
      <c r="AB41" s="14"/>
      <c r="AC41" s="14"/>
      <c r="AD41" s="14"/>
      <c r="AE41" s="14"/>
      <c r="AF41" s="14"/>
      <c r="AG41" s="14"/>
      <c r="AH41" s="14"/>
      <c r="AI41" s="14"/>
      <c r="AJ41" s="14"/>
    </row>
    <row r="42" spans="1:36" ht="12.75" customHeight="1" x14ac:dyDescent="0.25">
      <c r="A42" s="273"/>
      <c r="B42" s="349"/>
      <c r="C42" s="350"/>
      <c r="D42" s="350"/>
      <c r="E42" s="350"/>
      <c r="F42" s="350"/>
      <c r="G42" s="350"/>
      <c r="H42" s="350"/>
      <c r="I42" s="350"/>
      <c r="J42" s="350"/>
      <c r="K42" s="350"/>
      <c r="L42" s="350"/>
      <c r="M42" s="351"/>
      <c r="N42" s="274"/>
      <c r="O42" s="274"/>
      <c r="P42" s="275"/>
      <c r="Q42" s="29"/>
      <c r="R42" s="29"/>
      <c r="S42" s="29"/>
      <c r="T42" s="14"/>
      <c r="U42" s="14"/>
      <c r="V42" s="14"/>
      <c r="W42" s="14"/>
      <c r="X42" s="14"/>
      <c r="Y42" s="14"/>
      <c r="Z42" s="14"/>
      <c r="AA42" s="14"/>
      <c r="AB42" s="14"/>
      <c r="AC42" s="14"/>
      <c r="AD42" s="14"/>
      <c r="AE42" s="14"/>
      <c r="AF42" s="14"/>
      <c r="AG42" s="14"/>
      <c r="AH42" s="14"/>
      <c r="AI42" s="14"/>
      <c r="AJ42" s="14"/>
    </row>
    <row r="43" spans="1:36" ht="12.75" customHeight="1" x14ac:dyDescent="0.25">
      <c r="A43" s="273"/>
      <c r="B43" s="349"/>
      <c r="C43" s="350"/>
      <c r="D43" s="350"/>
      <c r="E43" s="350"/>
      <c r="F43" s="350"/>
      <c r="G43" s="350"/>
      <c r="H43" s="350"/>
      <c r="I43" s="350"/>
      <c r="J43" s="350"/>
      <c r="K43" s="350"/>
      <c r="L43" s="350"/>
      <c r="M43" s="351"/>
      <c r="N43" s="274"/>
      <c r="O43" s="274"/>
      <c r="P43" s="275"/>
      <c r="Q43" s="29"/>
      <c r="R43" s="29"/>
      <c r="S43" s="29"/>
      <c r="T43" s="14"/>
      <c r="U43" s="14"/>
      <c r="V43" s="14"/>
      <c r="W43" s="14"/>
      <c r="X43" s="14"/>
      <c r="Y43" s="14"/>
      <c r="Z43" s="14"/>
      <c r="AA43" s="14"/>
      <c r="AB43" s="14"/>
      <c r="AC43" s="14"/>
      <c r="AD43" s="14"/>
      <c r="AE43" s="14"/>
      <c r="AF43" s="14"/>
      <c r="AG43" s="14"/>
      <c r="AH43" s="14"/>
      <c r="AI43" s="14"/>
      <c r="AJ43" s="14"/>
    </row>
    <row r="44" spans="1:36" ht="12.75" customHeight="1" x14ac:dyDescent="0.25">
      <c r="A44" s="273"/>
      <c r="B44" s="349"/>
      <c r="C44" s="350"/>
      <c r="D44" s="350"/>
      <c r="E44" s="350"/>
      <c r="F44" s="350"/>
      <c r="G44" s="350"/>
      <c r="H44" s="350"/>
      <c r="I44" s="350"/>
      <c r="J44" s="350"/>
      <c r="K44" s="350"/>
      <c r="L44" s="350"/>
      <c r="M44" s="351"/>
      <c r="N44" s="274"/>
      <c r="O44" s="274"/>
      <c r="P44" s="275"/>
      <c r="Q44" s="29"/>
      <c r="R44" s="29"/>
      <c r="S44" s="29"/>
      <c r="T44" s="14"/>
      <c r="U44" s="14"/>
      <c r="V44" s="14"/>
      <c r="W44" s="14"/>
      <c r="X44" s="14"/>
      <c r="Y44" s="14"/>
      <c r="Z44" s="14"/>
      <c r="AA44" s="14"/>
      <c r="AB44" s="14"/>
      <c r="AC44" s="14"/>
      <c r="AD44" s="14"/>
      <c r="AE44" s="14"/>
      <c r="AF44" s="14"/>
      <c r="AG44" s="14"/>
      <c r="AH44" s="14"/>
      <c r="AI44" s="14"/>
      <c r="AJ44" s="14"/>
    </row>
    <row r="45" spans="1:36" ht="12.75" customHeight="1" x14ac:dyDescent="0.25">
      <c r="A45" s="273"/>
      <c r="B45" s="349"/>
      <c r="C45" s="350"/>
      <c r="D45" s="350"/>
      <c r="E45" s="350"/>
      <c r="F45" s="350"/>
      <c r="G45" s="350"/>
      <c r="H45" s="350"/>
      <c r="I45" s="350"/>
      <c r="J45" s="350"/>
      <c r="K45" s="350"/>
      <c r="L45" s="350"/>
      <c r="M45" s="351"/>
      <c r="N45" s="274"/>
      <c r="O45" s="274"/>
      <c r="P45" s="275"/>
      <c r="Q45" s="29"/>
      <c r="R45" s="29"/>
      <c r="S45" s="29"/>
      <c r="T45" s="14"/>
      <c r="U45" s="14"/>
      <c r="V45" s="14"/>
      <c r="W45" s="14"/>
      <c r="X45" s="14"/>
      <c r="Y45" s="14"/>
      <c r="Z45" s="14"/>
      <c r="AA45" s="14"/>
      <c r="AB45" s="14"/>
      <c r="AC45" s="14"/>
      <c r="AD45" s="14"/>
      <c r="AE45" s="14"/>
      <c r="AF45" s="14"/>
      <c r="AG45" s="14"/>
      <c r="AH45" s="14"/>
      <c r="AI45" s="14"/>
      <c r="AJ45" s="14"/>
    </row>
    <row r="46" spans="1:36" ht="12.75" customHeight="1" x14ac:dyDescent="0.25">
      <c r="A46" s="273"/>
      <c r="B46" s="349"/>
      <c r="C46" s="350"/>
      <c r="D46" s="350"/>
      <c r="E46" s="350"/>
      <c r="F46" s="350"/>
      <c r="G46" s="350"/>
      <c r="H46" s="350"/>
      <c r="I46" s="350"/>
      <c r="J46" s="350"/>
      <c r="K46" s="350"/>
      <c r="L46" s="350"/>
      <c r="M46" s="351"/>
      <c r="N46" s="274"/>
      <c r="O46" s="274"/>
      <c r="P46" s="275"/>
      <c r="Q46" s="29"/>
      <c r="R46" s="29"/>
      <c r="S46" s="29"/>
      <c r="T46" s="14"/>
      <c r="U46" s="14"/>
      <c r="V46" s="14"/>
      <c r="W46" s="14"/>
      <c r="X46" s="14"/>
      <c r="Y46" s="14"/>
      <c r="Z46" s="14"/>
      <c r="AA46" s="14"/>
      <c r="AB46" s="14"/>
      <c r="AC46" s="14"/>
      <c r="AD46" s="14"/>
      <c r="AE46" s="14"/>
      <c r="AF46" s="14"/>
      <c r="AG46" s="14"/>
      <c r="AH46" s="14"/>
      <c r="AI46" s="14"/>
      <c r="AJ46" s="14"/>
    </row>
    <row r="47" spans="1:36" ht="12.75" customHeight="1" x14ac:dyDescent="0.25">
      <c r="A47" s="273"/>
      <c r="B47" s="349"/>
      <c r="C47" s="350"/>
      <c r="D47" s="350"/>
      <c r="E47" s="350"/>
      <c r="F47" s="350"/>
      <c r="G47" s="350"/>
      <c r="H47" s="350"/>
      <c r="I47" s="350"/>
      <c r="J47" s="350"/>
      <c r="K47" s="350"/>
      <c r="L47" s="350"/>
      <c r="M47" s="351"/>
      <c r="N47" s="274"/>
      <c r="O47" s="274"/>
      <c r="P47" s="275"/>
      <c r="Q47" s="29"/>
      <c r="R47" s="29"/>
      <c r="S47" s="29"/>
      <c r="T47" s="14"/>
      <c r="U47" s="14"/>
      <c r="V47" s="14"/>
      <c r="W47" s="14"/>
      <c r="X47" s="14"/>
      <c r="Y47" s="14"/>
      <c r="Z47" s="14"/>
      <c r="AA47" s="14"/>
      <c r="AB47" s="14"/>
      <c r="AC47" s="14"/>
      <c r="AD47" s="14"/>
      <c r="AE47" s="14"/>
      <c r="AF47" s="14"/>
      <c r="AG47" s="14"/>
      <c r="AH47" s="14"/>
      <c r="AI47" s="14"/>
      <c r="AJ47" s="14"/>
    </row>
    <row r="48" spans="1:36" ht="12.75" customHeight="1" x14ac:dyDescent="0.25">
      <c r="A48" s="273"/>
      <c r="B48" s="349"/>
      <c r="C48" s="350"/>
      <c r="D48" s="350"/>
      <c r="E48" s="350"/>
      <c r="F48" s="350"/>
      <c r="G48" s="350"/>
      <c r="H48" s="350"/>
      <c r="I48" s="350"/>
      <c r="J48" s="350"/>
      <c r="K48" s="350"/>
      <c r="L48" s="350"/>
      <c r="M48" s="351"/>
      <c r="N48" s="274"/>
      <c r="O48" s="274"/>
      <c r="P48" s="275"/>
      <c r="Q48" s="29"/>
      <c r="R48" s="29"/>
      <c r="S48" s="29"/>
      <c r="T48" s="14"/>
      <c r="U48" s="14"/>
      <c r="V48" s="14"/>
      <c r="W48" s="14"/>
      <c r="X48" s="14"/>
      <c r="Y48" s="14"/>
      <c r="Z48" s="14"/>
      <c r="AA48" s="14"/>
      <c r="AB48" s="14"/>
      <c r="AC48" s="14"/>
      <c r="AD48" s="14"/>
      <c r="AE48" s="14"/>
      <c r="AF48" s="14"/>
      <c r="AG48" s="14"/>
      <c r="AH48" s="14"/>
      <c r="AI48" s="14"/>
      <c r="AJ48" s="14"/>
    </row>
    <row r="49" spans="1:36" ht="12.75" customHeight="1" x14ac:dyDescent="0.25">
      <c r="A49" s="273"/>
      <c r="B49" s="349"/>
      <c r="C49" s="350"/>
      <c r="D49" s="350"/>
      <c r="E49" s="350"/>
      <c r="F49" s="350"/>
      <c r="G49" s="350"/>
      <c r="H49" s="350"/>
      <c r="I49" s="350"/>
      <c r="J49" s="350"/>
      <c r="K49" s="350"/>
      <c r="L49" s="350"/>
      <c r="M49" s="351"/>
      <c r="N49" s="274"/>
      <c r="O49" s="274"/>
      <c r="P49" s="275"/>
      <c r="Q49" s="29"/>
      <c r="R49" s="29"/>
      <c r="S49" s="29"/>
      <c r="T49" s="14"/>
      <c r="U49" s="14"/>
      <c r="V49" s="14"/>
      <c r="W49" s="14"/>
      <c r="X49" s="14"/>
      <c r="Y49" s="14"/>
      <c r="Z49" s="14"/>
      <c r="AA49" s="14"/>
      <c r="AB49" s="14"/>
      <c r="AC49" s="14"/>
      <c r="AD49" s="14"/>
      <c r="AE49" s="14"/>
      <c r="AF49" s="14"/>
      <c r="AG49" s="14"/>
      <c r="AH49" s="14"/>
      <c r="AI49" s="14"/>
      <c r="AJ49" s="14"/>
    </row>
    <row r="50" spans="1:36" ht="12.75" customHeight="1" x14ac:dyDescent="0.25">
      <c r="A50" s="273"/>
      <c r="B50" s="349"/>
      <c r="C50" s="350"/>
      <c r="D50" s="350"/>
      <c r="E50" s="350"/>
      <c r="F50" s="350"/>
      <c r="G50" s="350"/>
      <c r="H50" s="350"/>
      <c r="I50" s="350"/>
      <c r="J50" s="350"/>
      <c r="K50" s="350"/>
      <c r="L50" s="350"/>
      <c r="M50" s="351"/>
      <c r="N50" s="274"/>
      <c r="O50" s="274"/>
      <c r="P50" s="275"/>
      <c r="Q50" s="29"/>
      <c r="R50" s="29"/>
      <c r="S50" s="29"/>
      <c r="T50" s="14"/>
      <c r="U50" s="14"/>
      <c r="V50" s="14"/>
      <c r="W50" s="14"/>
      <c r="X50" s="14"/>
      <c r="Y50" s="14"/>
      <c r="Z50" s="14"/>
      <c r="AA50" s="14"/>
      <c r="AB50" s="14"/>
      <c r="AC50" s="14"/>
      <c r="AD50" s="14"/>
      <c r="AE50" s="14"/>
      <c r="AF50" s="14"/>
      <c r="AG50" s="14"/>
      <c r="AH50" s="14"/>
      <c r="AI50" s="14"/>
      <c r="AJ50" s="14"/>
    </row>
    <row r="51" spans="1:36" ht="12.75" customHeight="1" x14ac:dyDescent="0.25">
      <c r="A51" s="273"/>
      <c r="B51" s="349"/>
      <c r="C51" s="350"/>
      <c r="D51" s="350"/>
      <c r="E51" s="350"/>
      <c r="F51" s="350"/>
      <c r="G51" s="350"/>
      <c r="H51" s="350"/>
      <c r="I51" s="350"/>
      <c r="J51" s="350"/>
      <c r="K51" s="350"/>
      <c r="L51" s="350"/>
      <c r="M51" s="351"/>
      <c r="N51" s="274"/>
      <c r="O51" s="274"/>
      <c r="P51" s="275"/>
      <c r="Q51" s="29"/>
      <c r="R51" s="29"/>
      <c r="S51" s="29"/>
      <c r="T51" s="14"/>
      <c r="U51" s="14"/>
      <c r="V51" s="14"/>
      <c r="W51" s="14"/>
      <c r="X51" s="14"/>
      <c r="Y51" s="14"/>
      <c r="Z51" s="14"/>
      <c r="AA51" s="14"/>
      <c r="AB51" s="14"/>
      <c r="AC51" s="14"/>
      <c r="AD51" s="14"/>
      <c r="AE51" s="14"/>
      <c r="AF51" s="14"/>
      <c r="AG51" s="14"/>
      <c r="AH51" s="14"/>
      <c r="AI51" s="14"/>
      <c r="AJ51" s="14"/>
    </row>
    <row r="52" spans="1:36" ht="12.75" customHeight="1" x14ac:dyDescent="0.25">
      <c r="A52" s="273"/>
      <c r="B52" s="349"/>
      <c r="C52" s="350"/>
      <c r="D52" s="350"/>
      <c r="E52" s="350"/>
      <c r="F52" s="350"/>
      <c r="G52" s="350"/>
      <c r="H52" s="350"/>
      <c r="I52" s="350"/>
      <c r="J52" s="350"/>
      <c r="K52" s="350"/>
      <c r="L52" s="350"/>
      <c r="M52" s="351"/>
      <c r="N52" s="274"/>
      <c r="O52" s="274"/>
      <c r="P52" s="275"/>
      <c r="Q52" s="29"/>
      <c r="R52" s="29"/>
      <c r="S52" s="29"/>
      <c r="T52" s="14"/>
      <c r="U52" s="14"/>
      <c r="V52" s="14"/>
      <c r="W52" s="14"/>
      <c r="X52" s="14"/>
      <c r="Y52" s="14"/>
      <c r="Z52" s="14"/>
      <c r="AA52" s="14"/>
      <c r="AB52" s="14"/>
      <c r="AC52" s="14"/>
      <c r="AD52" s="14"/>
      <c r="AE52" s="14"/>
      <c r="AF52" s="14"/>
      <c r="AG52" s="14"/>
      <c r="AH52" s="14"/>
      <c r="AI52" s="14"/>
      <c r="AJ52" s="14"/>
    </row>
    <row r="53" spans="1:36" ht="12.75" customHeight="1" x14ac:dyDescent="0.25">
      <c r="A53" s="273"/>
      <c r="B53" s="349"/>
      <c r="C53" s="350"/>
      <c r="D53" s="350"/>
      <c r="E53" s="350"/>
      <c r="F53" s="350"/>
      <c r="G53" s="350"/>
      <c r="H53" s="350"/>
      <c r="I53" s="350"/>
      <c r="J53" s="350"/>
      <c r="K53" s="350"/>
      <c r="L53" s="350"/>
      <c r="M53" s="351"/>
      <c r="N53" s="274"/>
      <c r="O53" s="274"/>
      <c r="P53" s="275"/>
      <c r="Q53" s="29"/>
      <c r="R53" s="29"/>
      <c r="S53" s="29"/>
      <c r="T53" s="14"/>
      <c r="U53" s="14"/>
      <c r="V53" s="14"/>
      <c r="W53" s="14"/>
      <c r="X53" s="14"/>
      <c r="Y53" s="14"/>
      <c r="Z53" s="14"/>
      <c r="AA53" s="14"/>
      <c r="AB53" s="14"/>
      <c r="AC53" s="14"/>
      <c r="AD53" s="14"/>
      <c r="AE53" s="14"/>
      <c r="AF53" s="14"/>
      <c r="AG53" s="14"/>
      <c r="AH53" s="14"/>
      <c r="AI53" s="14"/>
      <c r="AJ53" s="14"/>
    </row>
    <row r="54" spans="1:36" ht="12.75" customHeight="1" x14ac:dyDescent="0.25">
      <c r="A54" s="273"/>
      <c r="B54" s="349"/>
      <c r="C54" s="350"/>
      <c r="D54" s="350"/>
      <c r="E54" s="350"/>
      <c r="F54" s="350"/>
      <c r="G54" s="350"/>
      <c r="H54" s="350"/>
      <c r="I54" s="350"/>
      <c r="J54" s="350"/>
      <c r="K54" s="350"/>
      <c r="L54" s="350"/>
      <c r="M54" s="351"/>
      <c r="N54" s="274"/>
      <c r="O54" s="274"/>
      <c r="P54" s="275"/>
      <c r="Q54" s="29"/>
      <c r="R54" s="29"/>
      <c r="S54" s="29"/>
      <c r="T54" s="14"/>
      <c r="U54" s="14"/>
      <c r="V54" s="14"/>
      <c r="W54" s="14"/>
      <c r="X54" s="14"/>
      <c r="Y54" s="14"/>
      <c r="Z54" s="14"/>
      <c r="AA54" s="14"/>
      <c r="AB54" s="14"/>
      <c r="AC54" s="14"/>
      <c r="AD54" s="14"/>
      <c r="AE54" s="14"/>
      <c r="AF54" s="14"/>
      <c r="AG54" s="14"/>
      <c r="AH54" s="14"/>
      <c r="AI54" s="14"/>
      <c r="AJ54" s="14"/>
    </row>
    <row r="55" spans="1:36" ht="12.75" customHeight="1" x14ac:dyDescent="0.25">
      <c r="A55" s="273"/>
      <c r="B55" s="349"/>
      <c r="C55" s="350"/>
      <c r="D55" s="350"/>
      <c r="E55" s="350"/>
      <c r="F55" s="350"/>
      <c r="G55" s="350"/>
      <c r="H55" s="350"/>
      <c r="I55" s="350"/>
      <c r="J55" s="350"/>
      <c r="K55" s="350"/>
      <c r="L55" s="350"/>
      <c r="M55" s="351"/>
      <c r="N55" s="274"/>
      <c r="O55" s="274"/>
      <c r="P55" s="275"/>
      <c r="Q55" s="29"/>
      <c r="R55" s="29"/>
      <c r="S55" s="29"/>
      <c r="T55" s="14"/>
      <c r="U55" s="14"/>
      <c r="V55" s="14"/>
      <c r="W55" s="14"/>
      <c r="X55" s="14"/>
      <c r="Y55" s="14"/>
      <c r="Z55" s="14"/>
      <c r="AA55" s="14"/>
      <c r="AB55" s="14"/>
      <c r="AC55" s="14"/>
      <c r="AD55" s="14"/>
      <c r="AE55" s="14"/>
      <c r="AF55" s="14"/>
      <c r="AG55" s="14"/>
      <c r="AH55" s="14"/>
      <c r="AI55" s="14"/>
      <c r="AJ55" s="14"/>
    </row>
    <row r="56" spans="1:36" ht="12.75" customHeight="1" x14ac:dyDescent="0.25">
      <c r="A56" s="273"/>
      <c r="B56" s="349"/>
      <c r="C56" s="350"/>
      <c r="D56" s="350"/>
      <c r="E56" s="350"/>
      <c r="F56" s="350"/>
      <c r="G56" s="350"/>
      <c r="H56" s="350"/>
      <c r="I56" s="350"/>
      <c r="J56" s="350"/>
      <c r="K56" s="350"/>
      <c r="L56" s="350"/>
      <c r="M56" s="351"/>
      <c r="N56" s="274"/>
      <c r="O56" s="274"/>
      <c r="P56" s="275"/>
      <c r="Q56" s="29"/>
      <c r="R56" s="29"/>
      <c r="S56" s="29"/>
      <c r="T56" s="14"/>
      <c r="U56" s="14"/>
      <c r="V56" s="14"/>
      <c r="W56" s="14"/>
      <c r="X56" s="14"/>
      <c r="Y56" s="14"/>
      <c r="Z56" s="14"/>
      <c r="AA56" s="14"/>
      <c r="AB56" s="14"/>
      <c r="AC56" s="14"/>
      <c r="AD56" s="14"/>
      <c r="AE56" s="14"/>
      <c r="AF56" s="14"/>
      <c r="AG56" s="14"/>
      <c r="AH56" s="14"/>
      <c r="AI56" s="14"/>
      <c r="AJ56" s="14"/>
    </row>
    <row r="57" spans="1:36" ht="12.75" customHeight="1" x14ac:dyDescent="0.25">
      <c r="A57" s="273"/>
      <c r="B57" s="349"/>
      <c r="C57" s="350"/>
      <c r="D57" s="350"/>
      <c r="E57" s="350"/>
      <c r="F57" s="350"/>
      <c r="G57" s="350"/>
      <c r="H57" s="350"/>
      <c r="I57" s="350"/>
      <c r="J57" s="350"/>
      <c r="K57" s="350"/>
      <c r="L57" s="350"/>
      <c r="M57" s="351"/>
      <c r="N57" s="274"/>
      <c r="O57" s="274"/>
      <c r="P57" s="275"/>
      <c r="Q57" s="29"/>
      <c r="R57" s="29"/>
      <c r="S57" s="29"/>
      <c r="T57" s="14"/>
      <c r="U57" s="14"/>
      <c r="V57" s="14"/>
      <c r="W57" s="14"/>
      <c r="X57" s="14"/>
      <c r="Y57" s="14"/>
      <c r="Z57" s="14"/>
      <c r="AA57" s="14"/>
      <c r="AB57" s="14"/>
      <c r="AC57" s="14"/>
      <c r="AD57" s="14"/>
      <c r="AE57" s="14"/>
      <c r="AF57" s="14"/>
      <c r="AG57" s="14"/>
      <c r="AH57" s="14"/>
      <c r="AI57" s="14"/>
      <c r="AJ57" s="14"/>
    </row>
    <row r="58" spans="1:36" ht="12.75" customHeight="1" x14ac:dyDescent="0.25">
      <c r="A58" s="273"/>
      <c r="B58" s="349"/>
      <c r="C58" s="350"/>
      <c r="D58" s="350"/>
      <c r="E58" s="350"/>
      <c r="F58" s="350"/>
      <c r="G58" s="350"/>
      <c r="H58" s="350"/>
      <c r="I58" s="350"/>
      <c r="J58" s="350"/>
      <c r="K58" s="350"/>
      <c r="L58" s="350"/>
      <c r="M58" s="351"/>
      <c r="N58" s="274"/>
      <c r="O58" s="274"/>
      <c r="P58" s="275"/>
      <c r="Q58" s="29"/>
      <c r="R58" s="29"/>
      <c r="S58" s="29"/>
      <c r="T58" s="14"/>
      <c r="U58" s="14"/>
      <c r="V58" s="14"/>
      <c r="W58" s="14"/>
      <c r="X58" s="14"/>
      <c r="Y58" s="14"/>
      <c r="Z58" s="14"/>
      <c r="AA58" s="14"/>
      <c r="AB58" s="14"/>
      <c r="AC58" s="14"/>
      <c r="AD58" s="14"/>
      <c r="AE58" s="14"/>
      <c r="AF58" s="14"/>
      <c r="AG58" s="14"/>
      <c r="AH58" s="14"/>
      <c r="AI58" s="14"/>
      <c r="AJ58" s="14"/>
    </row>
    <row r="59" spans="1:36" ht="12.75" customHeight="1" x14ac:dyDescent="0.25">
      <c r="A59" s="273"/>
      <c r="B59" s="349"/>
      <c r="C59" s="350"/>
      <c r="D59" s="350"/>
      <c r="E59" s="350"/>
      <c r="F59" s="350"/>
      <c r="G59" s="350"/>
      <c r="H59" s="350"/>
      <c r="I59" s="350"/>
      <c r="J59" s="350"/>
      <c r="K59" s="350"/>
      <c r="L59" s="350"/>
      <c r="M59" s="351"/>
      <c r="N59" s="274"/>
      <c r="O59" s="274"/>
      <c r="P59" s="275"/>
      <c r="Q59" s="29"/>
      <c r="R59" s="29"/>
      <c r="S59" s="29"/>
      <c r="T59" s="14"/>
      <c r="U59" s="14"/>
      <c r="V59" s="14"/>
      <c r="W59" s="14"/>
      <c r="X59" s="14"/>
      <c r="Y59" s="14"/>
      <c r="Z59" s="14"/>
      <c r="AA59" s="14"/>
      <c r="AB59" s="14"/>
      <c r="AC59" s="14"/>
      <c r="AD59" s="14"/>
      <c r="AE59" s="14"/>
      <c r="AF59" s="14"/>
      <c r="AG59" s="14"/>
      <c r="AH59" s="14"/>
      <c r="AI59" s="14"/>
      <c r="AJ59" s="14"/>
    </row>
    <row r="60" spans="1:36" ht="12.75" customHeight="1" x14ac:dyDescent="0.25">
      <c r="A60" s="273"/>
      <c r="B60" s="349"/>
      <c r="C60" s="350"/>
      <c r="D60" s="350"/>
      <c r="E60" s="350"/>
      <c r="F60" s="350"/>
      <c r="G60" s="350"/>
      <c r="H60" s="350"/>
      <c r="I60" s="350"/>
      <c r="J60" s="350"/>
      <c r="K60" s="350"/>
      <c r="L60" s="350"/>
      <c r="M60" s="351"/>
      <c r="N60" s="274"/>
      <c r="O60" s="274"/>
      <c r="P60" s="275"/>
      <c r="Q60" s="29"/>
      <c r="R60" s="29"/>
      <c r="S60" s="29"/>
      <c r="T60" s="14"/>
      <c r="U60" s="14"/>
      <c r="V60" s="14"/>
      <c r="W60" s="14"/>
      <c r="X60" s="14"/>
      <c r="Y60" s="14"/>
      <c r="Z60" s="14"/>
      <c r="AA60" s="14"/>
      <c r="AB60" s="14"/>
      <c r="AC60" s="14"/>
      <c r="AD60" s="14"/>
      <c r="AE60" s="14"/>
      <c r="AF60" s="14"/>
      <c r="AG60" s="14"/>
      <c r="AH60" s="14"/>
      <c r="AI60" s="14"/>
      <c r="AJ60" s="14"/>
    </row>
    <row r="61" spans="1:36" ht="12.75" customHeight="1" x14ac:dyDescent="0.25">
      <c r="A61" s="273"/>
      <c r="B61" s="349"/>
      <c r="C61" s="350"/>
      <c r="D61" s="350"/>
      <c r="E61" s="350"/>
      <c r="F61" s="350"/>
      <c r="G61" s="350"/>
      <c r="H61" s="350"/>
      <c r="I61" s="350"/>
      <c r="J61" s="350"/>
      <c r="K61" s="350"/>
      <c r="L61" s="350"/>
      <c r="M61" s="351"/>
      <c r="N61" s="274"/>
      <c r="O61" s="274"/>
      <c r="P61" s="275"/>
      <c r="Q61" s="29"/>
      <c r="R61" s="29"/>
      <c r="S61" s="29"/>
      <c r="T61" s="14"/>
      <c r="U61" s="14"/>
      <c r="V61" s="14"/>
      <c r="W61" s="14"/>
      <c r="X61" s="14"/>
      <c r="Y61" s="14"/>
      <c r="Z61" s="14"/>
      <c r="AA61" s="14"/>
      <c r="AB61" s="14"/>
      <c r="AC61" s="14"/>
      <c r="AD61" s="14"/>
      <c r="AE61" s="14"/>
      <c r="AF61" s="14"/>
      <c r="AG61" s="14"/>
      <c r="AH61" s="14"/>
      <c r="AI61" s="14"/>
      <c r="AJ61" s="14"/>
    </row>
    <row r="62" spans="1:36" ht="12.75" customHeight="1" x14ac:dyDescent="0.25">
      <c r="A62" s="273"/>
      <c r="B62" s="349"/>
      <c r="C62" s="350"/>
      <c r="D62" s="350"/>
      <c r="E62" s="350"/>
      <c r="F62" s="350"/>
      <c r="G62" s="350"/>
      <c r="H62" s="350"/>
      <c r="I62" s="350"/>
      <c r="J62" s="350"/>
      <c r="K62" s="350"/>
      <c r="L62" s="350"/>
      <c r="M62" s="351"/>
      <c r="N62" s="274"/>
      <c r="O62" s="274"/>
      <c r="P62" s="275"/>
      <c r="Q62" s="29"/>
      <c r="R62" s="29"/>
      <c r="S62" s="29"/>
      <c r="T62" s="14"/>
      <c r="U62" s="14"/>
      <c r="V62" s="14"/>
      <c r="W62" s="14"/>
      <c r="X62" s="14"/>
      <c r="Y62" s="14"/>
      <c r="Z62" s="14"/>
      <c r="AA62" s="14"/>
      <c r="AB62" s="14"/>
      <c r="AC62" s="14"/>
      <c r="AD62" s="14"/>
      <c r="AE62" s="14"/>
      <c r="AF62" s="14"/>
      <c r="AG62" s="14"/>
      <c r="AH62" s="14"/>
      <c r="AI62" s="14"/>
      <c r="AJ62" s="14"/>
    </row>
    <row r="63" spans="1:36" ht="12.75" customHeight="1" x14ac:dyDescent="0.25">
      <c r="A63" s="273"/>
      <c r="B63" s="349"/>
      <c r="C63" s="350"/>
      <c r="D63" s="350"/>
      <c r="E63" s="350"/>
      <c r="F63" s="350"/>
      <c r="G63" s="350"/>
      <c r="H63" s="350"/>
      <c r="I63" s="350"/>
      <c r="J63" s="350"/>
      <c r="K63" s="350"/>
      <c r="L63" s="350"/>
      <c r="M63" s="351"/>
      <c r="N63" s="274"/>
      <c r="O63" s="274"/>
      <c r="P63" s="275"/>
      <c r="Q63" s="29"/>
      <c r="R63" s="29"/>
      <c r="S63" s="29"/>
      <c r="T63" s="14"/>
      <c r="U63" s="14"/>
      <c r="V63" s="14"/>
      <c r="W63" s="14"/>
      <c r="X63" s="14"/>
      <c r="Y63" s="14"/>
      <c r="Z63" s="14"/>
      <c r="AA63" s="14"/>
      <c r="AB63" s="14"/>
      <c r="AC63" s="14"/>
      <c r="AD63" s="14"/>
      <c r="AE63" s="14"/>
      <c r="AF63" s="14"/>
      <c r="AG63" s="14"/>
      <c r="AH63" s="14"/>
      <c r="AI63" s="14"/>
      <c r="AJ63" s="14"/>
    </row>
    <row r="64" spans="1:36" ht="12.75" customHeight="1" x14ac:dyDescent="0.25">
      <c r="A64" s="273"/>
      <c r="B64" s="349"/>
      <c r="C64" s="350"/>
      <c r="D64" s="350"/>
      <c r="E64" s="350"/>
      <c r="F64" s="350"/>
      <c r="G64" s="350"/>
      <c r="H64" s="350"/>
      <c r="I64" s="350"/>
      <c r="J64" s="350"/>
      <c r="K64" s="350"/>
      <c r="L64" s="350"/>
      <c r="M64" s="351"/>
      <c r="N64" s="274"/>
      <c r="O64" s="274"/>
      <c r="P64" s="275"/>
      <c r="Q64" s="29"/>
      <c r="R64" s="29"/>
      <c r="S64" s="29"/>
      <c r="T64" s="14"/>
      <c r="U64" s="14"/>
      <c r="V64" s="14"/>
      <c r="W64" s="14"/>
      <c r="X64" s="14"/>
      <c r="Y64" s="14"/>
      <c r="Z64" s="14"/>
      <c r="AA64" s="14"/>
      <c r="AB64" s="14"/>
      <c r="AC64" s="14"/>
      <c r="AD64" s="14"/>
      <c r="AE64" s="14"/>
      <c r="AF64" s="14"/>
      <c r="AG64" s="14"/>
      <c r="AH64" s="14"/>
      <c r="AI64" s="14"/>
      <c r="AJ64" s="14"/>
    </row>
    <row r="65" spans="1:36" ht="12.75" customHeight="1" x14ac:dyDescent="0.25">
      <c r="A65" s="273"/>
      <c r="B65" s="349"/>
      <c r="C65" s="350"/>
      <c r="D65" s="350"/>
      <c r="E65" s="350"/>
      <c r="F65" s="350"/>
      <c r="G65" s="350"/>
      <c r="H65" s="350"/>
      <c r="I65" s="350"/>
      <c r="J65" s="350"/>
      <c r="K65" s="350"/>
      <c r="L65" s="350"/>
      <c r="M65" s="351"/>
      <c r="N65" s="274"/>
      <c r="O65" s="274"/>
      <c r="P65" s="275"/>
      <c r="Q65" s="29"/>
      <c r="R65" s="29"/>
      <c r="S65" s="29"/>
      <c r="T65" s="14"/>
      <c r="U65" s="14"/>
      <c r="V65" s="14"/>
      <c r="W65" s="14"/>
      <c r="X65" s="14"/>
      <c r="Y65" s="14"/>
      <c r="Z65" s="14"/>
      <c r="AA65" s="14"/>
      <c r="AB65" s="14"/>
      <c r="AC65" s="14"/>
      <c r="AD65" s="14"/>
      <c r="AE65" s="14"/>
      <c r="AF65" s="14"/>
      <c r="AG65" s="14"/>
      <c r="AH65" s="14"/>
      <c r="AI65" s="14"/>
      <c r="AJ65" s="14"/>
    </row>
    <row r="66" spans="1:36" ht="12.75" customHeight="1" x14ac:dyDescent="0.25">
      <c r="A66" s="273"/>
      <c r="B66" s="349"/>
      <c r="C66" s="350"/>
      <c r="D66" s="350"/>
      <c r="E66" s="350"/>
      <c r="F66" s="350"/>
      <c r="G66" s="350"/>
      <c r="H66" s="350"/>
      <c r="I66" s="350"/>
      <c r="J66" s="350"/>
      <c r="K66" s="350"/>
      <c r="L66" s="350"/>
      <c r="M66" s="351"/>
      <c r="N66" s="274"/>
      <c r="O66" s="274"/>
      <c r="P66" s="275"/>
      <c r="Q66" s="29"/>
      <c r="R66" s="29"/>
      <c r="S66" s="29"/>
      <c r="T66" s="14"/>
      <c r="U66" s="14"/>
      <c r="V66" s="14"/>
      <c r="W66" s="14"/>
      <c r="X66" s="14"/>
      <c r="Y66" s="14"/>
      <c r="Z66" s="14"/>
      <c r="AA66" s="14"/>
      <c r="AB66" s="14"/>
      <c r="AC66" s="14"/>
      <c r="AD66" s="14"/>
      <c r="AE66" s="14"/>
      <c r="AF66" s="14"/>
      <c r="AG66" s="14"/>
      <c r="AH66" s="14"/>
      <c r="AI66" s="14"/>
      <c r="AJ66" s="14"/>
    </row>
    <row r="67" spans="1:36" ht="12.75" customHeight="1" x14ac:dyDescent="0.25">
      <c r="A67" s="273"/>
      <c r="B67" s="349"/>
      <c r="C67" s="350"/>
      <c r="D67" s="350"/>
      <c r="E67" s="350"/>
      <c r="F67" s="350"/>
      <c r="G67" s="350"/>
      <c r="H67" s="350"/>
      <c r="I67" s="350"/>
      <c r="J67" s="350"/>
      <c r="K67" s="350"/>
      <c r="L67" s="350"/>
      <c r="M67" s="351"/>
      <c r="N67" s="274"/>
      <c r="O67" s="274"/>
      <c r="P67" s="275"/>
      <c r="Q67" s="29"/>
      <c r="R67" s="29"/>
      <c r="S67" s="29"/>
      <c r="T67" s="14"/>
      <c r="U67" s="14"/>
      <c r="V67" s="14"/>
      <c r="W67" s="14"/>
      <c r="X67" s="14"/>
      <c r="Y67" s="14"/>
      <c r="Z67" s="14"/>
      <c r="AA67" s="14"/>
      <c r="AB67" s="14"/>
      <c r="AC67" s="14"/>
      <c r="AD67" s="14"/>
      <c r="AE67" s="14"/>
      <c r="AF67" s="14"/>
      <c r="AG67" s="14"/>
      <c r="AH67" s="14"/>
      <c r="AI67" s="14"/>
      <c r="AJ67" s="14"/>
    </row>
    <row r="68" spans="1:36" ht="12.75" customHeight="1" x14ac:dyDescent="0.25">
      <c r="A68" s="273"/>
      <c r="B68" s="349"/>
      <c r="C68" s="350"/>
      <c r="D68" s="350"/>
      <c r="E68" s="350"/>
      <c r="F68" s="350"/>
      <c r="G68" s="350"/>
      <c r="H68" s="350"/>
      <c r="I68" s="350"/>
      <c r="J68" s="350"/>
      <c r="K68" s="350"/>
      <c r="L68" s="350"/>
      <c r="M68" s="351"/>
      <c r="N68" s="274"/>
      <c r="O68" s="274"/>
      <c r="P68" s="275"/>
      <c r="Q68" s="29"/>
      <c r="R68" s="29"/>
      <c r="S68" s="29"/>
      <c r="T68" s="14"/>
      <c r="U68" s="14"/>
      <c r="V68" s="14"/>
      <c r="W68" s="14"/>
      <c r="X68" s="14"/>
      <c r="Y68" s="14"/>
      <c r="Z68" s="14"/>
      <c r="AA68" s="14"/>
      <c r="AB68" s="14"/>
      <c r="AC68" s="14"/>
      <c r="AD68" s="14"/>
      <c r="AE68" s="14"/>
      <c r="AF68" s="14"/>
      <c r="AG68" s="14"/>
      <c r="AH68" s="14"/>
      <c r="AI68" s="14"/>
      <c r="AJ68" s="14"/>
    </row>
    <row r="69" spans="1:36" ht="12.75" customHeight="1" x14ac:dyDescent="0.25">
      <c r="A69" s="273"/>
      <c r="B69" s="349"/>
      <c r="C69" s="350"/>
      <c r="D69" s="350"/>
      <c r="E69" s="350"/>
      <c r="F69" s="350"/>
      <c r="G69" s="350"/>
      <c r="H69" s="350"/>
      <c r="I69" s="350"/>
      <c r="J69" s="350"/>
      <c r="K69" s="350"/>
      <c r="L69" s="350"/>
      <c r="M69" s="351"/>
      <c r="N69" s="274"/>
      <c r="O69" s="274"/>
      <c r="P69" s="275"/>
      <c r="Q69" s="29"/>
      <c r="R69" s="29"/>
      <c r="S69" s="29"/>
      <c r="T69" s="14"/>
      <c r="U69" s="14"/>
      <c r="V69" s="14"/>
      <c r="W69" s="14"/>
      <c r="X69" s="14"/>
      <c r="Y69" s="14"/>
      <c r="Z69" s="14"/>
      <c r="AA69" s="14"/>
      <c r="AB69" s="14"/>
      <c r="AC69" s="14"/>
      <c r="AD69" s="14"/>
      <c r="AE69" s="14"/>
      <c r="AF69" s="14"/>
      <c r="AG69" s="14"/>
      <c r="AH69" s="14"/>
      <c r="AI69" s="14"/>
      <c r="AJ69" s="14"/>
    </row>
    <row r="70" spans="1:36" ht="12.75" customHeight="1" x14ac:dyDescent="0.25">
      <c r="A70" s="273"/>
      <c r="B70" s="349"/>
      <c r="C70" s="350"/>
      <c r="D70" s="350"/>
      <c r="E70" s="350"/>
      <c r="F70" s="350"/>
      <c r="G70" s="350"/>
      <c r="H70" s="350"/>
      <c r="I70" s="350"/>
      <c r="J70" s="350"/>
      <c r="K70" s="350"/>
      <c r="L70" s="350"/>
      <c r="M70" s="351"/>
      <c r="N70" s="274"/>
      <c r="O70" s="274"/>
      <c r="P70" s="275"/>
      <c r="Q70" s="29"/>
      <c r="R70" s="29"/>
      <c r="S70" s="29"/>
      <c r="T70" s="14"/>
      <c r="U70" s="14"/>
      <c r="V70" s="14"/>
      <c r="W70" s="14"/>
      <c r="X70" s="14"/>
      <c r="Y70" s="14"/>
      <c r="Z70" s="14"/>
      <c r="AA70" s="14"/>
      <c r="AB70" s="14"/>
      <c r="AC70" s="14"/>
      <c r="AD70" s="14"/>
      <c r="AE70" s="14"/>
      <c r="AF70" s="14"/>
      <c r="AG70" s="14"/>
      <c r="AH70" s="14"/>
      <c r="AI70" s="14"/>
      <c r="AJ70" s="14"/>
    </row>
    <row r="71" spans="1:36" ht="12.75" customHeight="1" x14ac:dyDescent="0.25">
      <c r="A71" s="273"/>
      <c r="B71" s="349"/>
      <c r="C71" s="350"/>
      <c r="D71" s="350"/>
      <c r="E71" s="350"/>
      <c r="F71" s="350"/>
      <c r="G71" s="350"/>
      <c r="H71" s="350"/>
      <c r="I71" s="350"/>
      <c r="J71" s="350"/>
      <c r="K71" s="350"/>
      <c r="L71" s="350"/>
      <c r="M71" s="351"/>
      <c r="N71" s="274"/>
      <c r="O71" s="274"/>
      <c r="P71" s="275"/>
      <c r="Q71" s="29"/>
      <c r="R71" s="29"/>
      <c r="S71" s="29"/>
      <c r="T71" s="14"/>
      <c r="U71" s="14"/>
      <c r="V71" s="14"/>
      <c r="W71" s="14"/>
      <c r="X71" s="14"/>
      <c r="Y71" s="14"/>
      <c r="Z71" s="14"/>
      <c r="AA71" s="14"/>
      <c r="AB71" s="14"/>
      <c r="AC71" s="14"/>
      <c r="AD71" s="14"/>
      <c r="AE71" s="14"/>
      <c r="AF71" s="14"/>
      <c r="AG71" s="14"/>
      <c r="AH71" s="14"/>
      <c r="AI71" s="14"/>
      <c r="AJ71" s="14"/>
    </row>
    <row r="72" spans="1:36" ht="12.75" customHeight="1" x14ac:dyDescent="0.25">
      <c r="A72" s="273"/>
      <c r="B72" s="349"/>
      <c r="C72" s="350"/>
      <c r="D72" s="350"/>
      <c r="E72" s="350"/>
      <c r="F72" s="350"/>
      <c r="G72" s="350"/>
      <c r="H72" s="350"/>
      <c r="I72" s="350"/>
      <c r="J72" s="350"/>
      <c r="K72" s="350"/>
      <c r="L72" s="350"/>
      <c r="M72" s="351"/>
      <c r="N72" s="274"/>
      <c r="O72" s="274"/>
      <c r="P72" s="275"/>
      <c r="Q72" s="29"/>
      <c r="R72" s="29"/>
      <c r="S72" s="29"/>
      <c r="T72" s="14"/>
      <c r="U72" s="14"/>
      <c r="V72" s="14"/>
      <c r="W72" s="14"/>
      <c r="X72" s="14"/>
      <c r="Y72" s="14"/>
      <c r="Z72" s="14"/>
      <c r="AA72" s="14"/>
      <c r="AB72" s="14"/>
      <c r="AC72" s="14"/>
      <c r="AD72" s="14"/>
      <c r="AE72" s="14"/>
      <c r="AF72" s="14"/>
      <c r="AG72" s="14"/>
      <c r="AH72" s="14"/>
      <c r="AI72" s="14"/>
      <c r="AJ72" s="14"/>
    </row>
    <row r="73" spans="1:36" ht="12.75" customHeight="1" x14ac:dyDescent="0.25">
      <c r="A73" s="273"/>
      <c r="B73" s="349"/>
      <c r="C73" s="350"/>
      <c r="D73" s="350"/>
      <c r="E73" s="350"/>
      <c r="F73" s="350"/>
      <c r="G73" s="350"/>
      <c r="H73" s="350"/>
      <c r="I73" s="350"/>
      <c r="J73" s="350"/>
      <c r="K73" s="350"/>
      <c r="L73" s="350"/>
      <c r="M73" s="351"/>
      <c r="N73" s="274"/>
      <c r="O73" s="274"/>
      <c r="P73" s="275"/>
      <c r="Q73" s="29"/>
      <c r="R73" s="29"/>
      <c r="S73" s="29"/>
      <c r="T73" s="14"/>
      <c r="U73" s="14"/>
      <c r="V73" s="14"/>
      <c r="W73" s="14"/>
      <c r="X73" s="14"/>
      <c r="Y73" s="14"/>
      <c r="Z73" s="14"/>
      <c r="AA73" s="14"/>
      <c r="AB73" s="14"/>
      <c r="AC73" s="14"/>
      <c r="AD73" s="14"/>
      <c r="AE73" s="14"/>
      <c r="AF73" s="14"/>
      <c r="AG73" s="14"/>
      <c r="AH73" s="14"/>
      <c r="AI73" s="14"/>
      <c r="AJ73" s="14"/>
    </row>
    <row r="74" spans="1:36" ht="12.75" customHeight="1" x14ac:dyDescent="0.25">
      <c r="A74" s="273"/>
      <c r="B74" s="349"/>
      <c r="C74" s="350"/>
      <c r="D74" s="350"/>
      <c r="E74" s="350"/>
      <c r="F74" s="350"/>
      <c r="G74" s="350"/>
      <c r="H74" s="350"/>
      <c r="I74" s="350"/>
      <c r="J74" s="350"/>
      <c r="K74" s="350"/>
      <c r="L74" s="350"/>
      <c r="M74" s="351"/>
      <c r="N74" s="274"/>
      <c r="O74" s="274"/>
      <c r="P74" s="275"/>
      <c r="Q74" s="29"/>
      <c r="R74" s="29"/>
      <c r="S74" s="29"/>
      <c r="T74" s="14"/>
      <c r="U74" s="14"/>
      <c r="V74" s="14"/>
      <c r="W74" s="14"/>
      <c r="X74" s="14"/>
      <c r="Y74" s="14"/>
      <c r="Z74" s="14"/>
      <c r="AA74" s="14"/>
      <c r="AB74" s="14"/>
      <c r="AC74" s="14"/>
      <c r="AD74" s="14"/>
      <c r="AE74" s="14"/>
      <c r="AF74" s="14"/>
      <c r="AG74" s="14"/>
      <c r="AH74" s="14"/>
      <c r="AI74" s="14"/>
      <c r="AJ74" s="14"/>
    </row>
    <row r="75" spans="1:36" ht="12.75" customHeight="1" x14ac:dyDescent="0.25">
      <c r="A75" s="273"/>
      <c r="B75" s="349"/>
      <c r="C75" s="350"/>
      <c r="D75" s="350"/>
      <c r="E75" s="350"/>
      <c r="F75" s="350"/>
      <c r="G75" s="350"/>
      <c r="H75" s="350"/>
      <c r="I75" s="350"/>
      <c r="J75" s="350"/>
      <c r="K75" s="350"/>
      <c r="L75" s="350"/>
      <c r="M75" s="351"/>
      <c r="N75" s="274"/>
      <c r="O75" s="274"/>
      <c r="P75" s="275"/>
      <c r="Q75" s="29"/>
      <c r="R75" s="29"/>
      <c r="S75" s="29"/>
      <c r="T75" s="14"/>
      <c r="U75" s="14"/>
      <c r="V75" s="14"/>
      <c r="W75" s="14"/>
      <c r="X75" s="14"/>
      <c r="Y75" s="14"/>
      <c r="Z75" s="14"/>
      <c r="AA75" s="14"/>
      <c r="AB75" s="14"/>
      <c r="AC75" s="14"/>
      <c r="AD75" s="14"/>
      <c r="AE75" s="14"/>
      <c r="AF75" s="14"/>
      <c r="AG75" s="14"/>
      <c r="AH75" s="14"/>
      <c r="AI75" s="14"/>
      <c r="AJ75" s="14"/>
    </row>
    <row r="76" spans="1:36" ht="12.75" customHeight="1" x14ac:dyDescent="0.25">
      <c r="A76" s="273"/>
      <c r="B76" s="349"/>
      <c r="C76" s="350"/>
      <c r="D76" s="350"/>
      <c r="E76" s="350"/>
      <c r="F76" s="350"/>
      <c r="G76" s="350"/>
      <c r="H76" s="350"/>
      <c r="I76" s="350"/>
      <c r="J76" s="350"/>
      <c r="K76" s="350"/>
      <c r="L76" s="350"/>
      <c r="M76" s="351"/>
      <c r="N76" s="274"/>
      <c r="O76" s="274"/>
      <c r="P76" s="275"/>
      <c r="Q76" s="29"/>
      <c r="R76" s="29"/>
      <c r="S76" s="29"/>
      <c r="T76" s="14"/>
      <c r="U76" s="14"/>
      <c r="V76" s="14"/>
      <c r="W76" s="14"/>
      <c r="X76" s="14"/>
      <c r="Y76" s="14"/>
      <c r="Z76" s="14"/>
      <c r="AA76" s="14"/>
      <c r="AB76" s="14"/>
      <c r="AC76" s="14"/>
      <c r="AD76" s="14"/>
      <c r="AE76" s="14"/>
      <c r="AF76" s="14"/>
      <c r="AG76" s="14"/>
      <c r="AH76" s="14"/>
      <c r="AI76" s="14"/>
      <c r="AJ76" s="14"/>
    </row>
    <row r="77" spans="1:36" ht="12.75" customHeight="1" x14ac:dyDescent="0.25">
      <c r="A77" s="273"/>
      <c r="B77" s="349"/>
      <c r="C77" s="350"/>
      <c r="D77" s="350"/>
      <c r="E77" s="350"/>
      <c r="F77" s="350"/>
      <c r="G77" s="350"/>
      <c r="H77" s="350"/>
      <c r="I77" s="350"/>
      <c r="J77" s="350"/>
      <c r="K77" s="350"/>
      <c r="L77" s="350"/>
      <c r="M77" s="351"/>
      <c r="N77" s="274"/>
      <c r="O77" s="274"/>
      <c r="P77" s="275"/>
      <c r="Q77" s="29"/>
      <c r="R77" s="29"/>
      <c r="S77" s="29"/>
      <c r="T77" s="14"/>
      <c r="U77" s="14"/>
      <c r="V77" s="14"/>
      <c r="W77" s="14"/>
      <c r="X77" s="14"/>
      <c r="Y77" s="14"/>
      <c r="Z77" s="14"/>
      <c r="AA77" s="14"/>
      <c r="AB77" s="14"/>
      <c r="AC77" s="14"/>
      <c r="AD77" s="14"/>
      <c r="AE77" s="14"/>
      <c r="AF77" s="14"/>
      <c r="AG77" s="14"/>
      <c r="AH77" s="14"/>
      <c r="AI77" s="14"/>
      <c r="AJ77" s="14"/>
    </row>
    <row r="78" spans="1:36" ht="12.75" customHeight="1" x14ac:dyDescent="0.25">
      <c r="A78" s="273"/>
      <c r="B78" s="349"/>
      <c r="C78" s="350"/>
      <c r="D78" s="350"/>
      <c r="E78" s="350"/>
      <c r="F78" s="350"/>
      <c r="G78" s="350"/>
      <c r="H78" s="350"/>
      <c r="I78" s="350"/>
      <c r="J78" s="350"/>
      <c r="K78" s="350"/>
      <c r="L78" s="350"/>
      <c r="M78" s="351"/>
      <c r="N78" s="274"/>
      <c r="O78" s="274"/>
      <c r="P78" s="275"/>
      <c r="Q78" s="29"/>
      <c r="R78" s="29"/>
      <c r="S78" s="29"/>
      <c r="T78" s="14"/>
      <c r="U78" s="14"/>
      <c r="V78" s="14"/>
      <c r="W78" s="14"/>
      <c r="X78" s="14"/>
      <c r="Y78" s="14"/>
      <c r="Z78" s="14"/>
      <c r="AA78" s="14"/>
      <c r="AB78" s="14"/>
      <c r="AC78" s="14"/>
      <c r="AD78" s="14"/>
      <c r="AE78" s="14"/>
      <c r="AF78" s="14"/>
      <c r="AG78" s="14"/>
      <c r="AH78" s="14"/>
      <c r="AI78" s="14"/>
      <c r="AJ78" s="14"/>
    </row>
    <row r="79" spans="1:36" ht="12.75" customHeight="1" x14ac:dyDescent="0.25">
      <c r="A79" s="273"/>
      <c r="B79" s="349"/>
      <c r="C79" s="350"/>
      <c r="D79" s="350"/>
      <c r="E79" s="350"/>
      <c r="F79" s="350"/>
      <c r="G79" s="350"/>
      <c r="H79" s="350"/>
      <c r="I79" s="350"/>
      <c r="J79" s="350"/>
      <c r="K79" s="350"/>
      <c r="L79" s="350"/>
      <c r="M79" s="351"/>
      <c r="N79" s="274"/>
      <c r="O79" s="274"/>
      <c r="P79" s="275"/>
      <c r="Q79" s="29"/>
      <c r="R79" s="29"/>
      <c r="S79" s="29"/>
      <c r="T79" s="14"/>
      <c r="U79" s="14"/>
      <c r="V79" s="14"/>
      <c r="W79" s="14"/>
      <c r="X79" s="14"/>
      <c r="Y79" s="14"/>
      <c r="Z79" s="14"/>
      <c r="AA79" s="14"/>
      <c r="AB79" s="14"/>
      <c r="AC79" s="14"/>
      <c r="AD79" s="14"/>
      <c r="AE79" s="14"/>
      <c r="AF79" s="14"/>
      <c r="AG79" s="14"/>
      <c r="AH79" s="14"/>
      <c r="AI79" s="14"/>
      <c r="AJ79" s="14"/>
    </row>
    <row r="80" spans="1:36" ht="12.75" customHeight="1" x14ac:dyDescent="0.25">
      <c r="A80" s="273"/>
      <c r="B80" s="349"/>
      <c r="C80" s="350"/>
      <c r="D80" s="350"/>
      <c r="E80" s="350"/>
      <c r="F80" s="350"/>
      <c r="G80" s="350"/>
      <c r="H80" s="350"/>
      <c r="I80" s="350"/>
      <c r="J80" s="350"/>
      <c r="K80" s="350"/>
      <c r="L80" s="350"/>
      <c r="M80" s="351"/>
      <c r="N80" s="274"/>
      <c r="O80" s="274"/>
      <c r="P80" s="275"/>
      <c r="Q80" s="29"/>
      <c r="R80" s="29"/>
      <c r="S80" s="29"/>
      <c r="T80" s="14"/>
      <c r="U80" s="14"/>
      <c r="V80" s="14"/>
      <c r="W80" s="14"/>
      <c r="X80" s="14"/>
      <c r="Y80" s="14"/>
      <c r="Z80" s="14"/>
      <c r="AA80" s="14"/>
      <c r="AB80" s="14"/>
      <c r="AC80" s="14"/>
      <c r="AD80" s="14"/>
      <c r="AE80" s="14"/>
      <c r="AF80" s="14"/>
      <c r="AG80" s="14"/>
      <c r="AH80" s="14"/>
      <c r="AI80" s="14"/>
      <c r="AJ80" s="14"/>
    </row>
    <row r="81" spans="1:36" ht="12.75" customHeight="1" x14ac:dyDescent="0.25">
      <c r="A81" s="273"/>
      <c r="B81" s="349"/>
      <c r="C81" s="350"/>
      <c r="D81" s="350"/>
      <c r="E81" s="350"/>
      <c r="F81" s="350"/>
      <c r="G81" s="350"/>
      <c r="H81" s="350"/>
      <c r="I81" s="350"/>
      <c r="J81" s="350"/>
      <c r="K81" s="350"/>
      <c r="L81" s="350"/>
      <c r="M81" s="351"/>
      <c r="N81" s="274"/>
      <c r="O81" s="274"/>
      <c r="P81" s="275"/>
      <c r="Q81" s="29"/>
      <c r="R81" s="29"/>
      <c r="S81" s="29"/>
      <c r="T81" s="14"/>
      <c r="U81" s="14"/>
      <c r="V81" s="14"/>
      <c r="W81" s="14"/>
      <c r="X81" s="14"/>
      <c r="Y81" s="14"/>
      <c r="Z81" s="14"/>
      <c r="AA81" s="14"/>
      <c r="AB81" s="14"/>
      <c r="AC81" s="14"/>
      <c r="AD81" s="14"/>
      <c r="AE81" s="14"/>
      <c r="AF81" s="14"/>
      <c r="AG81" s="14"/>
      <c r="AH81" s="14"/>
      <c r="AI81" s="14"/>
      <c r="AJ81" s="14"/>
    </row>
    <row r="82" spans="1:36" ht="12.75" customHeight="1" x14ac:dyDescent="0.25">
      <c r="A82" s="273"/>
      <c r="B82" s="349"/>
      <c r="C82" s="350"/>
      <c r="D82" s="350"/>
      <c r="E82" s="350"/>
      <c r="F82" s="350"/>
      <c r="G82" s="350"/>
      <c r="H82" s="350"/>
      <c r="I82" s="350"/>
      <c r="J82" s="350"/>
      <c r="K82" s="350"/>
      <c r="L82" s="350"/>
      <c r="M82" s="351"/>
      <c r="N82" s="274"/>
      <c r="O82" s="274"/>
      <c r="P82" s="275"/>
      <c r="Q82" s="29"/>
      <c r="R82" s="29"/>
      <c r="S82" s="29"/>
      <c r="T82" s="14"/>
      <c r="U82" s="14"/>
      <c r="V82" s="14"/>
      <c r="W82" s="14"/>
      <c r="X82" s="14"/>
      <c r="Y82" s="14"/>
      <c r="Z82" s="14"/>
      <c r="AA82" s="14"/>
      <c r="AB82" s="14"/>
      <c r="AC82" s="14"/>
      <c r="AD82" s="14"/>
      <c r="AE82" s="14"/>
      <c r="AF82" s="14"/>
      <c r="AG82" s="14"/>
      <c r="AH82" s="14"/>
      <c r="AI82" s="14"/>
      <c r="AJ82" s="14"/>
    </row>
    <row r="83" spans="1:36" ht="12.75" customHeight="1" x14ac:dyDescent="0.25">
      <c r="A83" s="273"/>
      <c r="B83" s="349"/>
      <c r="C83" s="350"/>
      <c r="D83" s="350"/>
      <c r="E83" s="350"/>
      <c r="F83" s="350"/>
      <c r="G83" s="350"/>
      <c r="H83" s="350"/>
      <c r="I83" s="350"/>
      <c r="J83" s="350"/>
      <c r="K83" s="350"/>
      <c r="L83" s="350"/>
      <c r="M83" s="351"/>
      <c r="N83" s="274"/>
      <c r="O83" s="274"/>
      <c r="P83" s="275"/>
      <c r="Q83" s="29"/>
      <c r="R83" s="29"/>
      <c r="S83" s="29"/>
      <c r="T83" s="14"/>
      <c r="U83" s="14"/>
      <c r="V83" s="14"/>
      <c r="W83" s="14"/>
      <c r="X83" s="14"/>
      <c r="Y83" s="14"/>
      <c r="Z83" s="14"/>
      <c r="AA83" s="14"/>
      <c r="AB83" s="14"/>
      <c r="AC83" s="14"/>
      <c r="AD83" s="14"/>
      <c r="AE83" s="14"/>
      <c r="AF83" s="14"/>
      <c r="AG83" s="14"/>
      <c r="AH83" s="14"/>
      <c r="AI83" s="14"/>
      <c r="AJ83" s="14"/>
    </row>
    <row r="84" spans="1:36" ht="12.75" customHeight="1" x14ac:dyDescent="0.25">
      <c r="A84" s="273"/>
      <c r="B84" s="349"/>
      <c r="C84" s="350"/>
      <c r="D84" s="350"/>
      <c r="E84" s="350"/>
      <c r="F84" s="350"/>
      <c r="G84" s="350"/>
      <c r="H84" s="350"/>
      <c r="I84" s="350"/>
      <c r="J84" s="350"/>
      <c r="K84" s="350"/>
      <c r="L84" s="350"/>
      <c r="M84" s="351"/>
      <c r="N84" s="274"/>
      <c r="O84" s="274"/>
      <c r="P84" s="275"/>
      <c r="Q84" s="29"/>
      <c r="R84" s="29"/>
      <c r="S84" s="29"/>
      <c r="T84" s="14"/>
      <c r="U84" s="14"/>
      <c r="V84" s="14"/>
      <c r="W84" s="14"/>
      <c r="X84" s="14"/>
      <c r="Y84" s="14"/>
      <c r="Z84" s="14"/>
      <c r="AA84" s="14"/>
      <c r="AB84" s="14"/>
      <c r="AC84" s="14"/>
      <c r="AD84" s="14"/>
      <c r="AE84" s="14"/>
      <c r="AF84" s="14"/>
      <c r="AG84" s="14"/>
      <c r="AH84" s="14"/>
      <c r="AI84" s="14"/>
      <c r="AJ84" s="14"/>
    </row>
    <row r="85" spans="1:36" ht="12.75" customHeight="1" x14ac:dyDescent="0.25">
      <c r="A85" s="273"/>
      <c r="B85" s="349"/>
      <c r="C85" s="350"/>
      <c r="D85" s="350"/>
      <c r="E85" s="350"/>
      <c r="F85" s="350"/>
      <c r="G85" s="350"/>
      <c r="H85" s="350"/>
      <c r="I85" s="350"/>
      <c r="J85" s="350"/>
      <c r="K85" s="350"/>
      <c r="L85" s="350"/>
      <c r="M85" s="351"/>
      <c r="N85" s="274"/>
      <c r="O85" s="274"/>
      <c r="P85" s="275"/>
      <c r="Q85" s="29"/>
      <c r="R85" s="29"/>
      <c r="S85" s="29"/>
      <c r="T85" s="14"/>
      <c r="U85" s="14"/>
      <c r="V85" s="14"/>
      <c r="W85" s="14"/>
      <c r="X85" s="14"/>
      <c r="Y85" s="14"/>
      <c r="Z85" s="14"/>
      <c r="AA85" s="14"/>
      <c r="AB85" s="14"/>
      <c r="AC85" s="14"/>
      <c r="AD85" s="14"/>
      <c r="AE85" s="14"/>
      <c r="AF85" s="14"/>
      <c r="AG85" s="14"/>
      <c r="AH85" s="14"/>
      <c r="AI85" s="14"/>
      <c r="AJ85" s="14"/>
    </row>
    <row r="86" spans="1:36" ht="12.75" customHeight="1" x14ac:dyDescent="0.25">
      <c r="A86" s="273"/>
      <c r="B86" s="349"/>
      <c r="C86" s="350"/>
      <c r="D86" s="350"/>
      <c r="E86" s="350"/>
      <c r="F86" s="350"/>
      <c r="G86" s="350"/>
      <c r="H86" s="350"/>
      <c r="I86" s="350"/>
      <c r="J86" s="350"/>
      <c r="K86" s="350"/>
      <c r="L86" s="350"/>
      <c r="M86" s="351"/>
      <c r="N86" s="274"/>
      <c r="O86" s="274"/>
      <c r="P86" s="275"/>
      <c r="Q86" s="29"/>
      <c r="R86" s="29"/>
      <c r="S86" s="29"/>
      <c r="T86" s="14"/>
      <c r="U86" s="14"/>
      <c r="V86" s="14"/>
      <c r="W86" s="14"/>
      <c r="X86" s="14"/>
      <c r="Y86" s="14"/>
      <c r="Z86" s="14"/>
      <c r="AA86" s="14"/>
      <c r="AB86" s="14"/>
      <c r="AC86" s="14"/>
      <c r="AD86" s="14"/>
      <c r="AE86" s="14"/>
      <c r="AF86" s="14"/>
      <c r="AG86" s="14"/>
      <c r="AH86" s="14"/>
      <c r="AI86" s="14"/>
      <c r="AJ86" s="14"/>
    </row>
    <row r="87" spans="1:36" ht="12.75" customHeight="1" x14ac:dyDescent="0.25">
      <c r="A87" s="273"/>
      <c r="B87" s="349"/>
      <c r="C87" s="350"/>
      <c r="D87" s="350"/>
      <c r="E87" s="350"/>
      <c r="F87" s="350"/>
      <c r="G87" s="350"/>
      <c r="H87" s="350"/>
      <c r="I87" s="350"/>
      <c r="J87" s="350"/>
      <c r="K87" s="350"/>
      <c r="L87" s="350"/>
      <c r="M87" s="351"/>
      <c r="N87" s="274"/>
      <c r="O87" s="274"/>
      <c r="P87" s="275"/>
      <c r="Q87" s="29"/>
      <c r="R87" s="29"/>
      <c r="S87" s="29"/>
      <c r="T87" s="14"/>
      <c r="U87" s="14"/>
      <c r="V87" s="14"/>
      <c r="W87" s="14"/>
      <c r="X87" s="14"/>
      <c r="Y87" s="14"/>
      <c r="Z87" s="14"/>
      <c r="AA87" s="14"/>
      <c r="AB87" s="14"/>
      <c r="AC87" s="14"/>
      <c r="AD87" s="14"/>
      <c r="AE87" s="14"/>
      <c r="AF87" s="14"/>
      <c r="AG87" s="14"/>
      <c r="AH87" s="14"/>
      <c r="AI87" s="14"/>
      <c r="AJ87" s="14"/>
    </row>
    <row r="88" spans="1:36" ht="12.75" customHeight="1" x14ac:dyDescent="0.25">
      <c r="A88" s="273"/>
      <c r="B88" s="349"/>
      <c r="C88" s="350"/>
      <c r="D88" s="350"/>
      <c r="E88" s="350"/>
      <c r="F88" s="350"/>
      <c r="G88" s="350"/>
      <c r="H88" s="350"/>
      <c r="I88" s="350"/>
      <c r="J88" s="350"/>
      <c r="K88" s="350"/>
      <c r="L88" s="350"/>
      <c r="M88" s="351"/>
      <c r="N88" s="274"/>
      <c r="O88" s="274"/>
      <c r="P88" s="275"/>
      <c r="Q88" s="29"/>
      <c r="R88" s="29"/>
      <c r="S88" s="29"/>
      <c r="T88" s="14"/>
      <c r="U88" s="14"/>
      <c r="V88" s="14"/>
      <c r="W88" s="14"/>
      <c r="X88" s="14"/>
      <c r="Y88" s="14"/>
      <c r="Z88" s="14"/>
      <c r="AA88" s="14"/>
      <c r="AB88" s="14"/>
      <c r="AC88" s="14"/>
      <c r="AD88" s="14"/>
      <c r="AE88" s="14"/>
      <c r="AF88" s="14"/>
      <c r="AG88" s="14"/>
      <c r="AH88" s="14"/>
      <c r="AI88" s="14"/>
      <c r="AJ88" s="14"/>
    </row>
    <row r="89" spans="1:36" ht="12.75" customHeight="1" x14ac:dyDescent="0.25">
      <c r="A89" s="273"/>
      <c r="B89" s="349"/>
      <c r="C89" s="350"/>
      <c r="D89" s="350"/>
      <c r="E89" s="350"/>
      <c r="F89" s="350"/>
      <c r="G89" s="350"/>
      <c r="H89" s="350"/>
      <c r="I89" s="350"/>
      <c r="J89" s="350"/>
      <c r="K89" s="350"/>
      <c r="L89" s="350"/>
      <c r="M89" s="351"/>
      <c r="N89" s="274"/>
      <c r="O89" s="274"/>
      <c r="P89" s="275"/>
      <c r="Q89" s="29"/>
      <c r="R89" s="29"/>
      <c r="S89" s="29"/>
      <c r="T89" s="14"/>
      <c r="U89" s="14"/>
      <c r="V89" s="14"/>
      <c r="W89" s="14"/>
      <c r="X89" s="14"/>
      <c r="Y89" s="14"/>
      <c r="Z89" s="14"/>
      <c r="AA89" s="14"/>
      <c r="AB89" s="14"/>
      <c r="AC89" s="14"/>
      <c r="AD89" s="14"/>
      <c r="AE89" s="14"/>
      <c r="AF89" s="14"/>
      <c r="AG89" s="14"/>
      <c r="AH89" s="14"/>
      <c r="AI89" s="14"/>
      <c r="AJ89" s="14"/>
    </row>
    <row r="90" spans="1:36" ht="12.75" customHeight="1" x14ac:dyDescent="0.25">
      <c r="A90" s="273"/>
      <c r="B90" s="349"/>
      <c r="C90" s="350"/>
      <c r="D90" s="350"/>
      <c r="E90" s="350"/>
      <c r="F90" s="350"/>
      <c r="G90" s="350"/>
      <c r="H90" s="350"/>
      <c r="I90" s="350"/>
      <c r="J90" s="350"/>
      <c r="K90" s="350"/>
      <c r="L90" s="350"/>
      <c r="M90" s="351"/>
      <c r="N90" s="274"/>
      <c r="O90" s="274"/>
      <c r="P90" s="275"/>
      <c r="Q90" s="29"/>
      <c r="R90" s="29"/>
      <c r="S90" s="29"/>
      <c r="T90" s="14"/>
      <c r="U90" s="14"/>
      <c r="V90" s="14"/>
      <c r="W90" s="14"/>
      <c r="X90" s="14"/>
      <c r="Y90" s="14"/>
      <c r="Z90" s="14"/>
      <c r="AA90" s="14"/>
      <c r="AB90" s="14"/>
      <c r="AC90" s="14"/>
      <c r="AD90" s="14"/>
      <c r="AE90" s="14"/>
      <c r="AF90" s="14"/>
      <c r="AG90" s="14"/>
      <c r="AH90" s="14"/>
      <c r="AI90" s="14"/>
      <c r="AJ90" s="14"/>
    </row>
    <row r="91" spans="1:36" ht="12.75" customHeight="1" x14ac:dyDescent="0.25">
      <c r="A91" s="273"/>
      <c r="B91" s="349"/>
      <c r="C91" s="350"/>
      <c r="D91" s="350"/>
      <c r="E91" s="350"/>
      <c r="F91" s="350"/>
      <c r="G91" s="350"/>
      <c r="H91" s="350"/>
      <c r="I91" s="350"/>
      <c r="J91" s="350"/>
      <c r="K91" s="350"/>
      <c r="L91" s="350"/>
      <c r="M91" s="351"/>
      <c r="N91" s="274"/>
      <c r="O91" s="274"/>
      <c r="P91" s="275"/>
      <c r="Q91" s="29"/>
      <c r="R91" s="29"/>
      <c r="S91" s="29"/>
      <c r="T91" s="14"/>
      <c r="U91" s="14"/>
      <c r="V91" s="14"/>
      <c r="W91" s="14"/>
      <c r="X91" s="14"/>
      <c r="Y91" s="14"/>
      <c r="Z91" s="14"/>
      <c r="AA91" s="14"/>
      <c r="AB91" s="14"/>
      <c r="AC91" s="14"/>
      <c r="AD91" s="14"/>
      <c r="AE91" s="14"/>
      <c r="AF91" s="14"/>
      <c r="AG91" s="14"/>
      <c r="AH91" s="14"/>
      <c r="AI91" s="14"/>
      <c r="AJ91" s="14"/>
    </row>
    <row r="92" spans="1:36" ht="12.75" customHeight="1" x14ac:dyDescent="0.25">
      <c r="A92" s="273"/>
      <c r="B92" s="349"/>
      <c r="C92" s="350"/>
      <c r="D92" s="350"/>
      <c r="E92" s="350"/>
      <c r="F92" s="350"/>
      <c r="G92" s="350"/>
      <c r="H92" s="350"/>
      <c r="I92" s="350"/>
      <c r="J92" s="350"/>
      <c r="K92" s="350"/>
      <c r="L92" s="350"/>
      <c r="M92" s="351"/>
      <c r="N92" s="274"/>
      <c r="O92" s="274"/>
      <c r="P92" s="275"/>
      <c r="Q92" s="29"/>
      <c r="R92" s="29"/>
      <c r="S92" s="29"/>
      <c r="T92" s="14"/>
      <c r="U92" s="14"/>
      <c r="V92" s="14"/>
      <c r="W92" s="14"/>
      <c r="X92" s="14"/>
      <c r="Y92" s="14"/>
      <c r="Z92" s="14"/>
      <c r="AA92" s="14"/>
      <c r="AB92" s="14"/>
      <c r="AC92" s="14"/>
      <c r="AD92" s="14"/>
      <c r="AE92" s="14"/>
      <c r="AF92" s="14"/>
      <c r="AG92" s="14"/>
      <c r="AH92" s="14"/>
      <c r="AI92" s="14"/>
      <c r="AJ92" s="14"/>
    </row>
    <row r="93" spans="1:36" ht="12.75" customHeight="1" x14ac:dyDescent="0.25">
      <c r="A93" s="273"/>
      <c r="B93" s="349"/>
      <c r="C93" s="350"/>
      <c r="D93" s="350"/>
      <c r="E93" s="350"/>
      <c r="F93" s="350"/>
      <c r="G93" s="350"/>
      <c r="H93" s="350"/>
      <c r="I93" s="350"/>
      <c r="J93" s="350"/>
      <c r="K93" s="350"/>
      <c r="L93" s="350"/>
      <c r="M93" s="351"/>
      <c r="N93" s="274"/>
      <c r="O93" s="274"/>
      <c r="P93" s="275"/>
      <c r="Q93" s="29"/>
      <c r="R93" s="29"/>
      <c r="S93" s="29"/>
      <c r="T93" s="14"/>
      <c r="U93" s="14"/>
      <c r="V93" s="14"/>
      <c r="W93" s="14"/>
      <c r="X93" s="14"/>
      <c r="Y93" s="14"/>
      <c r="Z93" s="14"/>
      <c r="AA93" s="14"/>
      <c r="AB93" s="14"/>
      <c r="AC93" s="14"/>
      <c r="AD93" s="14"/>
      <c r="AE93" s="14"/>
      <c r="AF93" s="14"/>
      <c r="AG93" s="14"/>
      <c r="AH93" s="14"/>
      <c r="AI93" s="14"/>
      <c r="AJ93" s="14"/>
    </row>
    <row r="94" spans="1:36" ht="12.75" customHeight="1" x14ac:dyDescent="0.25">
      <c r="A94" s="273"/>
      <c r="B94" s="349"/>
      <c r="C94" s="350"/>
      <c r="D94" s="350"/>
      <c r="E94" s="350"/>
      <c r="F94" s="350"/>
      <c r="G94" s="350"/>
      <c r="H94" s="350"/>
      <c r="I94" s="350"/>
      <c r="J94" s="350"/>
      <c r="K94" s="350"/>
      <c r="L94" s="350"/>
      <c r="M94" s="351"/>
      <c r="N94" s="274"/>
      <c r="O94" s="274"/>
      <c r="P94" s="275"/>
      <c r="Q94" s="29"/>
      <c r="R94" s="29"/>
      <c r="S94" s="29"/>
      <c r="T94" s="14"/>
      <c r="U94" s="14"/>
      <c r="V94" s="14"/>
      <c r="W94" s="14"/>
      <c r="X94" s="14"/>
      <c r="Y94" s="14"/>
      <c r="Z94" s="14"/>
      <c r="AA94" s="14"/>
      <c r="AB94" s="14"/>
      <c r="AC94" s="14"/>
      <c r="AD94" s="14"/>
      <c r="AE94" s="14"/>
      <c r="AF94" s="14"/>
      <c r="AG94" s="14"/>
      <c r="AH94" s="14"/>
      <c r="AI94" s="14"/>
      <c r="AJ94" s="14"/>
    </row>
    <row r="95" spans="1:36" ht="12.75" customHeight="1" x14ac:dyDescent="0.25">
      <c r="A95" s="273"/>
      <c r="B95" s="349"/>
      <c r="C95" s="350"/>
      <c r="D95" s="350"/>
      <c r="E95" s="350"/>
      <c r="F95" s="350"/>
      <c r="G95" s="350"/>
      <c r="H95" s="350"/>
      <c r="I95" s="350"/>
      <c r="J95" s="350"/>
      <c r="K95" s="350"/>
      <c r="L95" s="350"/>
      <c r="M95" s="351"/>
      <c r="N95" s="274"/>
      <c r="O95" s="274"/>
      <c r="P95" s="275"/>
      <c r="Q95" s="29"/>
      <c r="R95" s="29"/>
      <c r="S95" s="29"/>
      <c r="T95" s="14"/>
      <c r="U95" s="14"/>
      <c r="V95" s="14"/>
      <c r="W95" s="14"/>
      <c r="X95" s="14"/>
      <c r="Y95" s="14"/>
      <c r="Z95" s="14"/>
      <c r="AA95" s="14"/>
      <c r="AB95" s="14"/>
      <c r="AC95" s="14"/>
      <c r="AD95" s="14"/>
      <c r="AE95" s="14"/>
      <c r="AF95" s="14"/>
      <c r="AG95" s="14"/>
      <c r="AH95" s="14"/>
      <c r="AI95" s="14"/>
      <c r="AJ95" s="14"/>
    </row>
    <row r="96" spans="1:36" ht="12.75" customHeight="1" x14ac:dyDescent="0.25">
      <c r="A96" s="273"/>
      <c r="B96" s="349"/>
      <c r="C96" s="350"/>
      <c r="D96" s="350"/>
      <c r="E96" s="350"/>
      <c r="F96" s="350"/>
      <c r="G96" s="350"/>
      <c r="H96" s="350"/>
      <c r="I96" s="350"/>
      <c r="J96" s="350"/>
      <c r="K96" s="350"/>
      <c r="L96" s="350"/>
      <c r="M96" s="351"/>
      <c r="N96" s="274"/>
      <c r="O96" s="274"/>
      <c r="P96" s="275"/>
      <c r="Q96" s="29"/>
      <c r="R96" s="29"/>
      <c r="S96" s="29"/>
      <c r="T96" s="14"/>
      <c r="U96" s="14"/>
      <c r="V96" s="14"/>
      <c r="W96" s="14"/>
      <c r="X96" s="14"/>
      <c r="Y96" s="14"/>
      <c r="Z96" s="14"/>
      <c r="AA96" s="14"/>
      <c r="AB96" s="14"/>
      <c r="AC96" s="14"/>
      <c r="AD96" s="14"/>
      <c r="AE96" s="14"/>
      <c r="AF96" s="14"/>
      <c r="AG96" s="14"/>
      <c r="AH96" s="14"/>
      <c r="AI96" s="14"/>
      <c r="AJ96" s="14"/>
    </row>
    <row r="97" spans="1:36" ht="12.75" customHeight="1" x14ac:dyDescent="0.25">
      <c r="A97" s="273"/>
      <c r="B97" s="349"/>
      <c r="C97" s="350"/>
      <c r="D97" s="350"/>
      <c r="E97" s="350"/>
      <c r="F97" s="350"/>
      <c r="G97" s="350"/>
      <c r="H97" s="350"/>
      <c r="I97" s="350"/>
      <c r="J97" s="350"/>
      <c r="K97" s="350"/>
      <c r="L97" s="350"/>
      <c r="M97" s="351"/>
      <c r="N97" s="274"/>
      <c r="O97" s="274"/>
      <c r="P97" s="275"/>
      <c r="Q97" s="29"/>
      <c r="R97" s="29"/>
      <c r="S97" s="29"/>
      <c r="T97" s="14"/>
      <c r="U97" s="14"/>
      <c r="V97" s="14"/>
      <c r="W97" s="14"/>
      <c r="X97" s="14"/>
      <c r="Y97" s="14"/>
      <c r="Z97" s="14"/>
      <c r="AA97" s="14"/>
      <c r="AB97" s="14"/>
      <c r="AC97" s="14"/>
      <c r="AD97" s="14"/>
      <c r="AE97" s="14"/>
      <c r="AF97" s="14"/>
      <c r="AG97" s="14"/>
      <c r="AH97" s="14"/>
      <c r="AI97" s="14"/>
      <c r="AJ97" s="14"/>
    </row>
    <row r="98" spans="1:36" ht="12.75" customHeight="1" x14ac:dyDescent="0.25">
      <c r="A98" s="273"/>
      <c r="B98" s="349"/>
      <c r="C98" s="350"/>
      <c r="D98" s="350"/>
      <c r="E98" s="350"/>
      <c r="F98" s="350"/>
      <c r="G98" s="350"/>
      <c r="H98" s="350"/>
      <c r="I98" s="350"/>
      <c r="J98" s="350"/>
      <c r="K98" s="350"/>
      <c r="L98" s="350"/>
      <c r="M98" s="351"/>
      <c r="N98" s="274"/>
      <c r="O98" s="274"/>
      <c r="P98" s="275"/>
      <c r="Q98" s="29"/>
      <c r="R98" s="29"/>
      <c r="S98" s="29"/>
      <c r="T98" s="14"/>
      <c r="U98" s="14"/>
      <c r="V98" s="14"/>
      <c r="W98" s="14"/>
      <c r="X98" s="14"/>
      <c r="Y98" s="14"/>
      <c r="Z98" s="14"/>
      <c r="AA98" s="14"/>
      <c r="AB98" s="14"/>
      <c r="AC98" s="14"/>
      <c r="AD98" s="14"/>
      <c r="AE98" s="14"/>
      <c r="AF98" s="14"/>
      <c r="AG98" s="14"/>
      <c r="AH98" s="14"/>
      <c r="AI98" s="14"/>
      <c r="AJ98" s="14"/>
    </row>
    <row r="99" spans="1:36" ht="12.75" customHeight="1" thickBot="1" x14ac:dyDescent="0.3">
      <c r="A99" s="273"/>
      <c r="B99" s="352"/>
      <c r="C99" s="353"/>
      <c r="D99" s="353"/>
      <c r="E99" s="353"/>
      <c r="F99" s="353"/>
      <c r="G99" s="353"/>
      <c r="H99" s="353"/>
      <c r="I99" s="353"/>
      <c r="J99" s="353"/>
      <c r="K99" s="353"/>
      <c r="L99" s="353"/>
      <c r="M99" s="354"/>
      <c r="N99" s="274"/>
      <c r="O99" s="274"/>
      <c r="P99" s="275"/>
      <c r="Q99" s="29"/>
      <c r="R99" s="29"/>
      <c r="S99" s="29"/>
      <c r="T99" s="14"/>
      <c r="U99" s="14"/>
      <c r="V99" s="14"/>
      <c r="W99" s="14"/>
      <c r="X99" s="14"/>
      <c r="Y99" s="14"/>
      <c r="Z99" s="14"/>
      <c r="AA99" s="14"/>
      <c r="AB99" s="14"/>
      <c r="AC99" s="14"/>
      <c r="AD99" s="14"/>
      <c r="AE99" s="14"/>
      <c r="AF99" s="14"/>
      <c r="AG99" s="14"/>
      <c r="AH99" s="14"/>
      <c r="AI99" s="14"/>
      <c r="AJ99" s="14"/>
    </row>
    <row r="100" spans="1:36" ht="12.75" customHeight="1" x14ac:dyDescent="0.25">
      <c r="A100" s="273"/>
      <c r="B100" s="282"/>
      <c r="C100" s="282"/>
      <c r="D100" s="282"/>
      <c r="E100" s="282"/>
      <c r="F100" s="282"/>
      <c r="G100" s="282"/>
      <c r="H100" s="282"/>
      <c r="I100" s="282"/>
      <c r="J100" s="282"/>
      <c r="K100" s="274"/>
      <c r="L100" s="274"/>
      <c r="M100" s="274"/>
      <c r="N100" s="274"/>
      <c r="O100" s="274"/>
      <c r="P100" s="275"/>
      <c r="Q100" s="29"/>
      <c r="R100" s="29"/>
      <c r="S100" s="29"/>
      <c r="T100" s="14"/>
      <c r="U100" s="14"/>
      <c r="V100" s="14"/>
      <c r="W100" s="14"/>
      <c r="X100" s="14"/>
      <c r="Y100" s="14"/>
      <c r="Z100" s="14"/>
      <c r="AA100" s="14"/>
      <c r="AB100" s="14"/>
      <c r="AC100" s="14"/>
      <c r="AD100" s="14"/>
      <c r="AE100" s="14"/>
      <c r="AF100" s="14"/>
      <c r="AG100" s="14"/>
      <c r="AH100" s="14"/>
      <c r="AI100" s="14"/>
      <c r="AJ100" s="14"/>
    </row>
    <row r="101" spans="1:36" ht="12.75" customHeight="1" x14ac:dyDescent="0.25">
      <c r="A101" s="273"/>
      <c r="B101" s="282"/>
      <c r="C101" s="282"/>
      <c r="D101" s="282"/>
      <c r="E101" s="282"/>
      <c r="F101" s="282"/>
      <c r="G101" s="282"/>
      <c r="H101" s="282"/>
      <c r="I101" s="282"/>
      <c r="J101" s="282"/>
      <c r="K101" s="274"/>
      <c r="L101" s="274"/>
      <c r="M101" s="274"/>
      <c r="N101" s="274"/>
      <c r="O101" s="274"/>
      <c r="P101" s="275"/>
      <c r="Q101" s="29"/>
      <c r="R101" s="29"/>
      <c r="S101" s="29"/>
      <c r="T101" s="14"/>
      <c r="U101" s="14"/>
      <c r="V101" s="14"/>
      <c r="W101" s="14"/>
      <c r="X101" s="14"/>
      <c r="Y101" s="14"/>
      <c r="Z101" s="14"/>
      <c r="AA101" s="14"/>
      <c r="AB101" s="14"/>
      <c r="AC101" s="14"/>
      <c r="AD101" s="14"/>
      <c r="AE101" s="14"/>
      <c r="AF101" s="14"/>
      <c r="AG101" s="14"/>
      <c r="AH101" s="14"/>
      <c r="AI101" s="14"/>
      <c r="AJ101" s="14"/>
    </row>
    <row r="102" spans="1:36" ht="12.75" customHeight="1" x14ac:dyDescent="0.25">
      <c r="A102" s="273"/>
      <c r="B102" s="282"/>
      <c r="C102" s="282"/>
      <c r="D102" s="282"/>
      <c r="E102" s="282"/>
      <c r="F102" s="282"/>
      <c r="G102" s="282"/>
      <c r="H102" s="282"/>
      <c r="I102" s="282"/>
      <c r="J102" s="282"/>
      <c r="K102" s="274"/>
      <c r="L102" s="274"/>
      <c r="M102" s="274"/>
      <c r="N102" s="274"/>
      <c r="O102" s="274"/>
      <c r="P102" s="275"/>
      <c r="Q102" s="29"/>
      <c r="R102" s="29"/>
      <c r="S102" s="29"/>
      <c r="T102" s="14"/>
      <c r="U102" s="14"/>
      <c r="V102" s="14"/>
      <c r="W102" s="14"/>
      <c r="X102" s="14"/>
      <c r="Y102" s="14"/>
      <c r="Z102" s="14"/>
      <c r="AA102" s="14"/>
      <c r="AB102" s="14"/>
      <c r="AC102" s="14"/>
      <c r="AD102" s="14"/>
      <c r="AE102" s="14"/>
      <c r="AF102" s="14"/>
      <c r="AG102" s="14"/>
      <c r="AH102" s="14"/>
      <c r="AI102" s="14"/>
      <c r="AJ102" s="14"/>
    </row>
    <row r="103" spans="1:36" ht="12.75" customHeight="1" x14ac:dyDescent="0.25">
      <c r="A103" s="273"/>
      <c r="B103" s="282"/>
      <c r="C103" s="282"/>
      <c r="D103" s="282"/>
      <c r="E103" s="282"/>
      <c r="F103" s="282"/>
      <c r="G103" s="282"/>
      <c r="H103" s="282"/>
      <c r="I103" s="282"/>
      <c r="J103" s="282"/>
      <c r="K103" s="274"/>
      <c r="L103" s="274"/>
      <c r="M103" s="274"/>
      <c r="N103" s="274"/>
      <c r="O103" s="274"/>
      <c r="P103" s="275"/>
      <c r="Q103" s="29"/>
      <c r="R103" s="29"/>
      <c r="S103" s="29"/>
      <c r="T103" s="14"/>
      <c r="U103" s="14"/>
      <c r="V103" s="14"/>
      <c r="W103" s="14"/>
      <c r="X103" s="14"/>
      <c r="Y103" s="14"/>
      <c r="Z103" s="14"/>
      <c r="AA103" s="14"/>
      <c r="AB103" s="14"/>
      <c r="AC103" s="14"/>
      <c r="AD103" s="14"/>
      <c r="AE103" s="14"/>
      <c r="AF103" s="14"/>
      <c r="AG103" s="14"/>
      <c r="AH103" s="14"/>
      <c r="AI103" s="14"/>
      <c r="AJ103" s="14"/>
    </row>
    <row r="104" spans="1:36" ht="12.75" customHeight="1" x14ac:dyDescent="0.25">
      <c r="A104" s="273"/>
      <c r="B104" s="282"/>
      <c r="C104" s="282"/>
      <c r="D104" s="282"/>
      <c r="E104" s="282"/>
      <c r="F104" s="282"/>
      <c r="G104" s="282"/>
      <c r="H104" s="282"/>
      <c r="I104" s="282"/>
      <c r="J104" s="282"/>
      <c r="K104" s="274"/>
      <c r="L104" s="274"/>
      <c r="M104" s="274"/>
      <c r="N104" s="274"/>
      <c r="O104" s="274"/>
      <c r="P104" s="275"/>
      <c r="Q104" s="29"/>
      <c r="R104" s="29"/>
      <c r="S104" s="29"/>
      <c r="T104" s="14"/>
      <c r="U104" s="14"/>
      <c r="V104" s="14"/>
      <c r="W104" s="14"/>
      <c r="X104" s="14"/>
      <c r="Y104" s="14"/>
      <c r="Z104" s="14"/>
      <c r="AA104" s="14"/>
      <c r="AB104" s="14"/>
      <c r="AC104" s="14"/>
      <c r="AD104" s="14"/>
      <c r="AE104" s="14"/>
      <c r="AF104" s="14"/>
      <c r="AG104" s="14"/>
      <c r="AH104" s="14"/>
      <c r="AI104" s="14"/>
      <c r="AJ104" s="14"/>
    </row>
    <row r="105" spans="1:36" ht="12.75" customHeight="1" x14ac:dyDescent="0.3">
      <c r="A105" s="273"/>
      <c r="B105" s="278"/>
      <c r="C105" s="274"/>
      <c r="D105" s="274"/>
      <c r="E105" s="274"/>
      <c r="F105" s="274"/>
      <c r="G105" s="274"/>
      <c r="H105" s="274"/>
      <c r="I105" s="274"/>
      <c r="J105" s="274"/>
      <c r="K105" s="274"/>
      <c r="L105" s="274"/>
      <c r="M105" s="274"/>
      <c r="N105" s="274"/>
      <c r="O105" s="274"/>
      <c r="P105" s="275"/>
      <c r="Q105" s="29"/>
      <c r="R105" s="29"/>
      <c r="S105" s="29"/>
      <c r="T105" s="14"/>
      <c r="U105" s="14"/>
      <c r="V105" s="14"/>
      <c r="W105" s="14"/>
      <c r="X105" s="14"/>
      <c r="Y105" s="14"/>
      <c r="Z105" s="14"/>
      <c r="AA105" s="14"/>
      <c r="AB105" s="14"/>
      <c r="AC105" s="14"/>
      <c r="AD105" s="14"/>
      <c r="AE105" s="14"/>
      <c r="AF105" s="14"/>
      <c r="AG105" s="14"/>
      <c r="AH105" s="14"/>
      <c r="AI105" s="14"/>
      <c r="AJ105" s="14"/>
    </row>
    <row r="106" spans="1:36" ht="12.75" customHeight="1" x14ac:dyDescent="0.3">
      <c r="A106" s="273"/>
      <c r="B106" s="278"/>
      <c r="C106" s="274"/>
      <c r="D106" s="274"/>
      <c r="E106" s="274"/>
      <c r="F106" s="274"/>
      <c r="G106" s="274"/>
      <c r="H106" s="274"/>
      <c r="I106" s="274"/>
      <c r="J106" s="274"/>
      <c r="K106" s="274"/>
      <c r="L106" s="274"/>
      <c r="M106" s="274"/>
      <c r="N106" s="274"/>
      <c r="O106" s="274"/>
      <c r="P106" s="275"/>
      <c r="Q106" s="29"/>
      <c r="R106" s="29"/>
      <c r="S106" s="29"/>
      <c r="T106" s="14"/>
      <c r="U106" s="14"/>
      <c r="V106" s="14"/>
      <c r="W106" s="14"/>
      <c r="X106" s="14"/>
      <c r="Y106" s="14"/>
      <c r="Z106" s="14"/>
      <c r="AA106" s="14"/>
      <c r="AB106" s="14"/>
      <c r="AC106" s="14"/>
      <c r="AD106" s="14"/>
      <c r="AE106" s="14"/>
      <c r="AF106" s="14"/>
      <c r="AG106" s="14"/>
      <c r="AH106" s="14"/>
      <c r="AI106" s="14"/>
      <c r="AJ106" s="14"/>
    </row>
    <row r="107" spans="1:36" ht="12.75" customHeight="1" x14ac:dyDescent="0.3">
      <c r="A107" s="273"/>
      <c r="B107" s="278"/>
      <c r="C107" s="274"/>
      <c r="D107" s="274"/>
      <c r="E107" s="274"/>
      <c r="F107" s="274"/>
      <c r="G107" s="274"/>
      <c r="H107" s="274"/>
      <c r="I107" s="274"/>
      <c r="J107" s="274"/>
      <c r="K107" s="274"/>
      <c r="L107" s="274"/>
      <c r="M107" s="274"/>
      <c r="N107" s="274"/>
      <c r="O107" s="274"/>
      <c r="P107" s="275"/>
      <c r="Q107" s="29"/>
      <c r="R107" s="29"/>
      <c r="S107" s="29"/>
      <c r="T107" s="14"/>
      <c r="U107" s="14"/>
      <c r="V107" s="14"/>
      <c r="W107" s="14"/>
      <c r="X107" s="14"/>
      <c r="Y107" s="14"/>
      <c r="Z107" s="14"/>
      <c r="AA107" s="14"/>
      <c r="AB107" s="14"/>
      <c r="AC107" s="14"/>
      <c r="AD107" s="14"/>
      <c r="AE107" s="14"/>
      <c r="AF107" s="14"/>
      <c r="AG107" s="14"/>
      <c r="AH107" s="14"/>
      <c r="AI107" s="14"/>
      <c r="AJ107" s="14"/>
    </row>
    <row r="108" spans="1:36" ht="12.75" customHeight="1" thickBot="1" x14ac:dyDescent="0.35">
      <c r="A108" s="289"/>
      <c r="B108" s="290"/>
      <c r="C108" s="291"/>
      <c r="D108" s="291"/>
      <c r="E108" s="291"/>
      <c r="F108" s="291"/>
      <c r="G108" s="291"/>
      <c r="H108" s="291"/>
      <c r="I108" s="291"/>
      <c r="J108" s="291"/>
      <c r="K108" s="291"/>
      <c r="L108" s="291"/>
      <c r="M108" s="291"/>
      <c r="N108" s="291"/>
      <c r="O108" s="291"/>
      <c r="P108" s="292"/>
      <c r="Q108" s="29"/>
      <c r="R108" s="29"/>
      <c r="S108" s="29"/>
      <c r="T108" s="14"/>
      <c r="U108" s="14"/>
      <c r="V108" s="14"/>
      <c r="W108" s="14"/>
      <c r="X108" s="14"/>
      <c r="Y108" s="14"/>
      <c r="Z108" s="14"/>
      <c r="AA108" s="14"/>
      <c r="AB108" s="14"/>
      <c r="AC108" s="14"/>
      <c r="AD108" s="14"/>
      <c r="AE108" s="14"/>
      <c r="AF108" s="14"/>
      <c r="AG108" s="14"/>
      <c r="AH108" s="14"/>
      <c r="AI108" s="14"/>
      <c r="AJ108" s="14"/>
    </row>
    <row r="109" spans="1:36" ht="12.75" customHeight="1" x14ac:dyDescent="0.3">
      <c r="A109" s="29"/>
      <c r="B109" s="293"/>
      <c r="C109" s="29"/>
      <c r="D109" s="29"/>
      <c r="E109" s="29"/>
      <c r="F109" s="29"/>
      <c r="G109" s="29"/>
      <c r="H109" s="29"/>
      <c r="I109" s="29"/>
      <c r="J109" s="29"/>
      <c r="K109" s="29"/>
      <c r="L109" s="29"/>
      <c r="M109" s="29"/>
      <c r="N109" s="29"/>
      <c r="O109" s="29"/>
      <c r="P109" s="29"/>
      <c r="Q109" s="29"/>
      <c r="R109" s="29"/>
      <c r="S109" s="29"/>
      <c r="T109" s="14"/>
      <c r="U109" s="14"/>
      <c r="V109" s="14"/>
      <c r="W109" s="14"/>
      <c r="X109" s="14"/>
      <c r="Y109" s="14"/>
      <c r="Z109" s="14"/>
      <c r="AA109" s="14"/>
      <c r="AB109" s="14"/>
      <c r="AC109" s="14"/>
      <c r="AD109" s="14"/>
      <c r="AE109" s="14"/>
      <c r="AF109" s="14"/>
      <c r="AG109" s="14"/>
      <c r="AH109" s="14"/>
      <c r="AI109" s="14"/>
      <c r="AJ109" s="14"/>
    </row>
    <row r="110" spans="1:36" ht="12.75" customHeight="1" x14ac:dyDescent="0.3">
      <c r="A110" s="29"/>
      <c r="B110" s="293"/>
      <c r="C110" s="29"/>
      <c r="D110" s="29"/>
      <c r="E110" s="29"/>
      <c r="F110" s="29"/>
      <c r="G110" s="29"/>
      <c r="H110" s="29"/>
      <c r="I110" s="29"/>
      <c r="J110" s="29"/>
      <c r="K110" s="29"/>
      <c r="L110" s="29"/>
      <c r="M110" s="29"/>
      <c r="N110" s="29"/>
      <c r="O110" s="29"/>
      <c r="P110" s="29"/>
      <c r="Q110" s="29"/>
      <c r="R110" s="29"/>
      <c r="S110" s="29"/>
      <c r="T110" s="14"/>
      <c r="U110" s="14"/>
      <c r="V110" s="14"/>
      <c r="W110" s="14"/>
      <c r="X110" s="14"/>
      <c r="Y110" s="14"/>
      <c r="Z110" s="14"/>
      <c r="AA110" s="14"/>
      <c r="AB110" s="14"/>
      <c r="AC110" s="14"/>
      <c r="AD110" s="14"/>
      <c r="AE110" s="14"/>
      <c r="AF110" s="14"/>
      <c r="AG110" s="14"/>
      <c r="AH110" s="14"/>
      <c r="AI110" s="14"/>
      <c r="AJ110" s="14"/>
    </row>
    <row r="111" spans="1:36" ht="13" x14ac:dyDescent="0.3">
      <c r="A111" s="29"/>
      <c r="B111" s="293"/>
      <c r="C111" s="29"/>
      <c r="D111" s="29"/>
      <c r="E111" s="29"/>
      <c r="F111" s="29"/>
      <c r="G111" s="29"/>
      <c r="H111" s="29"/>
      <c r="I111" s="29"/>
      <c r="J111" s="29"/>
      <c r="K111" s="29"/>
      <c r="L111" s="29"/>
      <c r="M111" s="29"/>
      <c r="N111" s="29"/>
      <c r="O111" s="29"/>
      <c r="P111" s="29"/>
      <c r="Q111" s="29"/>
      <c r="R111" s="29"/>
      <c r="S111" s="29"/>
      <c r="T111" s="14"/>
      <c r="U111" s="14"/>
      <c r="V111" s="14"/>
      <c r="W111" s="14"/>
      <c r="X111" s="14"/>
      <c r="Y111" s="14"/>
      <c r="Z111" s="14"/>
      <c r="AA111" s="14"/>
      <c r="AB111" s="14"/>
      <c r="AC111" s="14"/>
      <c r="AD111" s="14"/>
      <c r="AE111" s="14"/>
      <c r="AF111" s="14"/>
      <c r="AG111" s="14"/>
      <c r="AH111" s="14"/>
      <c r="AI111" s="14"/>
      <c r="AJ111" s="14"/>
    </row>
    <row r="112" spans="1:36" ht="13" x14ac:dyDescent="0.3">
      <c r="A112" s="29"/>
      <c r="B112" s="294"/>
      <c r="C112" s="29"/>
      <c r="D112" s="29"/>
      <c r="E112" s="29"/>
      <c r="F112" s="29"/>
      <c r="G112" s="29"/>
      <c r="H112" s="29"/>
      <c r="I112" s="29"/>
      <c r="J112" s="29"/>
      <c r="K112" s="29"/>
      <c r="L112" s="29"/>
      <c r="M112" s="29"/>
      <c r="N112" s="29"/>
      <c r="O112" s="29"/>
      <c r="P112" s="29"/>
      <c r="Q112" s="29"/>
      <c r="R112" s="29"/>
      <c r="S112" s="29"/>
      <c r="T112" s="14"/>
      <c r="U112" s="14"/>
      <c r="V112" s="14"/>
      <c r="W112" s="14"/>
      <c r="X112" s="14"/>
      <c r="Y112" s="14"/>
      <c r="Z112" s="14"/>
      <c r="AA112" s="14"/>
      <c r="AB112" s="14"/>
      <c r="AC112" s="14"/>
      <c r="AD112" s="14"/>
      <c r="AE112" s="14"/>
      <c r="AF112" s="14"/>
      <c r="AG112" s="14"/>
      <c r="AH112" s="14"/>
      <c r="AI112" s="14"/>
      <c r="AJ112" s="14"/>
    </row>
    <row r="113" spans="1:36" x14ac:dyDescent="0.25">
      <c r="A113" s="29"/>
      <c r="B113" s="29"/>
      <c r="C113" s="29"/>
      <c r="D113" s="29"/>
      <c r="E113" s="29"/>
      <c r="F113" s="29"/>
      <c r="G113" s="29"/>
      <c r="H113" s="29"/>
      <c r="I113" s="29"/>
      <c r="J113" s="29"/>
      <c r="K113" s="29"/>
      <c r="L113" s="29"/>
      <c r="M113" s="29"/>
      <c r="N113" s="29"/>
      <c r="O113" s="29"/>
      <c r="P113" s="29"/>
      <c r="Q113" s="29"/>
      <c r="R113" s="29"/>
      <c r="S113" s="29"/>
      <c r="T113" s="14"/>
      <c r="U113" s="14"/>
      <c r="V113" s="14"/>
      <c r="W113" s="14"/>
      <c r="X113" s="14"/>
      <c r="Y113" s="14"/>
      <c r="Z113" s="14"/>
      <c r="AA113" s="14"/>
      <c r="AB113" s="14"/>
      <c r="AC113" s="14"/>
      <c r="AD113" s="14"/>
      <c r="AE113" s="14"/>
      <c r="AF113" s="14"/>
      <c r="AG113" s="14"/>
      <c r="AH113" s="14"/>
      <c r="AI113" s="14"/>
      <c r="AJ113" s="14"/>
    </row>
    <row r="114" spans="1:36" ht="13" x14ac:dyDescent="0.3">
      <c r="A114" s="29"/>
      <c r="B114" s="294"/>
      <c r="C114" s="29"/>
      <c r="D114" s="29"/>
      <c r="E114" s="29"/>
      <c r="F114" s="29"/>
      <c r="G114" s="29"/>
      <c r="H114" s="29"/>
      <c r="I114" s="29"/>
      <c r="J114" s="29"/>
      <c r="K114" s="29"/>
      <c r="L114" s="29"/>
      <c r="M114" s="29"/>
      <c r="N114" s="29"/>
      <c r="O114" s="29"/>
      <c r="P114" s="29"/>
      <c r="Q114" s="29"/>
      <c r="R114" s="29"/>
      <c r="S114" s="29"/>
      <c r="T114" s="14"/>
      <c r="U114" s="14"/>
      <c r="V114" s="14"/>
      <c r="W114" s="14"/>
      <c r="X114" s="14"/>
      <c r="Y114" s="14"/>
      <c r="Z114" s="14"/>
      <c r="AA114" s="14"/>
      <c r="AB114" s="14"/>
      <c r="AC114" s="14"/>
      <c r="AD114" s="14"/>
      <c r="AE114" s="14"/>
      <c r="AF114" s="14"/>
      <c r="AG114" s="14"/>
      <c r="AH114" s="14"/>
      <c r="AI114" s="14"/>
      <c r="AJ114" s="14"/>
    </row>
    <row r="115" spans="1:36" ht="13" x14ac:dyDescent="0.3">
      <c r="A115" s="29"/>
      <c r="B115" s="293"/>
      <c r="C115" s="29"/>
      <c r="D115" s="29"/>
      <c r="E115" s="29"/>
      <c r="F115" s="29"/>
      <c r="G115" s="29"/>
      <c r="H115" s="29"/>
      <c r="I115" s="29"/>
      <c r="J115" s="29"/>
      <c r="K115" s="29"/>
      <c r="L115" s="29"/>
      <c r="M115" s="29"/>
      <c r="N115" s="29"/>
      <c r="O115" s="29"/>
      <c r="P115" s="29"/>
      <c r="Q115" s="29"/>
      <c r="R115" s="29"/>
      <c r="S115" s="29"/>
      <c r="T115" s="14"/>
      <c r="U115" s="14"/>
      <c r="V115" s="14"/>
      <c r="W115" s="14"/>
      <c r="X115" s="14"/>
      <c r="Y115" s="14"/>
      <c r="Z115" s="14"/>
      <c r="AA115" s="14"/>
      <c r="AB115" s="14"/>
      <c r="AC115" s="14"/>
      <c r="AD115" s="14"/>
      <c r="AE115" s="14"/>
      <c r="AF115" s="14"/>
      <c r="AG115" s="14"/>
      <c r="AH115" s="14"/>
      <c r="AI115" s="14"/>
      <c r="AJ115" s="14"/>
    </row>
    <row r="116" spans="1:36" ht="13" x14ac:dyDescent="0.3">
      <c r="A116" s="29"/>
      <c r="B116" s="294"/>
      <c r="C116" s="29"/>
      <c r="D116" s="29"/>
      <c r="E116" s="29"/>
      <c r="F116" s="29"/>
      <c r="G116" s="29"/>
      <c r="H116" s="29"/>
      <c r="I116" s="29"/>
      <c r="J116" s="29"/>
      <c r="K116" s="29"/>
      <c r="L116" s="29"/>
      <c r="M116" s="29"/>
      <c r="N116" s="29"/>
      <c r="O116" s="29"/>
      <c r="P116" s="29"/>
      <c r="Q116" s="29"/>
      <c r="R116" s="29"/>
      <c r="S116" s="29"/>
      <c r="T116" s="14"/>
      <c r="U116" s="14"/>
      <c r="V116" s="14"/>
      <c r="W116" s="14"/>
      <c r="X116" s="14"/>
      <c r="Y116" s="14"/>
      <c r="Z116" s="14"/>
      <c r="AA116" s="14"/>
      <c r="AB116" s="14"/>
      <c r="AC116" s="14"/>
      <c r="AD116" s="14"/>
      <c r="AE116" s="14"/>
      <c r="AF116" s="14"/>
      <c r="AG116" s="14"/>
      <c r="AH116" s="14"/>
      <c r="AI116" s="14"/>
      <c r="AJ116" s="14"/>
    </row>
    <row r="117" spans="1:36" x14ac:dyDescent="0.25">
      <c r="A117" s="29"/>
      <c r="B117" s="29"/>
      <c r="C117" s="29"/>
      <c r="D117" s="29"/>
      <c r="E117" s="29"/>
      <c r="F117" s="29"/>
      <c r="G117" s="29"/>
      <c r="H117" s="29"/>
      <c r="I117" s="29"/>
      <c r="J117" s="29"/>
      <c r="K117" s="29"/>
      <c r="L117" s="29"/>
      <c r="M117" s="29"/>
      <c r="N117" s="29"/>
      <c r="O117" s="29"/>
      <c r="P117" s="29"/>
      <c r="Q117" s="29"/>
      <c r="R117" s="29"/>
      <c r="S117" s="29"/>
      <c r="T117" s="14"/>
      <c r="U117" s="14"/>
      <c r="V117" s="14"/>
      <c r="W117" s="14"/>
      <c r="X117" s="14"/>
      <c r="Y117" s="14"/>
      <c r="Z117" s="14"/>
      <c r="AA117" s="14"/>
      <c r="AB117" s="14"/>
      <c r="AC117" s="14"/>
      <c r="AD117" s="14"/>
      <c r="AE117" s="14"/>
      <c r="AF117" s="14"/>
      <c r="AG117" s="14"/>
      <c r="AH117" s="14"/>
      <c r="AI117" s="14"/>
      <c r="AJ117" s="14"/>
    </row>
    <row r="118" spans="1:36" ht="12.75" customHeight="1" x14ac:dyDescent="0.3">
      <c r="A118" s="29"/>
      <c r="B118" s="294"/>
      <c r="C118" s="29"/>
      <c r="D118" s="29"/>
      <c r="E118" s="29"/>
      <c r="F118" s="29"/>
      <c r="G118" s="29"/>
      <c r="H118" s="29"/>
      <c r="I118" s="29"/>
      <c r="J118" s="29"/>
      <c r="K118" s="29"/>
      <c r="L118" s="29"/>
      <c r="M118" s="29"/>
      <c r="N118" s="29"/>
      <c r="O118" s="29"/>
      <c r="P118" s="29"/>
      <c r="Q118" s="29"/>
      <c r="R118" s="29"/>
      <c r="S118" s="29"/>
      <c r="T118" s="14"/>
      <c r="U118" s="14"/>
      <c r="V118" s="14"/>
      <c r="W118" s="14"/>
      <c r="X118" s="14"/>
      <c r="Y118" s="14"/>
      <c r="Z118" s="14"/>
      <c r="AA118" s="14"/>
      <c r="AB118" s="14"/>
      <c r="AC118" s="14"/>
      <c r="AD118" s="14"/>
      <c r="AE118" s="14"/>
      <c r="AF118" s="14"/>
      <c r="AG118" s="14"/>
      <c r="AH118" s="14"/>
      <c r="AI118" s="14"/>
      <c r="AJ118" s="14"/>
    </row>
    <row r="119" spans="1:36" ht="12.75" customHeight="1" x14ac:dyDescent="0.3">
      <c r="A119" s="29"/>
      <c r="B119" s="294"/>
      <c r="C119" s="29"/>
      <c r="D119" s="29"/>
      <c r="E119" s="29"/>
      <c r="F119" s="29"/>
      <c r="G119" s="29"/>
      <c r="H119" s="29"/>
      <c r="I119" s="29"/>
      <c r="J119" s="29"/>
      <c r="K119" s="29"/>
      <c r="L119" s="29"/>
      <c r="M119" s="29"/>
      <c r="N119" s="29"/>
      <c r="O119" s="29"/>
      <c r="P119" s="29"/>
      <c r="Q119" s="29"/>
      <c r="R119" s="29"/>
      <c r="S119" s="29"/>
      <c r="T119" s="14"/>
      <c r="U119" s="14"/>
      <c r="V119" s="14"/>
      <c r="W119" s="14"/>
      <c r="X119" s="14"/>
      <c r="Y119" s="14"/>
      <c r="Z119" s="14"/>
      <c r="AA119" s="14"/>
      <c r="AB119" s="14"/>
      <c r="AC119" s="14"/>
      <c r="AD119" s="14"/>
      <c r="AE119" s="14"/>
      <c r="AF119" s="14"/>
      <c r="AG119" s="14"/>
      <c r="AH119" s="14"/>
      <c r="AI119" s="14"/>
      <c r="AJ119" s="14"/>
    </row>
    <row r="120" spans="1:36" ht="12.75" customHeight="1" x14ac:dyDescent="0.3">
      <c r="A120" s="29"/>
      <c r="B120" s="294"/>
      <c r="C120" s="29"/>
      <c r="D120" s="29"/>
      <c r="E120" s="29"/>
      <c r="F120" s="29"/>
      <c r="G120" s="29"/>
      <c r="H120" s="29"/>
      <c r="I120" s="29"/>
      <c r="J120" s="29"/>
      <c r="K120" s="29"/>
      <c r="L120" s="29"/>
      <c r="M120" s="29"/>
      <c r="N120" s="29"/>
      <c r="O120" s="29"/>
      <c r="P120" s="29"/>
      <c r="Q120" s="29"/>
      <c r="R120" s="29"/>
      <c r="S120" s="29"/>
      <c r="T120" s="14"/>
      <c r="U120" s="14"/>
      <c r="V120" s="14"/>
      <c r="W120" s="14"/>
      <c r="X120" s="14"/>
      <c r="Y120" s="14"/>
      <c r="Z120" s="14"/>
      <c r="AA120" s="14"/>
      <c r="AB120" s="14"/>
      <c r="AC120" s="14"/>
      <c r="AD120" s="14"/>
      <c r="AE120" s="14"/>
      <c r="AF120" s="14"/>
      <c r="AG120" s="14"/>
      <c r="AH120" s="14"/>
      <c r="AI120" s="14"/>
      <c r="AJ120" s="14"/>
    </row>
    <row r="121" spans="1:36" ht="12.75" customHeight="1" x14ac:dyDescent="0.25">
      <c r="A121" s="29"/>
      <c r="B121" s="295"/>
      <c r="C121" s="29"/>
      <c r="D121" s="29"/>
      <c r="E121" s="29"/>
      <c r="F121" s="29"/>
      <c r="G121" s="29"/>
      <c r="H121" s="29"/>
      <c r="I121" s="29"/>
      <c r="J121" s="29"/>
      <c r="K121" s="29"/>
      <c r="L121" s="29"/>
      <c r="M121" s="29"/>
      <c r="N121" s="29"/>
      <c r="O121" s="29"/>
      <c r="P121" s="29"/>
      <c r="Q121" s="29"/>
      <c r="R121" s="29"/>
      <c r="S121" s="29"/>
      <c r="T121" s="14"/>
      <c r="U121" s="14"/>
      <c r="V121" s="14"/>
      <c r="W121" s="14"/>
      <c r="X121" s="14"/>
      <c r="Y121" s="14"/>
      <c r="Z121" s="14"/>
      <c r="AA121" s="14"/>
      <c r="AB121" s="14"/>
      <c r="AC121" s="14"/>
      <c r="AD121" s="14"/>
      <c r="AE121" s="14"/>
      <c r="AF121" s="14"/>
      <c r="AG121" s="14"/>
      <c r="AH121" s="14"/>
      <c r="AI121" s="14"/>
      <c r="AJ121" s="14"/>
    </row>
    <row r="122" spans="1:36" ht="13.5" customHeight="1" x14ac:dyDescent="0.25">
      <c r="A122" s="29"/>
      <c r="B122" s="296"/>
      <c r="C122" s="29"/>
      <c r="D122" s="29"/>
      <c r="E122" s="29"/>
      <c r="F122" s="29"/>
      <c r="G122" s="29"/>
      <c r="H122" s="29"/>
      <c r="I122" s="29"/>
      <c r="J122" s="29"/>
      <c r="K122" s="29"/>
      <c r="L122" s="29"/>
      <c r="M122" s="29"/>
      <c r="N122" s="29"/>
      <c r="O122" s="29"/>
      <c r="P122" s="29"/>
      <c r="Q122" s="29"/>
      <c r="R122" s="29"/>
      <c r="S122" s="29"/>
      <c r="T122" s="14"/>
      <c r="U122" s="14"/>
      <c r="V122" s="14"/>
      <c r="W122" s="14"/>
      <c r="X122" s="14"/>
      <c r="Y122" s="14"/>
      <c r="Z122" s="14"/>
      <c r="AA122" s="14"/>
      <c r="AB122" s="14"/>
      <c r="AC122" s="14"/>
      <c r="AD122" s="14"/>
      <c r="AE122" s="14"/>
      <c r="AF122" s="14"/>
      <c r="AG122" s="14"/>
      <c r="AH122" s="14"/>
      <c r="AI122" s="14"/>
      <c r="AJ122" s="14"/>
    </row>
    <row r="123" spans="1:36" ht="12.75" customHeight="1" x14ac:dyDescent="0.3">
      <c r="A123" s="29"/>
      <c r="B123" s="294"/>
      <c r="C123" s="29"/>
      <c r="D123" s="29"/>
      <c r="E123" s="29"/>
      <c r="F123" s="29"/>
      <c r="G123" s="29"/>
      <c r="H123" s="29"/>
      <c r="I123" s="29"/>
      <c r="J123" s="29"/>
      <c r="K123" s="29"/>
      <c r="L123" s="29"/>
      <c r="M123" s="29"/>
      <c r="N123" s="29"/>
      <c r="O123" s="29"/>
      <c r="P123" s="29"/>
      <c r="Q123" s="29"/>
      <c r="R123" s="29"/>
      <c r="S123" s="29"/>
      <c r="T123" s="14"/>
      <c r="U123" s="14"/>
      <c r="V123" s="14"/>
      <c r="W123" s="14"/>
      <c r="X123" s="14"/>
      <c r="Y123" s="14"/>
      <c r="Z123" s="14"/>
      <c r="AA123" s="14"/>
      <c r="AB123" s="14"/>
      <c r="AC123" s="14"/>
      <c r="AD123" s="14"/>
      <c r="AE123" s="14"/>
      <c r="AF123" s="14"/>
      <c r="AG123" s="14"/>
      <c r="AH123" s="14"/>
      <c r="AI123" s="14"/>
      <c r="AJ123" s="14"/>
    </row>
    <row r="124" spans="1:36" ht="12.75" customHeight="1" x14ac:dyDescent="0.25">
      <c r="A124" s="14"/>
      <c r="B124" s="297"/>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row>
    <row r="125" spans="1:36" ht="12.75" customHeight="1" x14ac:dyDescent="0.25">
      <c r="A125" s="14"/>
      <c r="B125" s="297"/>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row>
    <row r="126" spans="1:36" ht="12.75" customHeight="1" x14ac:dyDescent="0.25">
      <c r="A126" s="14"/>
      <c r="B126" s="297"/>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row>
    <row r="127" spans="1:36" ht="12.75" customHeight="1" x14ac:dyDescent="0.25">
      <c r="A127" s="14"/>
      <c r="B127" s="297"/>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row>
    <row r="128" spans="1:36"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row>
    <row r="129" spans="1:36" ht="13" x14ac:dyDescent="0.3">
      <c r="A129" s="14"/>
      <c r="B129" s="298"/>
      <c r="C129" s="299"/>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row>
    <row r="130" spans="1:36"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row>
    <row r="131" spans="1:36"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row>
    <row r="132" spans="1:36"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row>
    <row r="133" spans="1:36"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row>
    <row r="134" spans="1:36" ht="12.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row>
    <row r="135" spans="1:36"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row>
    <row r="136" spans="1:36"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row>
    <row r="137" spans="1:36"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row>
    <row r="138" spans="1:36"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row>
    <row r="139" spans="1:36"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row>
    <row r="140" spans="1:36"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row>
    <row r="141" spans="1:36"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row>
    <row r="142" spans="1:36"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row>
    <row r="143" spans="1:36"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row>
    <row r="144" spans="1:36"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row>
    <row r="145" spans="1:36"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row>
    <row r="146" spans="1:36"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row>
    <row r="147" spans="1:36"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row>
    <row r="148" spans="1:36"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row>
    <row r="149" spans="1:36"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row>
    <row r="150" spans="1:36"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row>
    <row r="151" spans="1:36"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row>
    <row r="152" spans="1:36"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row>
    <row r="153" spans="1:36"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row>
    <row r="154" spans="1:36"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row>
    <row r="155" spans="1:36"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row>
    <row r="156" spans="1:36"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row>
    <row r="157" spans="1:36"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row>
    <row r="158" spans="1:36"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row>
    <row r="159" spans="1:36"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row>
    <row r="160" spans="1:36"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row>
    <row r="161" spans="1:36"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row>
    <row r="162" spans="1:36"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row>
    <row r="163" spans="1:36"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row>
    <row r="164" spans="1:36"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row>
    <row r="165" spans="1:36"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row>
    <row r="166" spans="1:36"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row>
    <row r="167" spans="1:36"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row>
    <row r="168" spans="1:36"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row>
    <row r="169" spans="1:36"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row>
    <row r="170" spans="1:36"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row>
    <row r="171" spans="1:36"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row>
    <row r="172" spans="1:36"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row>
    <row r="173" spans="1:36"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row>
    <row r="174" spans="1:36"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row>
    <row r="175" spans="1:36"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row>
    <row r="176" spans="1:36"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row>
    <row r="177" spans="1:36"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row>
    <row r="178" spans="1:36"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row>
    <row r="179" spans="1:36"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row>
    <row r="180" spans="1:36"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row>
    <row r="181" spans="1:36"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row>
    <row r="182" spans="1:36"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row>
    <row r="183" spans="1:36"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row>
    <row r="184" spans="1:36"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row>
    <row r="185" spans="1:36"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row>
    <row r="186" spans="1:36"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row>
    <row r="187" spans="1:36"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row>
    <row r="188" spans="1:36"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row>
    <row r="189" spans="1:36"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row>
    <row r="190" spans="1:36"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row>
    <row r="191" spans="1:36"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row>
    <row r="192" spans="1:36"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row>
    <row r="193" spans="1:36"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row>
    <row r="194" spans="1:36"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row>
    <row r="195" spans="1:36"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row>
    <row r="196" spans="1:36"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row>
    <row r="197" spans="1:36"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row>
    <row r="198" spans="1:36"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row>
    <row r="199" spans="1:36"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row>
    <row r="200" spans="1:36"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row>
    <row r="201" spans="1:36"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row>
    <row r="202" spans="1:36"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row>
    <row r="203" spans="1:36"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row>
  </sheetData>
  <mergeCells count="3">
    <mergeCell ref="N20:O20"/>
    <mergeCell ref="B37:M99"/>
    <mergeCell ref="B17:D17"/>
  </mergeCells>
  <hyperlinks>
    <hyperlink ref="B17" r:id="rId1" xr:uid="{00000000-0004-0000-0000-000000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R225"/>
  <sheetViews>
    <sheetView tabSelected="1" topLeftCell="A67" zoomScaleNormal="100" zoomScaleSheetLayoutView="100" workbookViewId="0">
      <selection activeCell="H73" sqref="H73"/>
    </sheetView>
  </sheetViews>
  <sheetFormatPr defaultRowHeight="12.5" x14ac:dyDescent="0.25"/>
  <cols>
    <col min="1" max="1" width="0.453125" customWidth="1"/>
    <col min="2" max="2" width="41.1796875" customWidth="1"/>
    <col min="3" max="3" width="12.453125" customWidth="1"/>
    <col min="4" max="4" width="16.54296875" customWidth="1"/>
    <col min="5" max="5" width="20.81640625" customWidth="1"/>
    <col min="6" max="6" width="15.54296875" customWidth="1"/>
    <col min="7" max="7" width="5.54296875" style="159" customWidth="1"/>
    <col min="8" max="8" width="9.54296875" customWidth="1"/>
    <col min="9" max="9" width="12.81640625" customWidth="1"/>
    <col min="11" max="11" width="10.453125" customWidth="1"/>
    <col min="12" max="12" width="8.81640625" customWidth="1"/>
    <col min="13" max="13" width="9.81640625" customWidth="1"/>
    <col min="14" max="19" width="0" hidden="1" customWidth="1"/>
    <col min="20" max="20" width="2.54296875" hidden="1" customWidth="1"/>
    <col min="21" max="21" width="3" hidden="1" customWidth="1"/>
    <col min="22" max="22" width="1.1796875" hidden="1" customWidth="1"/>
    <col min="23" max="23" width="3.54296875" hidden="1" customWidth="1"/>
    <col min="24" max="38" width="0" hidden="1" customWidth="1"/>
    <col min="39" max="39" width="11.54296875" customWidth="1"/>
    <col min="40" max="40" width="19.453125" customWidth="1"/>
    <col min="41" max="41" width="12.54296875" customWidth="1"/>
    <col min="42" max="42" width="12.453125" customWidth="1"/>
    <col min="43" max="43" width="12" customWidth="1"/>
    <col min="44" max="44" width="13.453125" hidden="1" customWidth="1"/>
    <col min="45" max="46" width="14.54296875" customWidth="1"/>
    <col min="47" max="47" width="11.453125" customWidth="1"/>
    <col min="48" max="48" width="13" customWidth="1"/>
    <col min="49" max="49" width="13.453125" customWidth="1"/>
    <col min="50" max="50" width="14.54296875" customWidth="1"/>
    <col min="51" max="51" width="14.1796875" customWidth="1"/>
    <col min="52" max="52" width="12.81640625" customWidth="1"/>
    <col min="53" max="53" width="12.54296875" customWidth="1"/>
    <col min="54" max="54" width="9.81640625" customWidth="1"/>
    <col min="55" max="55" width="12.54296875" customWidth="1"/>
    <col min="56" max="56" width="13.54296875" customWidth="1"/>
    <col min="57" max="57" width="13.81640625" customWidth="1"/>
    <col min="58" max="59" width="14.453125" customWidth="1"/>
    <col min="60" max="61" width="15.453125" customWidth="1"/>
    <col min="62" max="62" width="15.54296875" customWidth="1"/>
    <col min="63" max="63" width="12.54296875" customWidth="1"/>
    <col min="64" max="64" width="16.81640625" customWidth="1"/>
    <col min="65" max="65" width="15.453125" customWidth="1"/>
    <col min="66" max="66" width="14.54296875" customWidth="1"/>
    <col min="67" max="67" width="10" customWidth="1"/>
    <col min="68" max="68" width="6.1796875" customWidth="1"/>
    <col min="69" max="69" width="7.1796875" customWidth="1"/>
    <col min="70" max="70" width="8.453125" customWidth="1"/>
    <col min="71" max="71" width="4.54296875" customWidth="1"/>
  </cols>
  <sheetData>
    <row r="1" spans="1:44" s="117" customFormat="1" ht="60.75" customHeight="1" x14ac:dyDescent="0.3">
      <c r="A1" s="359" t="s">
        <v>273</v>
      </c>
      <c r="B1" s="360"/>
      <c r="C1" s="360"/>
      <c r="D1" s="360"/>
      <c r="E1" s="360"/>
      <c r="F1" s="360"/>
      <c r="G1" s="360"/>
      <c r="H1" s="360"/>
      <c r="I1" s="360"/>
      <c r="J1" s="360"/>
      <c r="K1" s="360"/>
      <c r="L1" s="360"/>
      <c r="M1" s="360"/>
      <c r="N1" s="35"/>
      <c r="O1" s="35"/>
      <c r="P1" s="35"/>
      <c r="Q1" s="35"/>
      <c r="R1" s="33"/>
      <c r="S1" s="34"/>
      <c r="T1" s="32"/>
      <c r="U1" s="32"/>
      <c r="V1" s="32"/>
      <c r="W1" s="32"/>
      <c r="X1" s="32"/>
      <c r="Y1" s="32"/>
      <c r="Z1" s="32"/>
      <c r="AA1" s="32"/>
      <c r="AB1" s="32"/>
      <c r="AC1" s="32"/>
      <c r="AD1" s="32"/>
      <c r="AE1" s="32"/>
      <c r="AF1" s="32"/>
      <c r="AG1" s="32"/>
      <c r="AH1" s="32"/>
      <c r="AI1" s="32"/>
      <c r="AJ1" s="32"/>
      <c r="AK1" s="32"/>
      <c r="AL1" s="32"/>
      <c r="AM1" s="32"/>
    </row>
    <row r="2" spans="1:44" ht="15.5" x14ac:dyDescent="0.25">
      <c r="A2" s="14"/>
      <c r="B2" s="31" t="s">
        <v>72</v>
      </c>
      <c r="C2" s="14"/>
      <c r="D2" s="14"/>
      <c r="E2" s="14"/>
      <c r="F2" s="15"/>
      <c r="G2" s="15"/>
      <c r="H2" s="14"/>
      <c r="I2" s="14"/>
      <c r="J2" s="14"/>
      <c r="K2" s="14"/>
      <c r="L2" s="358"/>
      <c r="M2" s="358"/>
      <c r="N2" s="14"/>
      <c r="O2" s="14"/>
      <c r="P2" s="14"/>
      <c r="Q2" s="14"/>
      <c r="R2" s="14"/>
      <c r="S2" s="14"/>
      <c r="T2" s="14"/>
      <c r="U2" s="14"/>
      <c r="V2" s="14"/>
      <c r="W2" s="14"/>
      <c r="X2" s="14"/>
      <c r="Y2" s="14"/>
      <c r="Z2" s="14"/>
      <c r="AA2" s="14"/>
      <c r="AB2" s="14"/>
      <c r="AC2" s="14"/>
      <c r="AD2" s="14"/>
      <c r="AE2" s="14"/>
      <c r="AF2" s="14"/>
      <c r="AG2" s="14"/>
      <c r="AH2" s="14"/>
      <c r="AI2" s="14"/>
      <c r="AJ2" s="14"/>
      <c r="AK2" s="14"/>
      <c r="AL2" s="14"/>
      <c r="AM2" s="14"/>
    </row>
    <row r="3" spans="1:44" x14ac:dyDescent="0.25">
      <c r="A3" s="14"/>
      <c r="B3" s="14"/>
      <c r="C3" s="14"/>
      <c r="D3" s="14"/>
      <c r="E3" s="14"/>
      <c r="F3" s="14"/>
      <c r="G3" s="15"/>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row>
    <row r="4" spans="1:44" x14ac:dyDescent="0.25">
      <c r="A4" s="14"/>
      <c r="B4" s="14"/>
      <c r="C4" s="14"/>
      <c r="D4" s="14"/>
      <c r="E4" s="14"/>
      <c r="F4" s="14"/>
      <c r="G4" s="15"/>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row>
    <row r="5" spans="1:44" x14ac:dyDescent="0.25">
      <c r="A5" s="14"/>
      <c r="B5" s="14"/>
      <c r="C5" s="14"/>
      <c r="D5" s="14"/>
      <c r="E5" s="14"/>
      <c r="F5" s="14"/>
      <c r="G5" s="15"/>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row>
    <row r="6" spans="1:44" x14ac:dyDescent="0.25">
      <c r="A6" s="14"/>
      <c r="B6" s="14"/>
      <c r="C6" s="14"/>
      <c r="D6" s="14"/>
      <c r="E6" s="14"/>
      <c r="F6" s="14"/>
      <c r="G6" s="15"/>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row>
    <row r="7" spans="1:44" x14ac:dyDescent="0.25">
      <c r="A7" s="14"/>
      <c r="B7" s="14"/>
      <c r="C7" s="14"/>
      <c r="D7" s="14"/>
      <c r="E7" s="14"/>
      <c r="F7" s="14"/>
      <c r="G7" s="15"/>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row>
    <row r="8" spans="1:44" ht="15" customHeight="1" x14ac:dyDescent="0.25">
      <c r="A8" s="14"/>
      <c r="B8" s="19"/>
      <c r="C8" s="196"/>
      <c r="D8" s="190" t="s">
        <v>268</v>
      </c>
      <c r="E8" s="109"/>
      <c r="F8" s="14"/>
      <c r="G8" s="15"/>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row>
    <row r="9" spans="1:44" ht="15" customHeight="1" x14ac:dyDescent="0.25">
      <c r="A9" s="14"/>
      <c r="B9" s="20"/>
      <c r="C9" s="16"/>
      <c r="D9" s="14" t="s">
        <v>71</v>
      </c>
      <c r="E9" s="110"/>
      <c r="F9" s="14"/>
      <c r="G9" s="15"/>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row>
    <row r="10" spans="1:44" ht="12.75" customHeight="1" x14ac:dyDescent="0.25">
      <c r="A10" s="14"/>
      <c r="B10" s="20"/>
      <c r="C10" s="207"/>
      <c r="D10" s="190" t="s">
        <v>333</v>
      </c>
      <c r="E10" s="14"/>
      <c r="F10" s="14"/>
      <c r="G10" s="15"/>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row>
    <row r="11" spans="1:44" ht="15" customHeight="1" x14ac:dyDescent="0.25">
      <c r="A11" s="14"/>
      <c r="B11" s="20"/>
      <c r="C11" s="208"/>
      <c r="D11" s="14" t="s">
        <v>334</v>
      </c>
      <c r="E11" s="110"/>
      <c r="F11" s="14"/>
      <c r="G11" s="15"/>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row>
    <row r="12" spans="1:44" ht="15" customHeight="1" x14ac:dyDescent="0.25">
      <c r="A12" s="14"/>
      <c r="B12" s="14"/>
      <c r="C12" s="14"/>
      <c r="D12" s="14"/>
      <c r="E12" s="14"/>
      <c r="F12" s="25"/>
      <c r="G12" s="15"/>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row>
    <row r="13" spans="1:44" ht="15" customHeight="1" thickBot="1" x14ac:dyDescent="0.3">
      <c r="A13" s="14"/>
      <c r="B13" s="14"/>
      <c r="C13" s="14"/>
      <c r="D13" s="14"/>
      <c r="E13" s="14"/>
      <c r="F13" s="25"/>
      <c r="G13" s="15"/>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row>
    <row r="14" spans="1:44" ht="15" customHeight="1" x14ac:dyDescent="0.35">
      <c r="A14" s="14"/>
      <c r="B14" s="323" t="s">
        <v>416</v>
      </c>
      <c r="C14" s="335"/>
      <c r="D14" s="362" t="s">
        <v>417</v>
      </c>
      <c r="E14" s="362"/>
      <c r="F14" s="362"/>
      <c r="G14" s="362"/>
      <c r="H14" s="332"/>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321"/>
    </row>
    <row r="15" spans="1:44" ht="15" customHeight="1" x14ac:dyDescent="0.35">
      <c r="A15" s="14"/>
      <c r="B15" s="324"/>
      <c r="C15" s="334"/>
      <c r="D15" s="363"/>
      <c r="E15" s="363"/>
      <c r="F15" s="363"/>
      <c r="G15" s="363"/>
      <c r="H15" s="333"/>
      <c r="I15" s="313"/>
      <c r="J15" s="313"/>
      <c r="K15" s="313"/>
      <c r="L15" s="313"/>
      <c r="M15" s="313"/>
      <c r="N15" s="313"/>
      <c r="O15" s="313"/>
      <c r="P15" s="313"/>
      <c r="Q15" s="313"/>
      <c r="R15" s="313"/>
      <c r="S15" s="313"/>
      <c r="T15" s="313"/>
      <c r="U15" s="313"/>
      <c r="V15" s="313"/>
      <c r="W15" s="313"/>
      <c r="X15" s="313"/>
      <c r="Y15" s="313"/>
      <c r="Z15" s="313"/>
      <c r="AA15" s="313"/>
      <c r="AB15" s="313"/>
      <c r="AC15" s="313"/>
      <c r="AD15" s="313"/>
      <c r="AE15" s="313"/>
      <c r="AF15" s="313"/>
      <c r="AG15" s="313"/>
      <c r="AH15" s="313"/>
      <c r="AI15" s="313"/>
      <c r="AJ15" s="313"/>
      <c r="AK15" s="313"/>
      <c r="AL15" s="313"/>
      <c r="AM15" s="319"/>
      <c r="AR15" s="26" t="s">
        <v>164</v>
      </c>
    </row>
    <row r="16" spans="1:44" ht="15" customHeight="1" x14ac:dyDescent="0.35">
      <c r="A16" s="14"/>
      <c r="B16" s="361"/>
      <c r="C16" s="325"/>
      <c r="D16" s="370" t="s">
        <v>418</v>
      </c>
      <c r="E16" s="370"/>
      <c r="F16" s="370"/>
      <c r="G16" s="370"/>
      <c r="H16" s="370"/>
      <c r="I16" s="370"/>
      <c r="J16" s="329"/>
      <c r="K16" s="322"/>
      <c r="L16" s="313"/>
      <c r="M16" s="313"/>
      <c r="N16" s="313"/>
      <c r="O16" s="313"/>
      <c r="P16" s="313"/>
      <c r="Q16" s="313"/>
      <c r="R16" s="313"/>
      <c r="S16" s="313"/>
      <c r="T16" s="313"/>
      <c r="U16" s="313"/>
      <c r="V16" s="313"/>
      <c r="W16" s="313"/>
      <c r="X16" s="313"/>
      <c r="Y16" s="313"/>
      <c r="Z16" s="313"/>
      <c r="AA16" s="313"/>
      <c r="AB16" s="313"/>
      <c r="AC16" s="313"/>
      <c r="AD16" s="313"/>
      <c r="AE16" s="313"/>
      <c r="AF16" s="313"/>
      <c r="AG16" s="313"/>
      <c r="AH16" s="313"/>
      <c r="AI16" s="313"/>
      <c r="AJ16" s="313"/>
      <c r="AK16" s="313"/>
      <c r="AL16" s="313"/>
      <c r="AM16" s="319"/>
      <c r="AR16" s="26" t="s">
        <v>163</v>
      </c>
    </row>
    <row r="17" spans="1:39" ht="15" customHeight="1" x14ac:dyDescent="0.35">
      <c r="A17" s="14"/>
      <c r="B17" s="361"/>
      <c r="C17" s="325"/>
      <c r="D17" s="370" t="s">
        <v>419</v>
      </c>
      <c r="E17" s="370"/>
      <c r="F17" s="370"/>
      <c r="G17" s="370"/>
      <c r="H17" s="370"/>
      <c r="I17" s="370"/>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13"/>
      <c r="AG17" s="313"/>
      <c r="AH17" s="313"/>
      <c r="AI17" s="313"/>
      <c r="AJ17" s="313"/>
      <c r="AK17" s="313"/>
      <c r="AL17" s="313"/>
      <c r="AM17" s="319"/>
    </row>
    <row r="18" spans="1:39" ht="15" customHeight="1" x14ac:dyDescent="0.35">
      <c r="A18" s="14"/>
      <c r="B18" s="361"/>
      <c r="C18" s="325"/>
      <c r="D18" s="370" t="s">
        <v>420</v>
      </c>
      <c r="E18" s="370"/>
      <c r="F18" s="370"/>
      <c r="G18" s="370"/>
      <c r="H18" s="370"/>
      <c r="I18" s="370"/>
      <c r="J18" s="313"/>
      <c r="K18" s="313"/>
      <c r="L18" s="313"/>
      <c r="M18" s="313"/>
      <c r="N18" s="313"/>
      <c r="O18" s="313"/>
      <c r="P18" s="313"/>
      <c r="Q18" s="313"/>
      <c r="R18" s="313"/>
      <c r="S18" s="313"/>
      <c r="T18" s="313"/>
      <c r="U18" s="313"/>
      <c r="V18" s="313"/>
      <c r="W18" s="313"/>
      <c r="X18" s="313"/>
      <c r="Y18" s="313"/>
      <c r="Z18" s="313"/>
      <c r="AA18" s="313"/>
      <c r="AB18" s="313"/>
      <c r="AC18" s="313"/>
      <c r="AD18" s="313"/>
      <c r="AE18" s="313"/>
      <c r="AF18" s="313"/>
      <c r="AG18" s="313"/>
      <c r="AH18" s="313"/>
      <c r="AI18" s="313"/>
      <c r="AJ18" s="313"/>
      <c r="AK18" s="313"/>
      <c r="AL18" s="313"/>
      <c r="AM18" s="319"/>
    </row>
    <row r="19" spans="1:39" ht="15" customHeight="1" x14ac:dyDescent="0.35">
      <c r="A19" s="14"/>
      <c r="B19" s="361"/>
      <c r="C19" s="325"/>
      <c r="D19" s="370" t="s">
        <v>421</v>
      </c>
      <c r="E19" s="370"/>
      <c r="F19" s="370"/>
      <c r="G19" s="370"/>
      <c r="H19" s="370"/>
      <c r="I19" s="370"/>
      <c r="J19" s="313"/>
      <c r="K19" s="313"/>
      <c r="L19" s="313"/>
      <c r="M19" s="313"/>
      <c r="N19" s="313"/>
      <c r="O19" s="313"/>
      <c r="P19" s="313"/>
      <c r="Q19" s="313"/>
      <c r="R19" s="313"/>
      <c r="S19" s="313"/>
      <c r="T19" s="313"/>
      <c r="U19" s="313"/>
      <c r="V19" s="313"/>
      <c r="W19" s="313"/>
      <c r="X19" s="313"/>
      <c r="Y19" s="313"/>
      <c r="Z19" s="313"/>
      <c r="AA19" s="313"/>
      <c r="AB19" s="313"/>
      <c r="AC19" s="313"/>
      <c r="AD19" s="313"/>
      <c r="AE19" s="313"/>
      <c r="AF19" s="313"/>
      <c r="AG19" s="313"/>
      <c r="AH19" s="313"/>
      <c r="AI19" s="313"/>
      <c r="AJ19" s="313"/>
      <c r="AK19" s="313"/>
      <c r="AL19" s="313"/>
      <c r="AM19" s="319"/>
    </row>
    <row r="20" spans="1:39" ht="15" customHeight="1" x14ac:dyDescent="0.35">
      <c r="A20" s="14"/>
      <c r="B20" s="330"/>
      <c r="C20" s="325"/>
      <c r="D20" s="339" t="s">
        <v>425</v>
      </c>
      <c r="E20" s="326"/>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9"/>
    </row>
    <row r="21" spans="1:39" ht="15" customHeight="1" thickBot="1" x14ac:dyDescent="0.3">
      <c r="A21" s="14"/>
      <c r="B21" s="316"/>
      <c r="C21" s="313"/>
      <c r="D21" s="313"/>
      <c r="E21" s="314"/>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c r="AF21" s="313"/>
      <c r="AG21" s="313"/>
      <c r="AH21" s="313"/>
      <c r="AI21" s="313"/>
      <c r="AJ21" s="313"/>
      <c r="AK21" s="313"/>
      <c r="AL21" s="313"/>
      <c r="AM21" s="319"/>
    </row>
    <row r="22" spans="1:39" ht="31.5" customHeight="1" thickBot="1" x14ac:dyDescent="0.3">
      <c r="A22" s="14"/>
      <c r="B22" s="316"/>
      <c r="C22" s="313"/>
      <c r="D22" s="364" t="s">
        <v>422</v>
      </c>
      <c r="E22" s="365"/>
      <c r="F22" s="366"/>
      <c r="G22" s="337" t="s">
        <v>164</v>
      </c>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3"/>
      <c r="AI22" s="313"/>
      <c r="AJ22" s="313"/>
      <c r="AK22" s="313"/>
      <c r="AL22" s="313"/>
      <c r="AM22" s="319"/>
    </row>
    <row r="23" spans="1:39" ht="30" customHeight="1" thickBot="1" x14ac:dyDescent="0.35">
      <c r="A23" s="14"/>
      <c r="B23" s="316"/>
      <c r="C23" s="313"/>
      <c r="D23" s="371" t="s">
        <v>423</v>
      </c>
      <c r="E23" s="372"/>
      <c r="F23" s="373"/>
      <c r="G23" s="338" t="s">
        <v>164</v>
      </c>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c r="AG23" s="313"/>
      <c r="AH23" s="313"/>
      <c r="AI23" s="313"/>
      <c r="AJ23" s="313"/>
      <c r="AK23" s="313"/>
      <c r="AL23" s="313"/>
      <c r="AM23" s="319"/>
    </row>
    <row r="24" spans="1:39" ht="15" customHeight="1" x14ac:dyDescent="0.25">
      <c r="A24" s="14"/>
      <c r="B24" s="316"/>
      <c r="C24" s="313"/>
      <c r="D24" s="369" t="s">
        <v>424</v>
      </c>
      <c r="E24" s="369"/>
      <c r="F24" s="369"/>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3"/>
      <c r="AI24" s="313"/>
      <c r="AJ24" s="313"/>
      <c r="AK24" s="313"/>
      <c r="AL24" s="313"/>
      <c r="AM24" s="319"/>
    </row>
    <row r="25" spans="1:39" ht="15" customHeight="1" x14ac:dyDescent="0.25">
      <c r="A25" s="14"/>
      <c r="B25" s="316"/>
      <c r="C25" s="313"/>
      <c r="D25" s="369"/>
      <c r="E25" s="369"/>
      <c r="F25" s="369"/>
      <c r="G25" s="331"/>
      <c r="H25" s="313"/>
      <c r="I25" s="313"/>
      <c r="J25" s="322"/>
      <c r="K25" s="313"/>
      <c r="L25" s="313"/>
      <c r="M25" s="313"/>
      <c r="N25" s="313"/>
      <c r="O25" s="313"/>
      <c r="P25" s="313"/>
      <c r="Q25" s="313"/>
      <c r="R25" s="313"/>
      <c r="S25" s="313"/>
      <c r="T25" s="313"/>
      <c r="U25" s="313"/>
      <c r="V25" s="313"/>
      <c r="W25" s="313"/>
      <c r="X25" s="313"/>
      <c r="Y25" s="313"/>
      <c r="Z25" s="313"/>
      <c r="AA25" s="313"/>
      <c r="AB25" s="313"/>
      <c r="AC25" s="313"/>
      <c r="AD25" s="313"/>
      <c r="AE25" s="313"/>
      <c r="AF25" s="313"/>
      <c r="AG25" s="313"/>
      <c r="AH25" s="313"/>
      <c r="AI25" s="313"/>
      <c r="AJ25" s="313"/>
      <c r="AK25" s="313"/>
      <c r="AL25" s="313"/>
      <c r="AM25" s="319"/>
    </row>
    <row r="26" spans="1:39" ht="15" customHeight="1" thickBot="1" x14ac:dyDescent="0.3">
      <c r="A26" s="14"/>
      <c r="B26" s="317"/>
      <c r="C26" s="318"/>
      <c r="D26" s="336"/>
      <c r="E26" s="336"/>
      <c r="F26" s="336"/>
      <c r="G26" s="327"/>
      <c r="H26" s="318"/>
      <c r="I26" s="318"/>
      <c r="J26" s="328"/>
      <c r="K26" s="318"/>
      <c r="L26" s="318"/>
      <c r="M26" s="318"/>
      <c r="N26" s="318"/>
      <c r="O26" s="318"/>
      <c r="P26" s="318"/>
      <c r="Q26" s="318"/>
      <c r="R26" s="318"/>
      <c r="S26" s="318"/>
      <c r="T26" s="318"/>
      <c r="U26" s="318"/>
      <c r="V26" s="318"/>
      <c r="W26" s="318"/>
      <c r="X26" s="318"/>
      <c r="Y26" s="318"/>
      <c r="Z26" s="318"/>
      <c r="AA26" s="318"/>
      <c r="AB26" s="318"/>
      <c r="AC26" s="318"/>
      <c r="AD26" s="318"/>
      <c r="AE26" s="318"/>
      <c r="AF26" s="318"/>
      <c r="AG26" s="318"/>
      <c r="AH26" s="318"/>
      <c r="AI26" s="318"/>
      <c r="AJ26" s="318"/>
      <c r="AK26" s="318"/>
      <c r="AL26" s="318"/>
      <c r="AM26" s="320"/>
    </row>
    <row r="27" spans="1:39" ht="15" customHeight="1" x14ac:dyDescent="0.3">
      <c r="A27" s="14"/>
      <c r="B27" s="146" t="s">
        <v>114</v>
      </c>
      <c r="C27" s="88"/>
      <c r="D27" s="88"/>
      <c r="E27" s="89" t="s">
        <v>75</v>
      </c>
      <c r="F27" s="188">
        <v>11.5</v>
      </c>
      <c r="G27" s="170" t="s">
        <v>64</v>
      </c>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118"/>
    </row>
    <row r="28" spans="1:39" ht="15" customHeight="1" x14ac:dyDescent="0.3">
      <c r="A28" s="14"/>
      <c r="B28" s="90"/>
      <c r="C28" s="18"/>
      <c r="D28" s="18"/>
      <c r="E28" s="55" t="s">
        <v>83</v>
      </c>
      <c r="F28" s="189">
        <v>12</v>
      </c>
      <c r="G28" s="171" t="s">
        <v>64</v>
      </c>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00"/>
    </row>
    <row r="29" spans="1:39" ht="15" customHeight="1" x14ac:dyDescent="0.25">
      <c r="A29" s="14"/>
      <c r="B29" s="91"/>
      <c r="C29" s="18"/>
      <c r="D29" s="18"/>
      <c r="E29" s="55" t="s">
        <v>76</v>
      </c>
      <c r="F29" s="189">
        <v>12.5</v>
      </c>
      <c r="G29" s="171" t="s">
        <v>64</v>
      </c>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00"/>
    </row>
    <row r="30" spans="1:39" ht="15" customHeight="1" x14ac:dyDescent="0.25">
      <c r="A30" s="14"/>
      <c r="B30" s="91"/>
      <c r="C30" s="18"/>
      <c r="D30" s="18"/>
      <c r="E30" s="55" t="s">
        <v>85</v>
      </c>
      <c r="F30" s="189">
        <v>4</v>
      </c>
      <c r="G30" s="171" t="s">
        <v>19</v>
      </c>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00"/>
    </row>
    <row r="31" spans="1:39" ht="15" customHeight="1" x14ac:dyDescent="0.25">
      <c r="A31" s="14"/>
      <c r="B31" s="91"/>
      <c r="C31" s="18"/>
      <c r="D31" s="18"/>
      <c r="E31" s="55" t="s">
        <v>202</v>
      </c>
      <c r="F31" s="189">
        <v>10</v>
      </c>
      <c r="G31" s="172" t="s">
        <v>61</v>
      </c>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00"/>
    </row>
    <row r="32" spans="1:39" ht="15" customHeight="1" x14ac:dyDescent="0.25">
      <c r="A32" s="14"/>
      <c r="B32" s="91"/>
      <c r="C32" s="18"/>
      <c r="D32" s="18"/>
      <c r="E32" s="55" t="s">
        <v>84</v>
      </c>
      <c r="F32" s="224">
        <v>55</v>
      </c>
      <c r="G32" s="171" t="s">
        <v>89</v>
      </c>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00"/>
    </row>
    <row r="33" spans="1:40" ht="15" customHeight="1" x14ac:dyDescent="0.25">
      <c r="A33" s="14"/>
      <c r="B33" s="367" t="s">
        <v>426</v>
      </c>
      <c r="C33" s="18"/>
      <c r="D33" s="18"/>
      <c r="E33" s="55"/>
      <c r="F33" s="340"/>
      <c r="G33" s="171"/>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00"/>
    </row>
    <row r="34" spans="1:40" ht="15" customHeight="1" x14ac:dyDescent="0.25">
      <c r="A34" s="14"/>
      <c r="B34" s="367"/>
      <c r="C34" s="18"/>
      <c r="D34" s="18"/>
      <c r="E34" s="55"/>
      <c r="F34" s="341"/>
      <c r="G34" s="171"/>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00"/>
    </row>
    <row r="35" spans="1:40" ht="15" customHeight="1" x14ac:dyDescent="0.25">
      <c r="A35" s="14"/>
      <c r="B35" s="91"/>
      <c r="C35" s="18"/>
      <c r="D35" s="18"/>
      <c r="E35" s="55"/>
      <c r="F35" s="341"/>
      <c r="G35" s="171"/>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00"/>
    </row>
    <row r="36" spans="1:40" ht="15" customHeight="1" x14ac:dyDescent="0.25">
      <c r="A36" s="14"/>
      <c r="B36" s="91"/>
      <c r="C36" s="18"/>
      <c r="D36" s="18"/>
      <c r="E36" s="55"/>
      <c r="F36" s="341"/>
      <c r="G36" s="171"/>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00"/>
    </row>
    <row r="37" spans="1:40" ht="15" customHeight="1" thickBot="1" x14ac:dyDescent="0.3">
      <c r="A37" s="14"/>
      <c r="B37" s="91"/>
      <c r="C37" s="18"/>
      <c r="D37" s="18"/>
      <c r="E37" s="55"/>
      <c r="F37" s="341"/>
      <c r="G37" s="171"/>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00"/>
    </row>
    <row r="38" spans="1:40" ht="15" customHeight="1" x14ac:dyDescent="0.3">
      <c r="A38" s="14"/>
      <c r="B38" s="146" t="s">
        <v>336</v>
      </c>
      <c r="C38" s="131"/>
      <c r="D38" s="88"/>
      <c r="E38" s="89" t="s">
        <v>381</v>
      </c>
      <c r="F38" s="189">
        <v>5.5</v>
      </c>
      <c r="G38" s="222" t="s">
        <v>19</v>
      </c>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118"/>
      <c r="AN38" s="26"/>
    </row>
    <row r="39" spans="1:40" ht="13" x14ac:dyDescent="0.3">
      <c r="A39" s="237"/>
      <c r="E39" s="55" t="s">
        <v>379</v>
      </c>
      <c r="F39" s="307">
        <f>Equations!E15</f>
        <v>8.1818181818181817</v>
      </c>
      <c r="G39" s="169" t="s">
        <v>369</v>
      </c>
      <c r="AM39" s="237"/>
    </row>
    <row r="40" spans="1:40" ht="15" customHeight="1" x14ac:dyDescent="0.3">
      <c r="A40" s="14"/>
      <c r="B40" s="94"/>
      <c r="C40" s="18"/>
      <c r="D40" s="18"/>
      <c r="E40" s="55" t="s">
        <v>380</v>
      </c>
      <c r="F40" s="51">
        <f>RsEFF</f>
        <v>1.8181818181818181</v>
      </c>
      <c r="G40" s="171" t="s">
        <v>63</v>
      </c>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00"/>
      <c r="AN40" s="26"/>
    </row>
    <row r="41" spans="1:40" ht="15" customHeight="1" x14ac:dyDescent="0.25">
      <c r="A41" s="14"/>
      <c r="B41" s="91"/>
      <c r="C41" s="18"/>
      <c r="D41" s="18"/>
      <c r="E41" s="55" t="s">
        <v>310</v>
      </c>
      <c r="F41" s="192">
        <v>5</v>
      </c>
      <c r="G41" s="171" t="s">
        <v>63</v>
      </c>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00"/>
      <c r="AN41" s="26" t="s">
        <v>164</v>
      </c>
    </row>
    <row r="42" spans="1:40" ht="15" customHeight="1" x14ac:dyDescent="0.3">
      <c r="A42" s="14"/>
      <c r="B42" s="91"/>
      <c r="C42" s="18"/>
      <c r="E42" s="27" t="s">
        <v>315</v>
      </c>
      <c r="F42" s="202">
        <f>Rset_recom</f>
        <v>55</v>
      </c>
      <c r="G42" s="239" t="s">
        <v>321</v>
      </c>
      <c r="H42" s="119"/>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00"/>
      <c r="AN42" s="26" t="s">
        <v>163</v>
      </c>
    </row>
    <row r="43" spans="1:40" ht="15" customHeight="1" x14ac:dyDescent="0.25">
      <c r="A43" s="14"/>
      <c r="B43" s="91"/>
      <c r="C43" s="18"/>
      <c r="D43" s="18"/>
      <c r="E43" s="55" t="s">
        <v>316</v>
      </c>
      <c r="F43" s="306">
        <v>54.9</v>
      </c>
      <c r="G43" s="204" t="s">
        <v>321</v>
      </c>
      <c r="H43" s="112" t="s">
        <v>431</v>
      </c>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00"/>
    </row>
    <row r="44" spans="1:40" ht="15" customHeight="1" x14ac:dyDescent="0.25">
      <c r="A44" s="14"/>
      <c r="B44" s="91"/>
      <c r="C44" s="18"/>
      <c r="D44" s="18"/>
      <c r="E44" s="55" t="s">
        <v>317</v>
      </c>
      <c r="F44" s="98">
        <f>Rimon_recom</f>
        <v>1347.5454545454547</v>
      </c>
      <c r="G44" s="204" t="s">
        <v>321</v>
      </c>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00"/>
    </row>
    <row r="45" spans="1:40" ht="15" customHeight="1" x14ac:dyDescent="0.25">
      <c r="A45" s="14"/>
      <c r="B45" s="91"/>
      <c r="C45" s="18"/>
      <c r="D45" s="18"/>
      <c r="E45" s="55" t="s">
        <v>318</v>
      </c>
      <c r="F45" s="191">
        <v>1330</v>
      </c>
      <c r="G45" s="204" t="s">
        <v>321</v>
      </c>
      <c r="H45" s="18"/>
      <c r="I45" s="18"/>
      <c r="J45" s="119"/>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00"/>
      <c r="AN45" t="e">
        <f>AND(#REF!="No")</f>
        <v>#REF!</v>
      </c>
    </row>
    <row r="46" spans="1:40" ht="15" customHeight="1" x14ac:dyDescent="0.25">
      <c r="A46" s="14"/>
      <c r="B46" s="368" t="s">
        <v>426</v>
      </c>
      <c r="C46" s="18"/>
      <c r="D46" s="112"/>
      <c r="E46" s="113" t="s">
        <v>68</v>
      </c>
      <c r="F46" s="53">
        <f>CLMIN</f>
        <v>5.1487218045112781</v>
      </c>
      <c r="G46" s="171" t="s">
        <v>19</v>
      </c>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00"/>
    </row>
    <row r="47" spans="1:40" ht="15" customHeight="1" x14ac:dyDescent="0.25">
      <c r="A47" s="14"/>
      <c r="B47" s="368"/>
      <c r="C47" s="18"/>
      <c r="D47" s="114"/>
      <c r="E47" s="115" t="s">
        <v>69</v>
      </c>
      <c r="F47" s="53">
        <f>CLNOM</f>
        <v>5.5725563909774438</v>
      </c>
      <c r="G47" s="171" t="s">
        <v>19</v>
      </c>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00"/>
    </row>
    <row r="48" spans="1:40" ht="15" customHeight="1" x14ac:dyDescent="0.25">
      <c r="A48" s="14"/>
      <c r="B48" s="368"/>
      <c r="C48" s="18"/>
      <c r="D48" s="144"/>
      <c r="E48" s="145" t="s">
        <v>70</v>
      </c>
      <c r="F48" s="53">
        <f>CLMAX</f>
        <v>5.9963909774436086</v>
      </c>
      <c r="G48" s="171" t="s">
        <v>19</v>
      </c>
      <c r="H48" s="18"/>
      <c r="I48" s="7"/>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00"/>
      <c r="AN48" s="26" t="s">
        <v>205</v>
      </c>
    </row>
    <row r="49" spans="1:41" ht="15" customHeight="1" x14ac:dyDescent="0.25">
      <c r="A49" s="14"/>
      <c r="B49" s="91"/>
      <c r="C49" s="18"/>
      <c r="D49" s="18"/>
      <c r="E49" s="55" t="s">
        <v>386</v>
      </c>
      <c r="F49" s="40">
        <f>60/Rs</f>
        <v>12</v>
      </c>
      <c r="G49" s="171" t="s">
        <v>19</v>
      </c>
      <c r="H49" s="18"/>
      <c r="I49" s="7"/>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00"/>
      <c r="AN49" s="26"/>
    </row>
    <row r="50" spans="1:41" ht="15" customHeight="1" x14ac:dyDescent="0.25">
      <c r="A50" s="14"/>
      <c r="B50" s="91"/>
      <c r="C50" s="18"/>
      <c r="D50" s="18"/>
      <c r="E50" s="55" t="s">
        <v>77</v>
      </c>
      <c r="F50" s="40">
        <f>Equations!E20/1000</f>
        <v>0.17978352377183557</v>
      </c>
      <c r="G50" s="171" t="s">
        <v>65</v>
      </c>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00"/>
      <c r="AN50" s="26"/>
    </row>
    <row r="51" spans="1:41" ht="15" customHeight="1" thickBot="1" x14ac:dyDescent="0.3">
      <c r="A51" s="14"/>
      <c r="B51" s="91"/>
      <c r="C51" s="18"/>
      <c r="D51" s="18"/>
      <c r="E51" s="55" t="s">
        <v>204</v>
      </c>
      <c r="F51" s="301" t="s">
        <v>205</v>
      </c>
      <c r="G51" s="171"/>
      <c r="H51" s="119"/>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00"/>
      <c r="AN51" s="26"/>
    </row>
    <row r="52" spans="1:41" ht="14" x14ac:dyDescent="0.3">
      <c r="A52" s="14"/>
      <c r="B52" s="146" t="s">
        <v>86</v>
      </c>
      <c r="C52" s="88"/>
      <c r="D52" s="88"/>
      <c r="E52" s="95" t="s">
        <v>96</v>
      </c>
      <c r="F52" s="300" t="s">
        <v>430</v>
      </c>
      <c r="G52" s="173"/>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118"/>
    </row>
    <row r="53" spans="1:41" ht="15.5" x14ac:dyDescent="0.4">
      <c r="A53" s="14"/>
      <c r="B53" s="91"/>
      <c r="C53" s="18"/>
      <c r="D53" s="18"/>
      <c r="E53" s="30" t="s">
        <v>208</v>
      </c>
      <c r="F53" s="302">
        <v>30</v>
      </c>
      <c r="G53" s="171" t="s">
        <v>90</v>
      </c>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00"/>
      <c r="AN53">
        <f>((((TJMAX-TAMB)/ThetaJA)/(CLMAX^2))*1000)*NUMFETS^2</f>
        <v>88.068878622200756</v>
      </c>
      <c r="AO53">
        <f>((TJMAX-TAMB)/ThetaJA)</f>
        <v>3.1666666666666665</v>
      </c>
    </row>
    <row r="54" spans="1:41" ht="13" x14ac:dyDescent="0.3">
      <c r="A54" s="14"/>
      <c r="B54" s="91"/>
      <c r="C54" s="18"/>
      <c r="D54" s="18"/>
      <c r="E54" s="30" t="s">
        <v>87</v>
      </c>
      <c r="F54" s="192">
        <v>1</v>
      </c>
      <c r="G54" s="171" t="s">
        <v>88</v>
      </c>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00"/>
      <c r="AN54" s="22" t="s">
        <v>209</v>
      </c>
    </row>
    <row r="55" spans="1:41" ht="15.5" x14ac:dyDescent="0.4">
      <c r="A55" s="14"/>
      <c r="B55" s="91"/>
      <c r="C55" s="18"/>
      <c r="D55" s="18"/>
      <c r="E55" s="30" t="s">
        <v>212</v>
      </c>
      <c r="F55" s="192">
        <v>10</v>
      </c>
      <c r="G55" s="171" t="s">
        <v>63</v>
      </c>
      <c r="H55" s="112" t="s">
        <v>431</v>
      </c>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00"/>
      <c r="AN55" s="26">
        <f>F55</f>
        <v>10</v>
      </c>
    </row>
    <row r="56" spans="1:41" ht="14.5" x14ac:dyDescent="0.25">
      <c r="A56" s="14"/>
      <c r="B56" s="91"/>
      <c r="C56" s="18"/>
      <c r="D56" s="18"/>
      <c r="E56" s="30" t="s">
        <v>91</v>
      </c>
      <c r="F56" s="192">
        <v>150</v>
      </c>
      <c r="G56" s="171" t="s">
        <v>155</v>
      </c>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00"/>
      <c r="AN56" s="26">
        <f t="shared" ref="AN56:AN61" si="0">F56</f>
        <v>150</v>
      </c>
    </row>
    <row r="57" spans="1:41" x14ac:dyDescent="0.25">
      <c r="A57" s="14"/>
      <c r="B57" s="91"/>
      <c r="C57" s="18"/>
      <c r="D57" s="18"/>
      <c r="E57" s="30" t="s">
        <v>270</v>
      </c>
      <c r="F57" s="193">
        <v>9</v>
      </c>
      <c r="G57" s="171" t="s">
        <v>19</v>
      </c>
      <c r="H57" s="112" t="s">
        <v>431</v>
      </c>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00"/>
      <c r="AN57" s="26">
        <f t="shared" si="0"/>
        <v>9</v>
      </c>
    </row>
    <row r="58" spans="1:41" x14ac:dyDescent="0.25">
      <c r="A58" s="14"/>
      <c r="B58" s="91"/>
      <c r="C58" s="18"/>
      <c r="D58" s="18"/>
      <c r="E58" s="30" t="s">
        <v>93</v>
      </c>
      <c r="F58" s="193">
        <v>2.9</v>
      </c>
      <c r="G58" s="171" t="s">
        <v>19</v>
      </c>
      <c r="H58" s="112" t="s">
        <v>431</v>
      </c>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00"/>
      <c r="AN58" s="26">
        <f t="shared" si="0"/>
        <v>2.9</v>
      </c>
    </row>
    <row r="59" spans="1:41" x14ac:dyDescent="0.25">
      <c r="A59" s="14"/>
      <c r="B59" s="91"/>
      <c r="C59" s="18"/>
      <c r="D59" s="18"/>
      <c r="E59" s="30" t="s">
        <v>94</v>
      </c>
      <c r="F59" s="193">
        <v>0.9</v>
      </c>
      <c r="G59" s="171" t="s">
        <v>19</v>
      </c>
      <c r="H59" s="112" t="s">
        <v>431</v>
      </c>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00"/>
      <c r="AN59" s="26">
        <f t="shared" si="0"/>
        <v>0.9</v>
      </c>
    </row>
    <row r="60" spans="1:41" x14ac:dyDescent="0.25">
      <c r="A60" s="14"/>
      <c r="B60" s="342" t="s">
        <v>86</v>
      </c>
      <c r="C60" s="18"/>
      <c r="D60" s="18"/>
      <c r="E60" s="30" t="s">
        <v>95</v>
      </c>
      <c r="F60" s="193">
        <v>0.6</v>
      </c>
      <c r="G60" s="171" t="s">
        <v>19</v>
      </c>
      <c r="H60" s="112" t="s">
        <v>431</v>
      </c>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00"/>
      <c r="AN60" s="26">
        <f t="shared" si="0"/>
        <v>0.6</v>
      </c>
    </row>
    <row r="61" spans="1:41" x14ac:dyDescent="0.25">
      <c r="A61" s="14"/>
      <c r="B61" s="91"/>
      <c r="C61" s="18"/>
      <c r="D61" s="18"/>
      <c r="E61" s="30" t="s">
        <v>271</v>
      </c>
      <c r="F61" s="193">
        <v>0.6</v>
      </c>
      <c r="G61" s="171" t="s">
        <v>19</v>
      </c>
      <c r="H61" s="112" t="s">
        <v>431</v>
      </c>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00"/>
      <c r="AN61" s="26">
        <f t="shared" si="0"/>
        <v>0.6</v>
      </c>
    </row>
    <row r="62" spans="1:41" ht="15" customHeight="1" x14ac:dyDescent="0.3">
      <c r="A62" s="14"/>
      <c r="B62" s="90"/>
      <c r="C62" s="18"/>
      <c r="D62" s="18"/>
      <c r="E62" s="30" t="s">
        <v>258</v>
      </c>
      <c r="F62" s="164">
        <f>(IOUTMAX/NUMFETS)^2*RDSON/1000</f>
        <v>0.16</v>
      </c>
      <c r="G62" s="171" t="s">
        <v>65</v>
      </c>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00"/>
    </row>
    <row r="63" spans="1:41" ht="15" customHeight="1" x14ac:dyDescent="0.4">
      <c r="A63" s="14"/>
      <c r="B63" s="90"/>
      <c r="C63" s="18"/>
      <c r="D63" s="18"/>
      <c r="E63" s="30" t="s">
        <v>211</v>
      </c>
      <c r="F63" s="164">
        <f>TAMB+(FETPDISS*ThetaJA)</f>
        <v>59.8</v>
      </c>
      <c r="G63" s="171" t="s">
        <v>89</v>
      </c>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00"/>
    </row>
    <row r="64" spans="1:41" ht="15" customHeight="1" x14ac:dyDescent="0.3">
      <c r="A64" s="14"/>
      <c r="B64" s="90"/>
      <c r="C64" s="18"/>
      <c r="D64" s="18"/>
      <c r="E64" s="55" t="s">
        <v>225</v>
      </c>
      <c r="F64" s="164">
        <f>Equations!F38</f>
        <v>7.5</v>
      </c>
      <c r="G64" s="171" t="s">
        <v>65</v>
      </c>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00"/>
    </row>
    <row r="65" spans="1:41" ht="15" customHeight="1" x14ac:dyDescent="0.3">
      <c r="A65" s="14"/>
      <c r="B65" s="90"/>
      <c r="C65" s="18"/>
      <c r="D65" s="18"/>
      <c r="E65" s="55" t="s">
        <v>224</v>
      </c>
      <c r="F65" s="193">
        <v>15</v>
      </c>
      <c r="G65" s="171" t="s">
        <v>65</v>
      </c>
      <c r="H65" s="112" t="s">
        <v>431</v>
      </c>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00"/>
    </row>
    <row r="66" spans="1:41" ht="15" customHeight="1" x14ac:dyDescent="0.3">
      <c r="A66" s="14"/>
      <c r="B66" s="90"/>
      <c r="C66" s="18"/>
      <c r="D66" s="18"/>
      <c r="E66" s="55" t="s">
        <v>322</v>
      </c>
      <c r="F66" s="143">
        <f>Equations!F40</f>
        <v>46.43796992481203</v>
      </c>
      <c r="G66" s="174" t="s">
        <v>62</v>
      </c>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00"/>
    </row>
    <row r="67" spans="1:41" ht="15" customHeight="1" x14ac:dyDescent="0.3">
      <c r="A67" s="14"/>
      <c r="B67" s="90"/>
      <c r="C67" s="18"/>
      <c r="D67" s="18"/>
      <c r="E67" s="55" t="s">
        <v>323</v>
      </c>
      <c r="F67" s="192">
        <v>47</v>
      </c>
      <c r="G67" s="174" t="s">
        <v>62</v>
      </c>
      <c r="H67" s="112" t="s">
        <v>431</v>
      </c>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00"/>
    </row>
    <row r="68" spans="1:41" ht="14" x14ac:dyDescent="0.3">
      <c r="A68" s="14"/>
      <c r="B68" s="221"/>
      <c r="C68" s="14"/>
      <c r="D68" s="14"/>
      <c r="E68" s="205" t="s">
        <v>326</v>
      </c>
      <c r="F68" s="303">
        <v>1.6</v>
      </c>
      <c r="G68" s="240" t="s">
        <v>82</v>
      </c>
      <c r="H68" s="14"/>
      <c r="I68" s="356" t="s">
        <v>428</v>
      </c>
      <c r="J68" s="356"/>
      <c r="K68" s="356"/>
      <c r="L68" s="356"/>
      <c r="M68" s="356"/>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00"/>
    </row>
    <row r="69" spans="1:41" ht="15" customHeight="1" thickBot="1" x14ac:dyDescent="0.3">
      <c r="A69" s="14"/>
      <c r="B69" s="91"/>
      <c r="C69" s="18"/>
      <c r="D69" s="18"/>
      <c r="E69" s="55" t="s">
        <v>229</v>
      </c>
      <c r="F69" s="143">
        <f>Equations!F42</f>
        <v>14.820628699408095</v>
      </c>
      <c r="G69" s="171" t="s">
        <v>65</v>
      </c>
      <c r="H69" s="18"/>
      <c r="I69" s="357"/>
      <c r="J69" s="357"/>
      <c r="K69" s="357"/>
      <c r="L69" s="357"/>
      <c r="M69" s="357"/>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00"/>
    </row>
    <row r="70" spans="1:41" ht="14" x14ac:dyDescent="0.3">
      <c r="A70" s="14"/>
      <c r="B70" s="146" t="s">
        <v>98</v>
      </c>
      <c r="C70" s="88"/>
      <c r="D70" s="88"/>
      <c r="E70" s="95" t="s">
        <v>158</v>
      </c>
      <c r="F70" s="194">
        <v>0</v>
      </c>
      <c r="G70" s="173" t="s">
        <v>64</v>
      </c>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118"/>
      <c r="AN70" t="s">
        <v>101</v>
      </c>
    </row>
    <row r="71" spans="1:41" x14ac:dyDescent="0.25">
      <c r="A71" s="14"/>
      <c r="B71" s="96"/>
      <c r="C71" s="18"/>
      <c r="D71" s="18"/>
      <c r="E71" s="30" t="s">
        <v>99</v>
      </c>
      <c r="F71" s="192" t="s">
        <v>102</v>
      </c>
      <c r="G71" s="172"/>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00"/>
      <c r="AN71" t="s">
        <v>102</v>
      </c>
    </row>
    <row r="72" spans="1:41" x14ac:dyDescent="0.25">
      <c r="A72" s="14"/>
      <c r="B72" s="91"/>
      <c r="C72" s="18"/>
      <c r="D72" s="18"/>
      <c r="E72" s="30" t="s">
        <v>100</v>
      </c>
      <c r="F72" s="192">
        <v>4</v>
      </c>
      <c r="G72" s="172" t="str">
        <f>IF(F71="Constant Current","A","Ohms")</f>
        <v>Ohms</v>
      </c>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00"/>
    </row>
    <row r="73" spans="1:41" x14ac:dyDescent="0.25">
      <c r="A73" s="14"/>
      <c r="B73" s="91"/>
      <c r="C73" s="18"/>
      <c r="D73" s="18"/>
      <c r="E73" s="30" t="s">
        <v>241</v>
      </c>
      <c r="F73" s="45">
        <f>Start_up!L2</f>
        <v>0.11111697099654011</v>
      </c>
      <c r="G73" s="171" t="s">
        <v>8</v>
      </c>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00"/>
      <c r="AN73" s="26"/>
    </row>
    <row r="74" spans="1:41" x14ac:dyDescent="0.25">
      <c r="A74" s="14"/>
      <c r="B74" s="91"/>
      <c r="C74" s="18"/>
      <c r="D74" s="18"/>
      <c r="E74" s="30" t="s">
        <v>246</v>
      </c>
      <c r="F74" s="160">
        <f>Start_up!N2</f>
        <v>0.34107889765904337</v>
      </c>
      <c r="G74" s="171"/>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00"/>
      <c r="AN74" s="26"/>
    </row>
    <row r="75" spans="1:41" ht="13.4" customHeight="1" x14ac:dyDescent="0.25">
      <c r="A75" s="14"/>
      <c r="B75" s="96"/>
      <c r="C75" s="18"/>
      <c r="D75" s="108"/>
      <c r="E75" s="168" t="s">
        <v>370</v>
      </c>
      <c r="F75" s="45">
        <f>Equations!F55</f>
        <v>0.2881169709965401</v>
      </c>
      <c r="G75" s="172" t="s">
        <v>8</v>
      </c>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00"/>
    </row>
    <row r="76" spans="1:41" ht="13.4" customHeight="1" x14ac:dyDescent="0.25">
      <c r="A76" s="14"/>
      <c r="B76" s="96"/>
      <c r="C76" s="18"/>
      <c r="D76" s="108"/>
      <c r="E76" s="168" t="s">
        <v>371</v>
      </c>
      <c r="F76" s="45">
        <f>F75*1.5</f>
        <v>0.43217545649481015</v>
      </c>
      <c r="G76" s="171" t="s">
        <v>8</v>
      </c>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00"/>
    </row>
    <row r="77" spans="1:41" ht="14.5" x14ac:dyDescent="0.35">
      <c r="A77" s="249"/>
      <c r="B77" s="91"/>
      <c r="C77" s="18"/>
      <c r="D77" s="18"/>
      <c r="E77" s="30" t="s">
        <v>328</v>
      </c>
      <c r="F77" s="304">
        <v>1.6</v>
      </c>
      <c r="G77" s="240" t="s">
        <v>8</v>
      </c>
      <c r="H77" s="112" t="s">
        <v>431</v>
      </c>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00"/>
      <c r="AO77">
        <f>0.47*1.5</f>
        <v>0.70499999999999996</v>
      </c>
    </row>
    <row r="78" spans="1:41" ht="12.65" customHeight="1" x14ac:dyDescent="0.25">
      <c r="A78" s="14"/>
      <c r="B78" s="343" t="s">
        <v>98</v>
      </c>
      <c r="C78" s="18"/>
      <c r="D78" s="108"/>
      <c r="E78" s="251" t="s">
        <v>244</v>
      </c>
      <c r="F78" s="45">
        <f>Equations!F56</f>
        <v>11.851851851851851</v>
      </c>
      <c r="G78" s="171" t="s">
        <v>82</v>
      </c>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00"/>
    </row>
    <row r="79" spans="1:41" ht="15" customHeight="1" x14ac:dyDescent="0.25">
      <c r="A79" s="14"/>
      <c r="B79" s="91"/>
      <c r="C79" s="18"/>
      <c r="D79" s="108"/>
      <c r="E79" s="251" t="s">
        <v>247</v>
      </c>
      <c r="F79" s="192">
        <v>12</v>
      </c>
      <c r="G79" s="171" t="s">
        <v>82</v>
      </c>
      <c r="H79" s="112" t="s">
        <v>431</v>
      </c>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00"/>
    </row>
    <row r="80" spans="1:41" ht="15" customHeight="1" x14ac:dyDescent="0.25">
      <c r="A80" s="14"/>
      <c r="B80" s="91"/>
      <c r="C80" s="18"/>
      <c r="D80" s="108"/>
      <c r="E80" s="251" t="s">
        <v>267</v>
      </c>
      <c r="F80" s="41">
        <f>Equations!F58</f>
        <v>1.6200000000000003</v>
      </c>
      <c r="G80" s="171" t="s">
        <v>8</v>
      </c>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00"/>
    </row>
    <row r="81" spans="1:39" ht="15" customHeight="1" x14ac:dyDescent="0.25">
      <c r="A81" s="14"/>
      <c r="B81" s="91"/>
      <c r="C81" s="18"/>
      <c r="D81" s="108"/>
      <c r="E81" s="251" t="s">
        <v>255</v>
      </c>
      <c r="F81" s="45">
        <f>Equations!F59</f>
        <v>1.3812481324652723</v>
      </c>
      <c r="G81" s="175"/>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00"/>
    </row>
    <row r="82" spans="1:39" ht="15" customHeight="1" x14ac:dyDescent="0.25">
      <c r="A82" s="14"/>
      <c r="B82" s="91"/>
      <c r="C82" s="18"/>
      <c r="D82" s="108"/>
      <c r="E82" s="251"/>
      <c r="F82" s="232"/>
      <c r="G82" s="175"/>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00"/>
    </row>
    <row r="83" spans="1:39" ht="15" customHeight="1" x14ac:dyDescent="0.25">
      <c r="A83" s="14"/>
      <c r="B83" s="91"/>
      <c r="C83" s="18"/>
      <c r="D83" s="108"/>
      <c r="E83" s="251"/>
      <c r="F83" s="18"/>
      <c r="G83" s="175"/>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00"/>
    </row>
    <row r="84" spans="1:39" ht="15" customHeight="1" x14ac:dyDescent="0.25">
      <c r="A84" s="14"/>
      <c r="B84" s="91"/>
      <c r="C84" s="18"/>
      <c r="D84" s="108"/>
      <c r="E84" s="85"/>
      <c r="F84" s="18"/>
      <c r="G84" s="175"/>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00"/>
    </row>
    <row r="85" spans="1:39" ht="15" customHeight="1" x14ac:dyDescent="0.25">
      <c r="A85" s="14"/>
      <c r="B85" s="91"/>
      <c r="C85" s="18"/>
      <c r="D85" s="108"/>
      <c r="E85" s="85"/>
      <c r="F85" s="18"/>
      <c r="G85" s="247"/>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00"/>
    </row>
    <row r="86" spans="1:39" ht="15" customHeight="1" x14ac:dyDescent="0.25">
      <c r="A86" s="14"/>
      <c r="B86" s="91"/>
      <c r="C86" s="18"/>
      <c r="D86" s="108"/>
      <c r="E86" s="85"/>
      <c r="F86" s="18"/>
      <c r="G86" s="175"/>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00"/>
    </row>
    <row r="87" spans="1:39" ht="15" customHeight="1" x14ac:dyDescent="0.25">
      <c r="A87" s="14"/>
      <c r="B87" s="91"/>
      <c r="C87" s="18"/>
      <c r="D87" s="108"/>
      <c r="E87" s="85"/>
      <c r="F87" s="18"/>
      <c r="G87" s="175"/>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00"/>
    </row>
    <row r="88" spans="1:39" ht="15" customHeight="1" x14ac:dyDescent="0.25">
      <c r="A88" s="14"/>
      <c r="B88" s="91"/>
      <c r="C88" s="18"/>
      <c r="D88" s="108"/>
      <c r="E88" s="85"/>
      <c r="F88" s="18"/>
      <c r="G88" s="175"/>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00"/>
    </row>
    <row r="89" spans="1:39" ht="17.149999999999999" customHeight="1" x14ac:dyDescent="0.25">
      <c r="A89" s="14"/>
      <c r="B89" s="91"/>
      <c r="C89" s="18"/>
      <c r="D89" s="108"/>
      <c r="E89" s="85"/>
      <c r="F89" s="18"/>
      <c r="G89" s="175"/>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00"/>
    </row>
    <row r="90" spans="1:39" ht="17.149999999999999" customHeight="1" x14ac:dyDescent="0.25">
      <c r="A90" s="14"/>
      <c r="B90" s="91"/>
      <c r="C90" s="18"/>
      <c r="D90" s="108"/>
      <c r="E90" s="85"/>
      <c r="F90" s="18"/>
      <c r="G90" s="247"/>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00"/>
    </row>
    <row r="91" spans="1:39" ht="17.149999999999999" customHeight="1" x14ac:dyDescent="0.25">
      <c r="A91" s="14"/>
      <c r="B91" s="91"/>
      <c r="C91" s="18"/>
      <c r="D91" s="108"/>
      <c r="E91" s="85"/>
      <c r="F91" s="18"/>
      <c r="G91" s="247"/>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00"/>
    </row>
    <row r="92" spans="1:39" ht="17.149999999999999" customHeight="1" x14ac:dyDescent="0.25">
      <c r="A92" s="14"/>
      <c r="B92" s="91"/>
      <c r="C92" s="18"/>
      <c r="D92" s="108"/>
      <c r="E92" s="85"/>
      <c r="F92" s="18"/>
      <c r="G92" s="247"/>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00"/>
    </row>
    <row r="93" spans="1:39" ht="17.149999999999999" customHeight="1" x14ac:dyDescent="0.25">
      <c r="A93" s="14"/>
      <c r="B93" s="91"/>
      <c r="C93" s="18"/>
      <c r="D93" s="108"/>
      <c r="E93" s="85"/>
      <c r="F93" s="18"/>
      <c r="G93" s="247"/>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00"/>
    </row>
    <row r="94" spans="1:39" ht="17.149999999999999" customHeight="1" x14ac:dyDescent="0.25">
      <c r="A94" s="14"/>
      <c r="B94" s="91"/>
      <c r="C94" s="18"/>
      <c r="D94" s="108"/>
      <c r="E94" s="85"/>
      <c r="F94" s="18"/>
      <c r="G94" s="175"/>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00"/>
    </row>
    <row r="95" spans="1:39" ht="17.149999999999999" customHeight="1" x14ac:dyDescent="0.25">
      <c r="A95" s="14"/>
      <c r="B95" s="91"/>
      <c r="C95" s="18"/>
      <c r="D95" s="108"/>
      <c r="E95" s="85"/>
      <c r="F95" s="18"/>
      <c r="G95" s="175"/>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00"/>
    </row>
    <row r="96" spans="1:39" ht="17.149999999999999" customHeight="1" x14ac:dyDescent="0.25">
      <c r="A96" s="14"/>
      <c r="B96" s="91"/>
      <c r="C96" s="18"/>
      <c r="D96" s="108"/>
      <c r="E96" s="85"/>
      <c r="F96" s="18"/>
      <c r="G96" s="175"/>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00"/>
    </row>
    <row r="97" spans="1:40" ht="17.149999999999999" customHeight="1" x14ac:dyDescent="0.25">
      <c r="A97" s="14"/>
      <c r="B97" s="91"/>
      <c r="C97" s="18"/>
      <c r="D97" s="108"/>
      <c r="E97" s="185"/>
      <c r="F97" s="18"/>
      <c r="G97" s="175"/>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00"/>
    </row>
    <row r="98" spans="1:40" ht="15" customHeight="1" x14ac:dyDescent="0.25">
      <c r="A98" s="14"/>
      <c r="B98" s="91"/>
      <c r="C98" s="18"/>
      <c r="D98" s="108"/>
      <c r="E98" s="251"/>
      <c r="F98" s="18"/>
      <c r="G98" s="175"/>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05" t="s">
        <v>210</v>
      </c>
    </row>
    <row r="99" spans="1:40" ht="15" customHeight="1" x14ac:dyDescent="0.25">
      <c r="A99" s="14"/>
      <c r="B99" s="91"/>
      <c r="C99" s="18"/>
      <c r="D99" s="108"/>
      <c r="E99" s="185"/>
      <c r="F99" s="18"/>
      <c r="G99" s="175"/>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05"/>
    </row>
    <row r="100" spans="1:40" ht="15" customHeight="1" x14ac:dyDescent="0.25">
      <c r="A100" s="14"/>
      <c r="B100" s="91"/>
      <c r="C100" s="18"/>
      <c r="D100" s="108"/>
      <c r="E100" s="251"/>
      <c r="F100" s="18"/>
      <c r="G100" s="24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05"/>
    </row>
    <row r="101" spans="1:40" ht="14.5" customHeight="1" x14ac:dyDescent="0.25">
      <c r="A101" s="14"/>
      <c r="B101" s="91"/>
      <c r="C101" s="18"/>
      <c r="D101" s="108"/>
      <c r="E101" s="168"/>
      <c r="F101" s="18"/>
      <c r="G101" s="24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00"/>
    </row>
    <row r="102" spans="1:40" ht="15" customHeight="1" thickBot="1" x14ac:dyDescent="0.3">
      <c r="A102" s="14"/>
      <c r="B102" s="92"/>
      <c r="C102" s="93"/>
      <c r="D102" s="252"/>
      <c r="E102" s="253"/>
      <c r="F102" s="93"/>
      <c r="G102" s="254"/>
      <c r="H102" s="226"/>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104"/>
    </row>
    <row r="103" spans="1:40" ht="15" customHeight="1" x14ac:dyDescent="0.3">
      <c r="A103" s="14"/>
      <c r="B103" s="250" t="s">
        <v>345</v>
      </c>
      <c r="C103" s="18"/>
      <c r="D103" s="18"/>
      <c r="E103" s="55" t="s">
        <v>364</v>
      </c>
      <c r="F103" s="218">
        <v>10</v>
      </c>
      <c r="G103" s="175" t="s">
        <v>64</v>
      </c>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00"/>
      <c r="AN103" s="26" t="s">
        <v>17</v>
      </c>
    </row>
    <row r="104" spans="1:40" ht="15" customHeight="1" x14ac:dyDescent="0.25">
      <c r="A104" s="14"/>
      <c r="B104" s="91"/>
      <c r="C104" s="18"/>
      <c r="D104" s="18"/>
      <c r="E104" s="55" t="s">
        <v>365</v>
      </c>
      <c r="F104" s="195">
        <v>14</v>
      </c>
      <c r="G104" s="175" t="s">
        <v>64</v>
      </c>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00"/>
      <c r="AN104" s="26" t="s">
        <v>18</v>
      </c>
    </row>
    <row r="105" spans="1:40" ht="15" customHeight="1" x14ac:dyDescent="0.25">
      <c r="A105" s="14"/>
      <c r="B105" s="91"/>
      <c r="C105" s="18"/>
      <c r="D105" s="18"/>
      <c r="E105" s="55" t="s">
        <v>376</v>
      </c>
      <c r="F105" s="305">
        <v>10</v>
      </c>
      <c r="G105" s="176" t="s">
        <v>62</v>
      </c>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00"/>
    </row>
    <row r="106" spans="1:40" ht="15" customHeight="1" x14ac:dyDescent="0.25">
      <c r="A106" s="14"/>
      <c r="B106" s="91"/>
      <c r="C106" s="18"/>
      <c r="D106" s="18"/>
      <c r="E106" s="244" t="s">
        <v>377</v>
      </c>
      <c r="F106" s="50">
        <f>Equations!F73</f>
        <v>0.44591246903385628</v>
      </c>
      <c r="G106" s="176" t="s">
        <v>62</v>
      </c>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00"/>
    </row>
    <row r="107" spans="1:40" ht="15" customHeight="1" x14ac:dyDescent="0.25">
      <c r="A107" s="14"/>
      <c r="B107" s="91"/>
      <c r="C107" s="18"/>
      <c r="D107" s="18"/>
      <c r="E107" s="244" t="s">
        <v>378</v>
      </c>
      <c r="F107" s="50">
        <f>Equations!F74</f>
        <v>1.1147811725846408</v>
      </c>
      <c r="G107" s="176" t="s">
        <v>62</v>
      </c>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00"/>
    </row>
    <row r="108" spans="1:40" ht="15" customHeight="1" x14ac:dyDescent="0.25">
      <c r="A108" s="14"/>
      <c r="B108" s="91"/>
      <c r="C108" s="18"/>
      <c r="D108" s="18"/>
      <c r="E108" s="55" t="s">
        <v>375</v>
      </c>
      <c r="F108" s="23">
        <f>F105</f>
        <v>10</v>
      </c>
      <c r="G108" s="176" t="s">
        <v>62</v>
      </c>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00"/>
    </row>
    <row r="109" spans="1:40" ht="15" customHeight="1" x14ac:dyDescent="0.25">
      <c r="A109" s="14"/>
      <c r="B109" s="91"/>
      <c r="C109" s="18"/>
      <c r="D109" s="18"/>
      <c r="E109" s="55" t="s">
        <v>73</v>
      </c>
      <c r="F109" s="195">
        <v>0.45</v>
      </c>
      <c r="G109" s="176" t="s">
        <v>62</v>
      </c>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00"/>
    </row>
    <row r="110" spans="1:40" ht="15" customHeight="1" x14ac:dyDescent="0.3">
      <c r="A110" s="14"/>
      <c r="B110" s="344" t="s">
        <v>427</v>
      </c>
      <c r="C110" s="18"/>
      <c r="D110" s="18"/>
      <c r="E110" s="55" t="s">
        <v>74</v>
      </c>
      <c r="F110" s="195">
        <v>1.1100000000000001</v>
      </c>
      <c r="G110" s="176" t="s">
        <v>62</v>
      </c>
      <c r="H110" s="18"/>
      <c r="I110" s="18"/>
      <c r="J110" s="103"/>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00"/>
    </row>
    <row r="111" spans="1:40" ht="15" customHeight="1" x14ac:dyDescent="0.3">
      <c r="A111" s="100"/>
      <c r="G111" s="241"/>
      <c r="H111" s="18"/>
      <c r="I111" s="18"/>
      <c r="J111" s="103"/>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00"/>
    </row>
    <row r="112" spans="1:40" ht="15" customHeight="1" thickBot="1" x14ac:dyDescent="0.35">
      <c r="A112" s="14"/>
      <c r="B112" s="91"/>
      <c r="C112" s="101" t="s">
        <v>32</v>
      </c>
      <c r="D112" s="102" t="s">
        <v>26</v>
      </c>
      <c r="E112" s="102" t="s">
        <v>27</v>
      </c>
      <c r="F112" s="102" t="s">
        <v>28</v>
      </c>
      <c r="G112" s="177"/>
      <c r="H112" s="18"/>
      <c r="I112" s="18"/>
      <c r="J112" s="103"/>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00"/>
    </row>
    <row r="113" spans="1:39" ht="15" customHeight="1" x14ac:dyDescent="0.3">
      <c r="A113" s="14"/>
      <c r="B113" s="91"/>
      <c r="C113" s="30" t="s">
        <v>358</v>
      </c>
      <c r="D113" s="42">
        <f>Equations!F76</f>
        <v>9.2628205128205128</v>
      </c>
      <c r="E113" s="213">
        <f>Equations!F77</f>
        <v>10.003846153846153</v>
      </c>
      <c r="F113" s="43">
        <f>Equations!F78</f>
        <v>10.744871794871793</v>
      </c>
      <c r="G113" s="175" t="s">
        <v>64</v>
      </c>
      <c r="H113" s="18"/>
      <c r="I113" s="18"/>
      <c r="J113" s="103"/>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00"/>
    </row>
    <row r="114" spans="1:39" ht="15" customHeight="1" x14ac:dyDescent="0.25">
      <c r="A114" s="14"/>
      <c r="B114" s="91"/>
      <c r="C114" s="30" t="s">
        <v>359</v>
      </c>
      <c r="D114" s="44">
        <f>Equations!F79</f>
        <v>8.8923076923076909</v>
      </c>
      <c r="E114" s="45">
        <f>Equations!F80</f>
        <v>9.6333333333333329</v>
      </c>
      <c r="F114" s="46">
        <f>Equations!F81</f>
        <v>10.374358974358973</v>
      </c>
      <c r="G114" s="175" t="s">
        <v>64</v>
      </c>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00"/>
    </row>
    <row r="115" spans="1:39" ht="15" customHeight="1" x14ac:dyDescent="0.25">
      <c r="A115" s="14"/>
      <c r="B115" s="91"/>
      <c r="C115" s="30" t="s">
        <v>360</v>
      </c>
      <c r="D115" s="44">
        <f>Equations!F82</f>
        <v>13.018018018018017</v>
      </c>
      <c r="E115" s="45">
        <f>Equations!F83</f>
        <v>14.059459459459458</v>
      </c>
      <c r="F115" s="46">
        <f>Equations!F84</f>
        <v>15.100900900900896</v>
      </c>
      <c r="G115" s="175" t="s">
        <v>64</v>
      </c>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00"/>
    </row>
    <row r="116" spans="1:39" ht="15" customHeight="1" thickBot="1" x14ac:dyDescent="0.3">
      <c r="A116" s="14"/>
      <c r="B116" s="91"/>
      <c r="C116" s="30" t="s">
        <v>361</v>
      </c>
      <c r="D116" s="47">
        <f>Equations!F85</f>
        <v>12.39315315315315</v>
      </c>
      <c r="E116" s="48">
        <f>Equations!F86</f>
        <v>13.434594594594591</v>
      </c>
      <c r="F116" s="49">
        <f>Equations!F87</f>
        <v>14.476036036036032</v>
      </c>
      <c r="G116" s="175" t="s">
        <v>64</v>
      </c>
      <c r="H116" s="108"/>
      <c r="I116" s="10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00"/>
    </row>
    <row r="117" spans="1:39" ht="15" customHeight="1" x14ac:dyDescent="0.3">
      <c r="A117" s="14"/>
      <c r="B117" s="91"/>
      <c r="C117" s="103" t="s">
        <v>169</v>
      </c>
      <c r="D117" s="7"/>
      <c r="E117" s="18"/>
      <c r="F117" s="18"/>
      <c r="G117" s="241"/>
      <c r="H117" s="108"/>
      <c r="I117" s="10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00"/>
    </row>
    <row r="118" spans="1:39" ht="15" customHeight="1" x14ac:dyDescent="0.3">
      <c r="A118" s="100"/>
      <c r="D118" s="18"/>
      <c r="E118" s="111" t="s">
        <v>362</v>
      </c>
      <c r="F118" s="52">
        <v>10</v>
      </c>
      <c r="G118" s="219" t="s">
        <v>321</v>
      </c>
      <c r="H118" s="108"/>
      <c r="I118" s="10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00"/>
    </row>
    <row r="119" spans="1:39" ht="15" customHeight="1" x14ac:dyDescent="0.25">
      <c r="A119" s="100"/>
      <c r="G119" s="241"/>
      <c r="H119" s="108"/>
      <c r="I119" s="10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00"/>
    </row>
    <row r="120" spans="1:39" ht="15" customHeight="1" thickBot="1" x14ac:dyDescent="0.3">
      <c r="A120" s="100"/>
      <c r="G120" s="242"/>
      <c r="H120" s="108"/>
      <c r="I120" s="10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00"/>
    </row>
    <row r="121" spans="1:39" ht="15" customHeight="1" x14ac:dyDescent="0.3">
      <c r="A121" s="100"/>
      <c r="B121" s="236" t="s">
        <v>170</v>
      </c>
      <c r="C121" s="88"/>
      <c r="D121" s="88"/>
      <c r="E121" s="120" t="s">
        <v>330</v>
      </c>
      <c r="F121" s="99">
        <f>Rs</f>
        <v>5</v>
      </c>
      <c r="G121" s="178" t="s">
        <v>63</v>
      </c>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118"/>
    </row>
    <row r="122" spans="1:39" ht="15" customHeight="1" thickBot="1" x14ac:dyDescent="0.3">
      <c r="A122" s="100"/>
      <c r="C122" s="18"/>
      <c r="D122" s="18"/>
      <c r="E122" s="106" t="s">
        <v>329</v>
      </c>
      <c r="F122" s="107">
        <f>F43</f>
        <v>54.9</v>
      </c>
      <c r="G122" s="179" t="s">
        <v>65</v>
      </c>
      <c r="H122" s="18"/>
      <c r="I122" s="7"/>
      <c r="J122" s="7"/>
      <c r="K122" s="7"/>
      <c r="L122" s="7"/>
      <c r="M122" s="7"/>
      <c r="AM122" s="237"/>
    </row>
    <row r="123" spans="1:39" ht="15" customHeight="1" x14ac:dyDescent="0.3">
      <c r="A123" s="14"/>
      <c r="B123" s="90"/>
      <c r="C123" s="18"/>
      <c r="D123" s="18"/>
      <c r="E123" s="106" t="s">
        <v>331</v>
      </c>
      <c r="F123" s="107">
        <f>F45</f>
        <v>1330</v>
      </c>
      <c r="G123" s="179" t="s">
        <v>65</v>
      </c>
      <c r="H123" s="18"/>
      <c r="I123" s="261"/>
      <c r="J123" s="262"/>
      <c r="K123" s="263" t="s">
        <v>27</v>
      </c>
      <c r="L123" s="264" t="s">
        <v>124</v>
      </c>
      <c r="M123" s="102"/>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5"/>
    </row>
    <row r="124" spans="1:39" ht="15" customHeight="1" x14ac:dyDescent="0.25">
      <c r="A124" s="14"/>
      <c r="B124" s="91"/>
      <c r="C124" s="18"/>
      <c r="D124" s="18"/>
      <c r="E124" s="55" t="s">
        <v>332</v>
      </c>
      <c r="F124" s="37">
        <f>F67</f>
        <v>47</v>
      </c>
      <c r="G124" s="180" t="s">
        <v>62</v>
      </c>
      <c r="H124" s="18"/>
      <c r="I124" s="265"/>
      <c r="J124" s="258" t="s">
        <v>171</v>
      </c>
      <c r="K124" s="259">
        <f>F47</f>
        <v>5.5725563909774438</v>
      </c>
      <c r="L124" s="266" t="s">
        <v>19</v>
      </c>
      <c r="M124" s="255"/>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05"/>
    </row>
    <row r="125" spans="1:39" ht="15" customHeight="1" x14ac:dyDescent="0.25">
      <c r="A125" s="14"/>
      <c r="B125" s="91"/>
      <c r="C125" s="18"/>
      <c r="D125" s="18"/>
      <c r="E125" s="54" t="s">
        <v>15</v>
      </c>
      <c r="F125" s="45">
        <f>F79</f>
        <v>12</v>
      </c>
      <c r="G125" s="180" t="s">
        <v>61</v>
      </c>
      <c r="H125" s="18"/>
      <c r="I125" s="265"/>
      <c r="J125" s="258" t="s">
        <v>131</v>
      </c>
      <c r="K125" s="127">
        <f>Equations!F47</f>
        <v>14.820628699408095</v>
      </c>
      <c r="L125" s="266" t="s">
        <v>65</v>
      </c>
      <c r="M125" s="256"/>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05"/>
    </row>
    <row r="126" spans="1:39" ht="15" customHeight="1" x14ac:dyDescent="0.25">
      <c r="A126" s="14"/>
      <c r="B126" s="91"/>
      <c r="C126" s="18"/>
      <c r="D126" s="18"/>
      <c r="E126" s="54" t="s">
        <v>11</v>
      </c>
      <c r="F126" s="38">
        <f>F108</f>
        <v>10</v>
      </c>
      <c r="G126" s="180" t="s">
        <v>62</v>
      </c>
      <c r="H126" s="18"/>
      <c r="I126" s="96"/>
      <c r="J126" s="258" t="s">
        <v>396</v>
      </c>
      <c r="K126" s="246">
        <f>60/Rs</f>
        <v>12</v>
      </c>
      <c r="L126" s="105" t="s">
        <v>19</v>
      </c>
      <c r="M126" s="257"/>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05"/>
    </row>
    <row r="127" spans="1:39" ht="15" customHeight="1" x14ac:dyDescent="0.25">
      <c r="A127" s="14"/>
      <c r="B127" s="91"/>
      <c r="C127" s="18"/>
      <c r="D127" s="18"/>
      <c r="E127" s="54" t="s">
        <v>12</v>
      </c>
      <c r="F127" s="38">
        <f>F109</f>
        <v>0.45</v>
      </c>
      <c r="G127" s="180" t="s">
        <v>62</v>
      </c>
      <c r="H127" s="18"/>
      <c r="I127" s="265"/>
      <c r="J127" s="260" t="s">
        <v>172</v>
      </c>
      <c r="K127" s="128">
        <f>E113</f>
        <v>10.003846153846153</v>
      </c>
      <c r="L127" s="266" t="s">
        <v>64</v>
      </c>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05"/>
    </row>
    <row r="128" spans="1:39" ht="15" customHeight="1" x14ac:dyDescent="0.25">
      <c r="A128" s="14"/>
      <c r="B128" s="91"/>
      <c r="C128" s="18"/>
      <c r="D128" s="18"/>
      <c r="E128" s="54" t="s">
        <v>13</v>
      </c>
      <c r="F128" s="38">
        <f>F110</f>
        <v>1.1100000000000001</v>
      </c>
      <c r="G128" s="180" t="s">
        <v>62</v>
      </c>
      <c r="H128" s="18"/>
      <c r="I128" s="265"/>
      <c r="J128" s="260" t="s">
        <v>174</v>
      </c>
      <c r="K128" s="128">
        <f>E114</f>
        <v>9.6333333333333329</v>
      </c>
      <c r="L128" s="266" t="s">
        <v>64</v>
      </c>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05"/>
    </row>
    <row r="129" spans="1:39" ht="15" customHeight="1" thickBot="1" x14ac:dyDescent="0.3">
      <c r="A129" s="14"/>
      <c r="B129" s="91"/>
      <c r="C129" s="18"/>
      <c r="D129" s="18"/>
      <c r="E129" s="55" t="s">
        <v>363</v>
      </c>
      <c r="F129" s="39">
        <v>10</v>
      </c>
      <c r="G129" s="220" t="s">
        <v>321</v>
      </c>
      <c r="H129" s="18"/>
      <c r="I129" s="265"/>
      <c r="J129" s="260" t="s">
        <v>175</v>
      </c>
      <c r="K129" s="128">
        <f>E115</f>
        <v>14.059459459459458</v>
      </c>
      <c r="L129" s="266" t="s">
        <v>64</v>
      </c>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105"/>
    </row>
    <row r="130" spans="1:39" ht="15" customHeight="1" thickBot="1" x14ac:dyDescent="0.3">
      <c r="A130" s="14"/>
      <c r="B130" s="91"/>
      <c r="C130" s="18"/>
      <c r="D130" s="18"/>
      <c r="E130" s="55" t="s">
        <v>203</v>
      </c>
      <c r="F130" s="116" t="str">
        <f>IF(F51="Retry","GND","VDD")</f>
        <v>GND</v>
      </c>
      <c r="G130" s="123"/>
      <c r="H130" s="18"/>
      <c r="I130" s="267"/>
      <c r="J130" s="268" t="s">
        <v>173</v>
      </c>
      <c r="K130" s="243">
        <f>E116</f>
        <v>13.434594594594591</v>
      </c>
      <c r="L130" s="269" t="s">
        <v>64</v>
      </c>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05"/>
    </row>
    <row r="131" spans="1:39" ht="18.75" customHeight="1" x14ac:dyDescent="0.25">
      <c r="A131" s="100"/>
      <c r="C131" s="7"/>
      <c r="D131" s="7"/>
      <c r="E131" s="54" t="s">
        <v>368</v>
      </c>
      <c r="F131" s="45">
        <v>1</v>
      </c>
      <c r="G131" s="180" t="s">
        <v>61</v>
      </c>
      <c r="I131" s="7"/>
      <c r="J131" s="7"/>
      <c r="K131" s="7"/>
      <c r="L131" s="7"/>
      <c r="M131" s="7"/>
      <c r="AM131" s="237"/>
    </row>
    <row r="132" spans="1:39" ht="15" customHeight="1" x14ac:dyDescent="0.25">
      <c r="A132" s="100"/>
      <c r="E132" s="270" t="s">
        <v>391</v>
      </c>
      <c r="F132" s="246">
        <v>10</v>
      </c>
      <c r="G132" s="180" t="s">
        <v>62</v>
      </c>
      <c r="I132" s="7"/>
      <c r="J132" s="7"/>
      <c r="K132" s="7"/>
      <c r="M132" s="7"/>
      <c r="AM132" s="237"/>
    </row>
    <row r="133" spans="1:39" ht="14.25" customHeight="1" x14ac:dyDescent="0.25">
      <c r="A133" s="100"/>
      <c r="E133" s="271" t="s">
        <v>392</v>
      </c>
      <c r="F133" s="272" t="s">
        <v>394</v>
      </c>
      <c r="G133" s="231"/>
      <c r="J133" s="7"/>
      <c r="K133" s="7"/>
      <c r="AM133" s="237"/>
    </row>
    <row r="134" spans="1:39" ht="15" customHeight="1" x14ac:dyDescent="0.25">
      <c r="A134" s="100"/>
      <c r="E134" s="271" t="s">
        <v>393</v>
      </c>
      <c r="F134" s="272" t="s">
        <v>395</v>
      </c>
      <c r="H134" s="18"/>
      <c r="AM134" s="237"/>
    </row>
    <row r="135" spans="1:39" ht="15" customHeight="1" x14ac:dyDescent="0.25">
      <c r="A135" s="100"/>
      <c r="H135" s="18"/>
      <c r="I135" s="18"/>
      <c r="J135" s="126"/>
      <c r="K135" s="182"/>
      <c r="L135" s="182"/>
      <c r="M135" s="182"/>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05"/>
    </row>
    <row r="136" spans="1:39" ht="15" customHeight="1" x14ac:dyDescent="0.25">
      <c r="A136" s="100"/>
      <c r="H136" s="18"/>
      <c r="I136" s="18"/>
      <c r="J136" s="126"/>
      <c r="K136" s="182"/>
      <c r="L136" s="182"/>
      <c r="M136" s="182"/>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05"/>
    </row>
    <row r="137" spans="1:39" ht="15" customHeight="1" x14ac:dyDescent="0.25">
      <c r="A137" s="100"/>
      <c r="B137" s="18"/>
      <c r="C137" s="18"/>
      <c r="D137" s="18"/>
      <c r="E137" s="55"/>
      <c r="F137" s="132"/>
      <c r="G137" s="181"/>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00"/>
    </row>
    <row r="138" spans="1:39" ht="15" customHeight="1" x14ac:dyDescent="0.25">
      <c r="A138" s="100"/>
      <c r="B138" s="17" t="s">
        <v>16</v>
      </c>
      <c r="C138" s="28" t="s">
        <v>366</v>
      </c>
      <c r="D138" s="17"/>
      <c r="E138" s="28"/>
      <c r="F138" s="121"/>
      <c r="G138" s="182"/>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00"/>
    </row>
    <row r="139" spans="1:39" ht="15" customHeight="1" x14ac:dyDescent="0.25">
      <c r="A139" s="100"/>
      <c r="B139" s="18"/>
      <c r="C139" s="28" t="s">
        <v>367</v>
      </c>
      <c r="D139" s="18"/>
      <c r="E139" s="28"/>
      <c r="F139" s="18"/>
      <c r="G139" s="182"/>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00"/>
    </row>
    <row r="140" spans="1:39" ht="15" customHeight="1" x14ac:dyDescent="0.3">
      <c r="A140" s="100"/>
      <c r="B140" s="124"/>
      <c r="C140" s="28" t="s">
        <v>206</v>
      </c>
      <c r="D140" s="18"/>
      <c r="E140" s="28"/>
      <c r="F140" s="18"/>
      <c r="G140" s="182"/>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00"/>
    </row>
    <row r="141" spans="1:39" ht="15" customHeight="1" thickBot="1" x14ac:dyDescent="0.3">
      <c r="A141" s="14"/>
      <c r="B141" s="92"/>
      <c r="C141" s="226" t="s">
        <v>374</v>
      </c>
      <c r="D141" s="93"/>
      <c r="E141" s="122"/>
      <c r="F141" s="93"/>
      <c r="G141" s="18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104"/>
    </row>
    <row r="142" spans="1:39" ht="15" customHeight="1" x14ac:dyDescent="0.25">
      <c r="A142" s="14"/>
      <c r="B142" s="18"/>
      <c r="C142" s="18"/>
      <c r="D142" s="18"/>
      <c r="E142" s="54"/>
      <c r="F142" s="223"/>
      <c r="G142" s="180"/>
      <c r="H142" s="18"/>
      <c r="I142" s="7"/>
      <c r="J142" s="7"/>
      <c r="K142" s="7"/>
      <c r="L142" s="7"/>
      <c r="M142" s="7"/>
      <c r="AM142" s="238"/>
    </row>
    <row r="143" spans="1:39" ht="15" customHeight="1" x14ac:dyDescent="0.25">
      <c r="A143" s="14"/>
      <c r="B143" s="18"/>
      <c r="C143" s="18"/>
      <c r="D143" s="18"/>
      <c r="E143" s="55"/>
      <c r="F143" s="233"/>
      <c r="G143" s="181"/>
      <c r="H143" s="18"/>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row>
    <row r="144" spans="1:39" ht="15" customHeight="1" x14ac:dyDescent="0.25">
      <c r="A144" s="14"/>
      <c r="B144" s="18"/>
      <c r="C144" s="18"/>
      <c r="D144" s="18"/>
      <c r="E144" s="55"/>
      <c r="F144" s="233"/>
      <c r="G144" s="180"/>
      <c r="H144" s="18"/>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row>
    <row r="145" spans="1:40" ht="15" customHeight="1" x14ac:dyDescent="0.25">
      <c r="A145" s="14"/>
      <c r="B145" s="18"/>
      <c r="C145" s="18"/>
      <c r="D145" s="18"/>
      <c r="E145" s="7"/>
      <c r="F145" s="7"/>
      <c r="G145" s="231"/>
      <c r="H145" s="18"/>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row>
    <row r="146" spans="1:40" ht="15" customHeight="1" x14ac:dyDescent="0.25">
      <c r="A146" s="14"/>
      <c r="B146" s="18"/>
      <c r="C146" s="18"/>
      <c r="D146" s="18"/>
      <c r="E146" s="55"/>
      <c r="F146" s="233"/>
      <c r="G146" s="180"/>
      <c r="H146" s="18"/>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row>
    <row r="147" spans="1:40" ht="15" customHeight="1" x14ac:dyDescent="0.25">
      <c r="A147" s="14"/>
      <c r="B147" s="18"/>
      <c r="C147" s="18"/>
      <c r="D147" s="18"/>
      <c r="E147" s="55"/>
      <c r="F147" s="233"/>
      <c r="G147" s="180"/>
      <c r="H147" s="18"/>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row>
    <row r="148" spans="1:40" ht="15" customHeight="1" x14ac:dyDescent="0.25">
      <c r="A148" s="14"/>
      <c r="B148" s="18"/>
      <c r="C148" s="18"/>
      <c r="D148" s="18"/>
      <c r="E148" s="55"/>
      <c r="F148" s="234"/>
      <c r="G148" s="181"/>
      <c r="H148" s="18"/>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row>
    <row r="149" spans="1:40" ht="15" customHeight="1" x14ac:dyDescent="0.25">
      <c r="A149" s="14"/>
      <c r="B149" s="18"/>
      <c r="C149" s="18"/>
      <c r="D149" s="18"/>
      <c r="E149" s="55"/>
      <c r="F149" s="233"/>
      <c r="G149" s="181"/>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row>
    <row r="150" spans="1:40" ht="15" customHeight="1" x14ac:dyDescent="0.25">
      <c r="A150" s="14"/>
      <c r="B150" s="18"/>
      <c r="C150" s="18"/>
      <c r="D150" s="18"/>
      <c r="E150" s="7"/>
      <c r="F150" s="7"/>
      <c r="G150" s="181"/>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26"/>
    </row>
    <row r="151" spans="1:40" ht="15" customHeight="1" x14ac:dyDescent="0.25">
      <c r="A151" s="18"/>
      <c r="B151" s="7"/>
      <c r="C151" s="7"/>
      <c r="D151" s="7"/>
      <c r="E151" s="7"/>
      <c r="F151" s="7"/>
      <c r="G151" s="231"/>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26"/>
    </row>
    <row r="152" spans="1:40" x14ac:dyDescent="0.25">
      <c r="A152" s="18"/>
      <c r="B152" s="7"/>
      <c r="C152" s="7"/>
      <c r="D152" s="7"/>
      <c r="E152" s="7"/>
      <c r="F152" s="7"/>
      <c r="G152" s="231"/>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26"/>
    </row>
    <row r="153" spans="1:40" x14ac:dyDescent="0.25">
      <c r="A153" s="18"/>
      <c r="B153" s="7"/>
      <c r="C153" s="7"/>
      <c r="D153" s="7"/>
      <c r="E153" s="7"/>
      <c r="F153" s="7"/>
      <c r="G153" s="231"/>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row>
    <row r="154" spans="1:40" x14ac:dyDescent="0.25">
      <c r="A154" s="18"/>
      <c r="B154" s="7"/>
      <c r="C154" s="7"/>
      <c r="D154" s="7"/>
      <c r="E154" s="7"/>
      <c r="F154" s="7"/>
      <c r="G154" s="231"/>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row>
    <row r="155" spans="1:40" x14ac:dyDescent="0.25">
      <c r="A155" s="14"/>
      <c r="B155" s="7"/>
      <c r="C155" s="7"/>
      <c r="D155" s="7"/>
      <c r="E155" s="7"/>
      <c r="F155" s="7"/>
      <c r="G155" s="231"/>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row>
    <row r="156" spans="1:40" x14ac:dyDescent="0.25">
      <c r="A156" s="14"/>
      <c r="B156" s="18"/>
      <c r="C156" s="18"/>
      <c r="D156" s="18"/>
      <c r="E156" s="18"/>
      <c r="F156" s="235"/>
      <c r="G156" s="182"/>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row>
    <row r="157" spans="1:40" x14ac:dyDescent="0.25">
      <c r="A157" s="14"/>
      <c r="B157" s="18"/>
      <c r="C157" s="18"/>
      <c r="D157" s="18"/>
      <c r="E157" s="18"/>
      <c r="F157" s="108"/>
      <c r="G157" s="110"/>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row>
    <row r="158" spans="1:40" x14ac:dyDescent="0.25">
      <c r="A158" s="14"/>
      <c r="B158" s="18"/>
      <c r="C158" s="18"/>
      <c r="D158" s="18"/>
      <c r="E158" s="18"/>
      <c r="F158" s="108"/>
      <c r="G158" s="110"/>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row>
    <row r="159" spans="1:40" x14ac:dyDescent="0.25">
      <c r="A159" s="14"/>
      <c r="B159" s="18"/>
      <c r="C159" s="18"/>
      <c r="D159" s="18"/>
      <c r="E159" s="18"/>
      <c r="F159" s="108"/>
      <c r="G159" s="110"/>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row>
    <row r="160" spans="1:40" x14ac:dyDescent="0.25">
      <c r="A160" s="14"/>
      <c r="B160" s="18"/>
      <c r="C160" s="18"/>
      <c r="D160" s="18"/>
      <c r="E160" s="18"/>
      <c r="F160" s="108"/>
      <c r="G160" s="110"/>
      <c r="H160" s="108"/>
      <c r="I160" s="108"/>
      <c r="J160" s="10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row>
    <row r="161" spans="1:39" x14ac:dyDescent="0.25">
      <c r="A161" s="14"/>
      <c r="B161" s="18"/>
      <c r="C161" s="18"/>
      <c r="D161" s="18"/>
      <c r="E161" s="18"/>
      <c r="F161" s="108"/>
      <c r="G161" s="110"/>
      <c r="H161" s="108"/>
      <c r="I161" s="108"/>
      <c r="J161" s="10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row>
    <row r="162" spans="1:39" x14ac:dyDescent="0.25">
      <c r="A162" s="14"/>
      <c r="B162" s="14"/>
      <c r="C162" s="14"/>
      <c r="D162" s="14"/>
      <c r="E162" s="14"/>
      <c r="F162" s="29"/>
      <c r="G162" s="18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8"/>
    </row>
    <row r="163" spans="1:39" x14ac:dyDescent="0.25">
      <c r="A163" s="14"/>
      <c r="B163" s="14"/>
      <c r="C163" s="14"/>
      <c r="D163" s="14"/>
      <c r="E163" s="14"/>
      <c r="F163" s="14"/>
      <c r="G163" s="15"/>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8"/>
    </row>
    <row r="164" spans="1:39" x14ac:dyDescent="0.25">
      <c r="A164" s="14"/>
      <c r="B164" s="14"/>
      <c r="C164" s="14"/>
      <c r="D164" s="14"/>
      <c r="E164" s="14"/>
      <c r="F164" s="29"/>
      <c r="G164" s="184"/>
      <c r="H164" s="29"/>
      <c r="I164" s="29"/>
      <c r="J164" s="29"/>
      <c r="K164" s="29"/>
      <c r="L164" s="29"/>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8"/>
    </row>
    <row r="165" spans="1:39" x14ac:dyDescent="0.25">
      <c r="A165" s="14"/>
      <c r="B165" s="14"/>
      <c r="C165" s="14"/>
      <c r="D165" s="14"/>
      <c r="E165" s="14"/>
      <c r="F165" s="29"/>
      <c r="G165" s="184"/>
      <c r="H165" s="29"/>
      <c r="I165" s="29"/>
      <c r="J165" s="29"/>
      <c r="K165" s="29"/>
      <c r="L165" s="29"/>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row>
    <row r="166" spans="1:39" x14ac:dyDescent="0.25">
      <c r="A166" s="14"/>
      <c r="B166" s="14"/>
      <c r="C166" s="14"/>
      <c r="D166" s="14"/>
      <c r="E166" s="14"/>
      <c r="F166" s="29"/>
      <c r="G166" s="184"/>
      <c r="H166" s="29"/>
      <c r="I166" s="29"/>
      <c r="J166" s="29"/>
      <c r="K166" s="29"/>
      <c r="L166" s="29"/>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row>
    <row r="167" spans="1:39" x14ac:dyDescent="0.25">
      <c r="A167" s="14"/>
      <c r="B167" s="14"/>
      <c r="C167" s="14"/>
      <c r="D167" s="14"/>
      <c r="E167" s="14"/>
      <c r="F167" s="29"/>
      <c r="G167" s="184"/>
      <c r="H167" s="29"/>
      <c r="I167" s="29"/>
      <c r="J167" s="29"/>
      <c r="K167" s="29"/>
      <c r="L167" s="29"/>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row>
    <row r="168" spans="1:39" x14ac:dyDescent="0.25">
      <c r="A168" s="14"/>
      <c r="B168" s="14"/>
      <c r="C168" s="14"/>
      <c r="D168" s="14"/>
      <c r="E168" s="14"/>
      <c r="F168" s="29"/>
      <c r="G168" s="184"/>
      <c r="H168" s="29"/>
      <c r="I168" s="29"/>
      <c r="J168" s="29"/>
      <c r="K168" s="29"/>
      <c r="L168" s="29"/>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row>
    <row r="169" spans="1:39" x14ac:dyDescent="0.25">
      <c r="A169" s="14"/>
      <c r="B169" s="14"/>
      <c r="C169" s="14"/>
      <c r="D169" s="14"/>
      <c r="E169" s="14"/>
      <c r="F169" s="29"/>
      <c r="G169" s="184"/>
      <c r="H169" s="29"/>
      <c r="I169" s="29"/>
      <c r="J169" s="29"/>
      <c r="K169" s="29"/>
      <c r="L169" s="29"/>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row>
    <row r="170" spans="1:39" x14ac:dyDescent="0.25">
      <c r="A170" s="14"/>
      <c r="B170" s="14"/>
      <c r="C170" s="14"/>
      <c r="D170" s="14"/>
      <c r="E170" s="14"/>
      <c r="F170" s="14"/>
      <c r="G170" s="15"/>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row>
    <row r="171" spans="1:39" x14ac:dyDescent="0.25">
      <c r="A171" s="14"/>
      <c r="B171" s="14"/>
      <c r="C171" s="14"/>
      <c r="D171" s="14"/>
      <c r="E171" s="14"/>
      <c r="F171" s="14"/>
      <c r="G171" s="15"/>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row>
    <row r="172" spans="1:39" x14ac:dyDescent="0.25">
      <c r="A172" s="14"/>
      <c r="B172" s="14"/>
      <c r="C172" s="14"/>
      <c r="D172" s="14"/>
      <c r="E172" s="14"/>
      <c r="F172" s="14"/>
      <c r="G172" s="15"/>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row>
    <row r="173" spans="1:39" x14ac:dyDescent="0.25">
      <c r="A173" s="14"/>
      <c r="B173" s="14"/>
      <c r="C173" s="14"/>
      <c r="D173" s="14"/>
      <c r="E173" s="14"/>
      <c r="F173" s="14"/>
      <c r="G173" s="15"/>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row>
    <row r="174" spans="1:39" x14ac:dyDescent="0.25">
      <c r="A174" s="14"/>
      <c r="B174" s="14"/>
      <c r="C174" s="14"/>
      <c r="D174" s="14"/>
      <c r="E174" s="14"/>
      <c r="F174" s="14"/>
      <c r="G174" s="15"/>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row>
    <row r="175" spans="1:39" x14ac:dyDescent="0.25">
      <c r="A175" s="14"/>
      <c r="B175" s="14"/>
      <c r="C175" s="14"/>
      <c r="D175" s="14"/>
      <c r="E175" s="14"/>
      <c r="F175" s="14"/>
      <c r="G175" s="15"/>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row>
    <row r="176" spans="1:39" x14ac:dyDescent="0.25">
      <c r="A176" s="14"/>
      <c r="B176" s="14"/>
      <c r="C176" s="14"/>
      <c r="D176" s="14"/>
      <c r="E176" s="14"/>
      <c r="F176" s="14"/>
      <c r="G176" s="15"/>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row>
    <row r="177" spans="1:39" x14ac:dyDescent="0.25">
      <c r="A177" s="14"/>
      <c r="B177" s="14"/>
      <c r="C177" s="14"/>
      <c r="D177" s="14"/>
      <c r="E177" s="14"/>
      <c r="F177" s="14"/>
      <c r="G177" s="15"/>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row>
    <row r="178" spans="1:39" x14ac:dyDescent="0.25">
      <c r="A178" s="14"/>
      <c r="B178" s="14"/>
      <c r="C178" s="14"/>
      <c r="D178" s="14"/>
      <c r="E178" s="14"/>
      <c r="F178" s="14"/>
      <c r="G178" s="15"/>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row>
    <row r="179" spans="1:39" x14ac:dyDescent="0.25">
      <c r="A179" s="14"/>
      <c r="B179" s="14"/>
      <c r="C179" s="14"/>
      <c r="D179" s="14"/>
      <c r="E179" s="14"/>
      <c r="F179" s="14"/>
      <c r="G179" s="15"/>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row>
    <row r="180" spans="1:39" x14ac:dyDescent="0.25">
      <c r="A180" s="14"/>
      <c r="B180" s="14"/>
      <c r="C180" s="14"/>
      <c r="D180" s="14"/>
      <c r="E180" s="14"/>
      <c r="F180" s="14"/>
      <c r="G180" s="15"/>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row>
    <row r="181" spans="1:39" ht="14" x14ac:dyDescent="0.3">
      <c r="A181" s="14"/>
      <c r="B181" s="36"/>
      <c r="C181" s="14"/>
      <c r="D181" s="14"/>
      <c r="E181" s="14"/>
      <c r="F181" s="14"/>
      <c r="G181" s="15"/>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row>
    <row r="182" spans="1:39" x14ac:dyDescent="0.25">
      <c r="A182" s="14"/>
      <c r="B182" s="14"/>
      <c r="C182" s="14"/>
      <c r="D182" s="14"/>
      <c r="E182" s="14"/>
      <c r="F182" s="14"/>
      <c r="G182" s="15"/>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row>
    <row r="183" spans="1:39" x14ac:dyDescent="0.25">
      <c r="A183" s="14"/>
      <c r="B183" s="14"/>
      <c r="C183" s="14"/>
      <c r="D183" s="14"/>
      <c r="E183" s="14"/>
      <c r="F183" s="14"/>
      <c r="G183" s="15"/>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row>
    <row r="184" spans="1:39" x14ac:dyDescent="0.25">
      <c r="A184" s="14"/>
      <c r="B184" s="14"/>
      <c r="C184" s="14"/>
      <c r="D184" s="14"/>
      <c r="E184" s="14"/>
      <c r="F184" s="14"/>
      <c r="G184" s="15"/>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row>
    <row r="185" spans="1:39" x14ac:dyDescent="0.25">
      <c r="A185" s="14"/>
      <c r="B185" s="14"/>
      <c r="C185" s="14"/>
      <c r="D185" s="14"/>
      <c r="E185" s="14"/>
      <c r="F185" s="14"/>
      <c r="G185" s="15"/>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row>
    <row r="186" spans="1:39" x14ac:dyDescent="0.25">
      <c r="A186" s="14"/>
      <c r="B186" s="14"/>
      <c r="D186" s="14"/>
      <c r="E186" s="14"/>
      <c r="F186" s="14"/>
      <c r="G186" s="15"/>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row>
    <row r="187" spans="1:39" x14ac:dyDescent="0.25">
      <c r="A187" s="14"/>
      <c r="B187" s="14"/>
      <c r="C187" s="14"/>
      <c r="D187" s="14"/>
      <c r="E187" s="14"/>
      <c r="F187" s="14"/>
      <c r="G187" s="15"/>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row>
    <row r="188" spans="1:39" x14ac:dyDescent="0.25">
      <c r="A188" s="14"/>
      <c r="B188" s="14"/>
      <c r="C188" s="14"/>
      <c r="D188" s="14"/>
      <c r="E188" s="14"/>
      <c r="F188" s="14"/>
      <c r="G188" s="15"/>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row>
    <row r="189" spans="1:39" x14ac:dyDescent="0.25">
      <c r="A189" s="14"/>
      <c r="B189" s="14"/>
      <c r="C189" s="14"/>
      <c r="D189" s="14"/>
      <c r="E189" s="14"/>
      <c r="F189" s="14"/>
      <c r="G189" s="15"/>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row>
    <row r="190" spans="1:39" x14ac:dyDescent="0.25">
      <c r="A190" s="14"/>
      <c r="B190" s="14"/>
      <c r="C190" s="14"/>
      <c r="D190" s="14"/>
      <c r="E190" s="14"/>
      <c r="F190" s="14"/>
      <c r="G190" s="15"/>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row>
    <row r="191" spans="1:39" x14ac:dyDescent="0.25">
      <c r="A191" s="14"/>
      <c r="B191" s="14"/>
      <c r="C191" s="14"/>
      <c r="D191" s="14"/>
      <c r="E191" s="14"/>
      <c r="F191" s="14"/>
      <c r="G191" s="15"/>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row>
    <row r="192" spans="1:39" x14ac:dyDescent="0.25">
      <c r="A192" s="14"/>
      <c r="B192" s="14"/>
      <c r="C192" s="14"/>
      <c r="D192" s="14"/>
      <c r="E192" s="14"/>
      <c r="F192" s="14"/>
      <c r="G192" s="15"/>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row>
    <row r="193" spans="1:39" x14ac:dyDescent="0.25">
      <c r="A193" s="14"/>
      <c r="B193" s="14"/>
      <c r="C193" s="14"/>
      <c r="D193" s="14"/>
      <c r="E193" s="14"/>
      <c r="F193" s="14"/>
      <c r="G193" s="15"/>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row>
    <row r="194" spans="1:39" x14ac:dyDescent="0.25">
      <c r="A194" s="14"/>
      <c r="B194" s="14"/>
      <c r="C194" s="14"/>
      <c r="D194" s="14"/>
      <c r="E194" s="14"/>
      <c r="F194" s="14"/>
      <c r="G194" s="15"/>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row>
    <row r="195" spans="1:39" x14ac:dyDescent="0.25">
      <c r="A195" s="14"/>
      <c r="B195" s="14"/>
      <c r="C195" s="14"/>
      <c r="D195" s="14"/>
      <c r="E195" s="14"/>
      <c r="F195" s="14"/>
      <c r="G195" s="15"/>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x14ac:dyDescent="0.25">
      <c r="A196" s="14"/>
      <c r="B196" s="14"/>
      <c r="C196" s="14"/>
      <c r="D196" s="14"/>
      <c r="E196" s="14"/>
      <c r="F196" s="14"/>
      <c r="G196" s="15"/>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row>
    <row r="197" spans="1:39" x14ac:dyDescent="0.25">
      <c r="A197" s="14"/>
      <c r="B197" s="14"/>
      <c r="C197" s="14"/>
      <c r="D197" s="14"/>
      <c r="E197" s="14"/>
      <c r="F197" s="14"/>
      <c r="G197" s="15"/>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row>
    <row r="198" spans="1:39" x14ac:dyDescent="0.25">
      <c r="A198" s="14"/>
      <c r="B198" s="14"/>
      <c r="C198" s="14"/>
      <c r="D198" s="14"/>
      <c r="E198" s="14"/>
      <c r="F198" s="14"/>
      <c r="G198" s="15"/>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row>
    <row r="199" spans="1:39" x14ac:dyDescent="0.25">
      <c r="A199" s="14"/>
      <c r="B199" s="14"/>
      <c r="C199" s="14"/>
      <c r="D199" s="14"/>
      <c r="E199" s="14"/>
      <c r="F199" s="14"/>
      <c r="G199" s="15"/>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row>
    <row r="200" spans="1:39" x14ac:dyDescent="0.25">
      <c r="A200" s="14"/>
      <c r="B200" s="14"/>
      <c r="C200" s="14"/>
      <c r="D200" s="14"/>
      <c r="E200" s="14"/>
      <c r="F200" s="14"/>
      <c r="G200" s="15"/>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row>
    <row r="201" spans="1:39" x14ac:dyDescent="0.25">
      <c r="A201" s="14"/>
      <c r="B201" s="14"/>
      <c r="C201" s="14"/>
      <c r="D201" s="14"/>
      <c r="E201" s="14"/>
      <c r="F201" s="14"/>
      <c r="G201" s="15"/>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row>
    <row r="202" spans="1:39" x14ac:dyDescent="0.25">
      <c r="A202" s="14"/>
      <c r="B202" s="14"/>
      <c r="C202" s="14"/>
      <c r="D202" s="14"/>
      <c r="E202" s="14"/>
      <c r="F202" s="14"/>
      <c r="G202" s="15"/>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row>
    <row r="203" spans="1:39" x14ac:dyDescent="0.25">
      <c r="A203" s="14"/>
      <c r="B203" s="14"/>
      <c r="C203" s="14"/>
      <c r="D203" s="14"/>
      <c r="E203" s="14"/>
      <c r="F203" s="14"/>
      <c r="G203" s="15"/>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row>
    <row r="204" spans="1:39" x14ac:dyDescent="0.25">
      <c r="A204" s="14"/>
      <c r="B204" s="14"/>
      <c r="C204" s="14"/>
      <c r="D204" s="14"/>
      <c r="E204" s="14"/>
      <c r="F204" s="14"/>
      <c r="G204" s="15"/>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row>
    <row r="205" spans="1:39" x14ac:dyDescent="0.25">
      <c r="A205" s="14"/>
      <c r="B205" s="14"/>
      <c r="C205" s="14"/>
      <c r="D205" s="14"/>
      <c r="E205" s="14"/>
      <c r="F205" s="14"/>
      <c r="G205" s="15"/>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row>
    <row r="206" spans="1:39" x14ac:dyDescent="0.25">
      <c r="A206" s="14"/>
      <c r="B206" s="14"/>
      <c r="C206" s="14"/>
      <c r="D206" s="14"/>
      <c r="E206" s="14"/>
      <c r="F206" s="14"/>
      <c r="G206" s="15"/>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row>
    <row r="207" spans="1:39" x14ac:dyDescent="0.25">
      <c r="A207" s="14"/>
      <c r="B207" s="14"/>
      <c r="C207" s="14"/>
      <c r="D207" s="14"/>
      <c r="E207" s="14"/>
      <c r="F207" s="14"/>
      <c r="G207" s="15"/>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row>
    <row r="208" spans="1:39" x14ac:dyDescent="0.25">
      <c r="A208" s="14"/>
      <c r="B208" s="14"/>
      <c r="C208" s="14"/>
      <c r="D208" s="14"/>
      <c r="E208" s="14"/>
      <c r="F208" s="14"/>
      <c r="G208" s="15"/>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row>
    <row r="209" spans="1:39" x14ac:dyDescent="0.25">
      <c r="A209" s="14"/>
      <c r="B209" s="14"/>
      <c r="C209" s="14"/>
      <c r="D209" s="14"/>
      <c r="E209" s="14"/>
      <c r="F209" s="14"/>
      <c r="G209" s="15"/>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row>
    <row r="210" spans="1:39" x14ac:dyDescent="0.25">
      <c r="A210" s="14"/>
      <c r="B210" s="14"/>
      <c r="C210" s="14"/>
      <c r="D210" s="14"/>
      <c r="E210" s="14"/>
      <c r="F210" s="14"/>
      <c r="G210" s="15"/>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row>
    <row r="211" spans="1:39" x14ac:dyDescent="0.25">
      <c r="A211" s="14"/>
      <c r="B211" s="14"/>
      <c r="C211" s="14"/>
      <c r="D211" s="14"/>
      <c r="E211" s="14"/>
      <c r="F211" s="14"/>
      <c r="G211" s="15"/>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row>
    <row r="212" spans="1:39" x14ac:dyDescent="0.25">
      <c r="A212" s="14"/>
      <c r="B212" s="14"/>
      <c r="C212" s="14"/>
      <c r="D212" s="14"/>
      <c r="E212" s="14"/>
      <c r="F212" s="14"/>
      <c r="G212" s="15"/>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row>
    <row r="213" spans="1:39" x14ac:dyDescent="0.25">
      <c r="A213" s="14"/>
      <c r="B213" s="14"/>
      <c r="C213" s="14"/>
      <c r="D213" s="14"/>
      <c r="E213" s="14"/>
      <c r="F213" s="14"/>
      <c r="G213" s="15"/>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row>
    <row r="214" spans="1:39" x14ac:dyDescent="0.25">
      <c r="A214" s="14"/>
      <c r="B214" s="14"/>
      <c r="C214" s="14"/>
      <c r="D214" s="14"/>
      <c r="E214" s="14"/>
      <c r="F214" s="14"/>
      <c r="G214" s="15"/>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row>
    <row r="215" spans="1:39" x14ac:dyDescent="0.25">
      <c r="A215" s="14"/>
      <c r="B215" s="14"/>
      <c r="C215" s="14"/>
      <c r="D215" s="14"/>
      <c r="E215" s="14"/>
      <c r="F215" s="14"/>
      <c r="G215" s="15"/>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row>
    <row r="216" spans="1:39" x14ac:dyDescent="0.25">
      <c r="A216" s="14"/>
      <c r="B216" s="14"/>
      <c r="C216" s="14"/>
      <c r="D216" s="14"/>
      <c r="E216" s="14"/>
      <c r="F216" s="14"/>
      <c r="G216" s="15"/>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row>
    <row r="217" spans="1:39" x14ac:dyDescent="0.25">
      <c r="A217" s="14"/>
      <c r="B217" s="14"/>
      <c r="C217" s="14"/>
      <c r="D217" s="14"/>
      <c r="E217" s="14"/>
      <c r="F217" s="14"/>
      <c r="G217" s="15"/>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row>
    <row r="218" spans="1:39" x14ac:dyDescent="0.25">
      <c r="A218" s="14"/>
      <c r="B218" s="14"/>
      <c r="C218" s="14"/>
      <c r="D218" s="14"/>
      <c r="E218" s="14"/>
      <c r="F218" s="14"/>
      <c r="G218" s="15"/>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row>
    <row r="219" spans="1:39" x14ac:dyDescent="0.25">
      <c r="A219" s="14"/>
      <c r="B219" s="14"/>
      <c r="C219" s="14"/>
      <c r="D219" s="14"/>
      <c r="E219" s="14"/>
      <c r="F219" s="14"/>
      <c r="G219" s="15"/>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row>
    <row r="220" spans="1:39" x14ac:dyDescent="0.25">
      <c r="A220" s="14"/>
      <c r="B220" s="14"/>
      <c r="C220" s="14"/>
      <c r="D220" s="14"/>
      <c r="E220" s="14"/>
      <c r="F220" s="14"/>
      <c r="G220" s="15"/>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row>
    <row r="221" spans="1:39" x14ac:dyDescent="0.25">
      <c r="A221" s="14"/>
      <c r="B221" s="14"/>
      <c r="C221" s="14"/>
      <c r="D221" s="14"/>
      <c r="E221" s="14"/>
      <c r="F221" s="14"/>
      <c r="G221" s="15"/>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row>
    <row r="222" spans="1:39" x14ac:dyDescent="0.25">
      <c r="A222" s="14"/>
      <c r="B222" s="14"/>
      <c r="C222" s="14"/>
      <c r="D222" s="14"/>
      <c r="E222" s="14"/>
      <c r="F222" s="14"/>
      <c r="G222" s="15"/>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row>
    <row r="223" spans="1:39" x14ac:dyDescent="0.25">
      <c r="A223" s="14"/>
      <c r="B223" s="14"/>
      <c r="C223" s="14"/>
      <c r="D223" s="14"/>
      <c r="E223" s="14"/>
      <c r="F223" s="14"/>
      <c r="G223" s="15"/>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row>
    <row r="224" spans="1:39" x14ac:dyDescent="0.25">
      <c r="A224" s="14"/>
      <c r="B224" s="14"/>
      <c r="C224" s="14"/>
      <c r="D224" s="14"/>
      <c r="E224" s="14"/>
      <c r="F224" s="14"/>
      <c r="G224" s="15"/>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row>
    <row r="225" spans="1:39" x14ac:dyDescent="0.25">
      <c r="A225" s="14"/>
      <c r="B225" s="14"/>
      <c r="C225" s="14"/>
      <c r="D225" s="14"/>
      <c r="E225" s="14"/>
      <c r="F225" s="14"/>
      <c r="G225" s="15"/>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row>
  </sheetData>
  <sheetProtection selectLockedCells="1"/>
  <mergeCells count="14">
    <mergeCell ref="I68:M69"/>
    <mergeCell ref="L2:M2"/>
    <mergeCell ref="A1:M1"/>
    <mergeCell ref="B16:B19"/>
    <mergeCell ref="D14:G15"/>
    <mergeCell ref="D22:F22"/>
    <mergeCell ref="B33:B34"/>
    <mergeCell ref="B46:B48"/>
    <mergeCell ref="D24:F25"/>
    <mergeCell ref="D16:I16"/>
    <mergeCell ref="D17:I17"/>
    <mergeCell ref="D18:I18"/>
    <mergeCell ref="D19:I19"/>
    <mergeCell ref="D23:F23"/>
  </mergeCells>
  <phoneticPr fontId="4" type="noConversion"/>
  <conditionalFormatting sqref="D113:F113 D115:F116">
    <cfRule type="cellIs" dxfId="16" priority="68" stopIfTrue="1" operator="notBetween">
      <formula>2.5</formula>
      <formula>18</formula>
    </cfRule>
  </conditionalFormatting>
  <conditionalFormatting sqref="D114:F114">
    <cfRule type="cellIs" dxfId="15" priority="69" stopIfTrue="1" operator="notBetween">
      <formula>2.5</formula>
      <formula>18</formula>
    </cfRule>
  </conditionalFormatting>
  <conditionalFormatting sqref="G55:G61 G68">
    <cfRule type="expression" dxfId="14" priority="36">
      <formula>$F$52&lt;&gt;"Custom"</formula>
    </cfRule>
  </conditionalFormatting>
  <conditionalFormatting sqref="G43:G45">
    <cfRule type="expression" dxfId="13" priority="32">
      <formula>$AN$45</formula>
    </cfRule>
  </conditionalFormatting>
  <conditionalFormatting sqref="F63">
    <cfRule type="colorScale" priority="30">
      <colorScale>
        <cfvo type="min"/>
        <cfvo type="formula" val="$AN$56*0.8"/>
        <cfvo type="num" val="$AN$56"/>
        <color theme="0"/>
        <color rgb="FFFFC000"/>
        <color rgb="FFFF0000"/>
      </colorScale>
    </cfRule>
  </conditionalFormatting>
  <conditionalFormatting sqref="F43:F44">
    <cfRule type="cellIs" dxfId="12" priority="27" operator="equal">
      <formula>"NA"</formula>
    </cfRule>
    <cfRule type="cellIs" dxfId="11" priority="33" operator="equal">
      <formula>"""NA"""</formula>
    </cfRule>
  </conditionalFormatting>
  <conditionalFormatting sqref="F74">
    <cfRule type="cellIs" dxfId="10" priority="72" operator="lessThan">
      <formula>0.25</formula>
    </cfRule>
  </conditionalFormatting>
  <conditionalFormatting sqref="F79">
    <cfRule type="cellIs" dxfId="9" priority="23" operator="lessThan">
      <formula>$F$78</formula>
    </cfRule>
  </conditionalFormatting>
  <conditionalFormatting sqref="F81">
    <cfRule type="cellIs" dxfId="8" priority="20" operator="lessThan">
      <formula>1.1</formula>
    </cfRule>
    <cfRule type="cellIs" dxfId="7" priority="21" operator="between">
      <formula>1.1</formula>
      <formula>1.3</formula>
    </cfRule>
  </conditionalFormatting>
  <conditionalFormatting sqref="G84 G86:G97">
    <cfRule type="expression" dxfId="6" priority="18">
      <formula>#REF!="Yes"</formula>
    </cfRule>
  </conditionalFormatting>
  <conditionalFormatting sqref="E73:G81">
    <cfRule type="expression" dxfId="5" priority="16" stopIfTrue="1">
      <formula>#REF!="Yes"</formula>
    </cfRule>
  </conditionalFormatting>
  <conditionalFormatting sqref="F69">
    <cfRule type="cellIs" dxfId="4" priority="9" operator="lessThan">
      <formula>$F$64</formula>
    </cfRule>
  </conditionalFormatting>
  <conditionalFormatting sqref="F38">
    <cfRule type="cellIs" dxfId="3" priority="3" operator="lessThan">
      <formula>$F$30*1.1</formula>
    </cfRule>
  </conditionalFormatting>
  <conditionalFormatting sqref="B70:AM141 B68:I68 B69:H69 N68:AM69 B27:AM67">
    <cfRule type="expression" dxfId="2" priority="1">
      <formula>$G$23="No"</formula>
    </cfRule>
    <cfRule type="expression" dxfId="1" priority="2">
      <formula>$G$22="No"</formula>
    </cfRule>
  </conditionalFormatting>
  <dataValidations xWindow="708" yWindow="485" count="8">
    <dataValidation type="decimal" allowBlank="1" showInputMessage="1" showErrorMessage="1" errorTitle="Minimum System Voltage Violation" error="Input voltage should be between 2.9V and 17V." sqref="F28" xr:uid="{00000000-0002-0000-0100-000000000000}">
      <formula1>F27</formula1>
      <formula2>F29</formula2>
    </dataValidation>
    <dataValidation type="decimal" operator="greaterThanOrEqual" allowBlank="1" showInputMessage="1" showErrorMessage="1" errorTitle="Load Capacitance Violation" error="A minimum load capacitance of 10 uF is required to help prevent disruptions at turn off." sqref="F31" xr:uid="{00000000-0002-0000-0100-000001000000}">
      <formula1>10</formula1>
    </dataValidation>
    <dataValidation type="decimal" operator="greaterThan" allowBlank="1" showInputMessage="1" showErrorMessage="1" errorTitle="Maximum Load Current Violation" error="Maximum Load Current must be greater than 0." sqref="F30" xr:uid="{00000000-0002-0000-0100-000002000000}">
      <formula1>0</formula1>
    </dataValidation>
    <dataValidation type="list" allowBlank="1" showInputMessage="1" showErrorMessage="1" sqref="F51" xr:uid="{00000000-0002-0000-0100-000003000000}">
      <formula1>$AN$48:$AN$50</formula1>
    </dataValidation>
    <dataValidation type="whole" allowBlank="1" showInputMessage="1" showErrorMessage="1" sqref="F54" xr:uid="{00000000-0002-0000-0100-000004000000}">
      <formula1>1</formula1>
      <formula2>6</formula2>
    </dataValidation>
    <dataValidation errorStyle="information" operator="equal" allowBlank="1" showInputMessage="1" showErrorMessage="1" errorTitle="Resistor Divider" error="When using resistor divider Rs should be set larger than Rs,eff. _x000a__x000a_Otherwise switch to &quot;No resistor divider&quot;" sqref="F43" xr:uid="{00000000-0002-0000-0100-000005000000}"/>
    <dataValidation type="list" allowBlank="1" showInputMessage="1" showErrorMessage="1" sqref="F71" xr:uid="{00000000-0002-0000-0100-000006000000}">
      <formula1>$AN$70:$AN$71</formula1>
    </dataValidation>
    <dataValidation type="list" allowBlank="1" showInputMessage="1" showErrorMessage="1" sqref="G22:G23" xr:uid="{00000000-0002-0000-0100-000007000000}">
      <formula1>yesno</formula1>
    </dataValidation>
  </dataValidations>
  <hyperlinks>
    <hyperlink ref="B2" r:id="rId1" xr:uid="{00000000-0004-0000-0100-000000000000}"/>
    <hyperlink ref="D24:F25" r:id="rId2" display="*For additional questions not addressed in the videos, please post on E2E.ti.com" xr:uid="{00000000-0004-0000-0100-000001000000}"/>
    <hyperlink ref="D20" r:id="rId3" xr:uid="{00000000-0004-0000-0100-000002000000}"/>
    <hyperlink ref="B33:B34" r:id="rId4" display="Steps 1 &amp; 2: Operating Conditions, Current Limit, &amp; Circuit Breaker" xr:uid="{00000000-0004-0000-0100-000003000000}"/>
    <hyperlink ref="B46:B48" r:id="rId5" display="Steps 1 &amp; 2: Operating Conditions, Current Limit, &amp; Circuit Breaker" xr:uid="{00000000-0004-0000-0100-000004000000}"/>
    <hyperlink ref="B60" r:id="rId6" xr:uid="{00000000-0004-0000-0100-000005000000}"/>
    <hyperlink ref="B78" r:id="rId7" xr:uid="{00000000-0004-0000-0100-000006000000}"/>
    <hyperlink ref="B110" r:id="rId8" xr:uid="{00000000-0004-0000-0100-000007000000}"/>
    <hyperlink ref="D19" r:id="rId9" display="Step 5: UVLO, OVLO &amp; PGD Thresholds" xr:uid="{00000000-0004-0000-0100-000008000000}"/>
    <hyperlink ref="D18" r:id="rId10" display="Step 4: Startup" xr:uid="{00000000-0004-0000-0100-000009000000}"/>
    <hyperlink ref="D17" r:id="rId11" display="Step 3: MOSFET Selection" xr:uid="{00000000-0004-0000-0100-00000A000000}"/>
    <hyperlink ref="D16:F16" r:id="rId12" display="Steps 1 &amp; 2: Operating Conditions, Current Limit, &amp; Circuit Breaker" xr:uid="{00000000-0004-0000-0100-00000B000000}"/>
    <hyperlink ref="D16:I16" r:id="rId13" display="Steps 1 &amp; 2: Operating Conditions, Current Limit, &amp; Circuit Breaker (7:41)" xr:uid="{00000000-0004-0000-0100-00000C000000}"/>
    <hyperlink ref="D17:I17" r:id="rId14" display="Step 3: MOSFET Selection (9:58)" xr:uid="{00000000-0004-0000-0100-00000D000000}"/>
    <hyperlink ref="D18:I18" r:id="rId15" display="Step 4: Startup (10:32)" xr:uid="{00000000-0004-0000-0100-00000E000000}"/>
    <hyperlink ref="D19:I19" r:id="rId16" display="Step 5: UVLO, OVLO &amp; PGD Thresholds (4:20)" xr:uid="{00000000-0004-0000-0100-00000F000000}"/>
  </hyperlinks>
  <pageMargins left="0.17" right="0.17" top="0.55000000000000004" bottom="0.92" header="0.48" footer="0.2"/>
  <pageSetup scale="62" fitToHeight="2" orientation="portrait" r:id="rId17"/>
  <headerFooter alignWithMargins="0"/>
  <drawing r:id="rId18"/>
  <legacyDrawing r:id="rId19"/>
  <extLst>
    <ext xmlns:x14="http://schemas.microsoft.com/office/spreadsheetml/2009/9/main" uri="{78C0D931-6437-407d-A8EE-F0AAD7539E65}">
      <x14:conditionalFormattings>
        <x14:conditionalFormatting xmlns:xm="http://schemas.microsoft.com/office/excel/2006/main">
          <x14:cfRule type="cellIs" priority="74" stopIfTrue="1" operator="greaterThan" id="{E4A17A15-ABA9-492F-B873-F2BC2463FAF9}">
            <xm:f>Equations!$E$15</xm:f>
            <x14:dxf>
              <fill>
                <patternFill>
                  <bgColor indexed="10"/>
                </patternFill>
              </fill>
            </x14:dxf>
          </x14:cfRule>
          <xm:sqref>F41</xm:sqref>
        </x14:conditionalFormatting>
      </x14:conditionalFormattings>
    </ext>
    <ext xmlns:x14="http://schemas.microsoft.com/office/spreadsheetml/2009/9/main" uri="{CCE6A557-97BC-4b89-ADB6-D9C93CAAB3DF}">
      <x14:dataValidations xmlns:xm="http://schemas.microsoft.com/office/excel/2006/main" xWindow="708" yWindow="485" count="5">
        <x14:dataValidation type="decimal" allowBlank="1" showInputMessage="1" showErrorMessage="1" xr:uid="{00000000-0002-0000-0100-000008000000}">
          <x14:formula1>
            <xm:f>0</xm:f>
          </x14:formula1>
          <x14:formula2>
            <xm:f>Equations!#REF!</xm:f>
          </x14:formula2>
          <xm:sqref>F70</xm:sqref>
        </x14:dataValidation>
        <x14:dataValidation type="decimal" operator="lessThanOrEqual" allowBlank="1" showInputMessage="1" showErrorMessage="1" errorTitle="Maximum System Voltage Violation" error="The maximum system voltage must be no greater than 18V." xr:uid="{00000000-0002-0000-0100-000009000000}">
          <x14:formula1>
            <xm:f>'Device Parmaters'!E4</xm:f>
          </x14:formula1>
          <xm:sqref>F29</xm:sqref>
        </x14:dataValidation>
        <x14:dataValidation type="decimal" allowBlank="1" showInputMessage="1" showErrorMessage="1" errorTitle="Ambient Temperature Violation" error="The Ambient Temperature must be between -40C and 125C" xr:uid="{00000000-0002-0000-0100-00000A000000}">
          <x14:formula1>
            <xm:f>'Device Parmaters'!C3</xm:f>
          </x14:formula1>
          <x14:formula2>
            <xm:f>'Device Parmaters'!E3</xm:f>
          </x14:formula2>
          <xm:sqref>F32:F36</xm:sqref>
        </x14:dataValidation>
        <x14:dataValidation type="decimal" allowBlank="1" showInputMessage="1" showErrorMessage="1" errorTitle="Ambient Temperature Violation" error="The Ambient Temperature must be between -40C and 125C" xr:uid="{00000000-0002-0000-0100-00000B000000}">
          <x14:formula1>
            <xm:f>'Device Parmaters'!C7</xm:f>
          </x14:formula1>
          <x14:formula2>
            <xm:f>'Device Parmaters'!E7</xm:f>
          </x14:formula2>
          <xm:sqref>F37</xm:sqref>
        </x14:dataValidation>
        <x14:dataValidation type="decimal" operator="greaterThanOrEqual" allowBlank="1" showInputMessage="1" showErrorMessage="1" errorTitle="Minimum System Voltage Violation" error="The minimum system voltage must be at least 2.5V." xr:uid="{00000000-0002-0000-0100-00000C000000}">
          <x14:formula1>
            <xm:f>'Device Parmaters'!C4</xm:f>
          </x14:formula1>
          <xm:sqref>F27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Q394"/>
  <sheetViews>
    <sheetView workbookViewId="0">
      <selection activeCell="F17" sqref="F17"/>
    </sheetView>
  </sheetViews>
  <sheetFormatPr defaultRowHeight="12.5" x14ac:dyDescent="0.25"/>
  <cols>
    <col min="1" max="1" width="9.453125" customWidth="1"/>
    <col min="2" max="2" width="44.1796875" customWidth="1"/>
    <col min="12" max="12" width="13.54296875" customWidth="1"/>
  </cols>
  <sheetData>
    <row r="1" spans="1:10" x14ac:dyDescent="0.25">
      <c r="A1" s="26"/>
      <c r="C1" s="26" t="s">
        <v>49</v>
      </c>
      <c r="D1" s="26" t="s">
        <v>50</v>
      </c>
      <c r="E1" s="26" t="s">
        <v>51</v>
      </c>
      <c r="F1" s="26" t="s">
        <v>124</v>
      </c>
    </row>
    <row r="2" spans="1:10" ht="13" x14ac:dyDescent="0.3">
      <c r="A2" s="22" t="s">
        <v>122</v>
      </c>
      <c r="C2" s="26"/>
      <c r="D2" s="26"/>
      <c r="E2" s="26"/>
    </row>
    <row r="3" spans="1:10" ht="13" x14ac:dyDescent="0.3">
      <c r="A3" s="22"/>
      <c r="B3" s="26" t="s">
        <v>129</v>
      </c>
      <c r="C3" s="69">
        <v>-40</v>
      </c>
      <c r="D3" s="69"/>
      <c r="E3" s="69">
        <v>125</v>
      </c>
      <c r="F3" s="26" t="s">
        <v>274</v>
      </c>
    </row>
    <row r="4" spans="1:10" x14ac:dyDescent="0.25">
      <c r="B4" s="27" t="s">
        <v>123</v>
      </c>
      <c r="C4" s="1">
        <v>2.5</v>
      </c>
      <c r="D4" s="1"/>
      <c r="E4" s="1">
        <v>18</v>
      </c>
      <c r="F4" s="26" t="s">
        <v>64</v>
      </c>
      <c r="J4" s="2"/>
    </row>
    <row r="5" spans="1:10" ht="16.5" customHeight="1" x14ac:dyDescent="0.3">
      <c r="A5" s="22" t="s">
        <v>97</v>
      </c>
      <c r="B5" s="27"/>
      <c r="C5" s="1"/>
      <c r="D5" s="1"/>
      <c r="E5" s="1"/>
      <c r="J5" s="2"/>
    </row>
    <row r="6" spans="1:10" x14ac:dyDescent="0.25">
      <c r="B6" s="27" t="s">
        <v>275</v>
      </c>
      <c r="C6" s="1">
        <v>22.5</v>
      </c>
      <c r="D6" s="1">
        <v>25</v>
      </c>
      <c r="E6" s="1">
        <v>27.5</v>
      </c>
      <c r="F6" s="26" t="s">
        <v>132</v>
      </c>
      <c r="J6" s="2"/>
    </row>
    <row r="7" spans="1:10" x14ac:dyDescent="0.25">
      <c r="B7" s="27"/>
      <c r="C7" s="1"/>
      <c r="D7" s="1"/>
      <c r="E7" s="1"/>
      <c r="J7" s="27"/>
    </row>
    <row r="8" spans="1:10" x14ac:dyDescent="0.25">
      <c r="B8" s="27" t="s">
        <v>278</v>
      </c>
      <c r="C8" s="1"/>
      <c r="D8" s="1">
        <v>30</v>
      </c>
      <c r="E8" s="1">
        <v>40</v>
      </c>
      <c r="F8" s="26" t="s">
        <v>125</v>
      </c>
      <c r="J8" s="27"/>
    </row>
    <row r="9" spans="1:10" x14ac:dyDescent="0.25">
      <c r="C9" s="1"/>
      <c r="D9" s="1"/>
      <c r="E9" s="1"/>
    </row>
    <row r="10" spans="1:10" ht="13" x14ac:dyDescent="0.3">
      <c r="A10" s="22" t="s">
        <v>131</v>
      </c>
      <c r="C10" s="1"/>
      <c r="D10" s="1"/>
      <c r="E10" s="1"/>
    </row>
    <row r="11" spans="1:10" x14ac:dyDescent="0.25">
      <c r="B11" s="27" t="s">
        <v>276</v>
      </c>
      <c r="C11" s="1">
        <v>10</v>
      </c>
      <c r="D11" s="1">
        <v>12.5</v>
      </c>
      <c r="E11" s="1">
        <v>15</v>
      </c>
      <c r="F11" s="26" t="s">
        <v>132</v>
      </c>
    </row>
    <row r="12" spans="1:10" x14ac:dyDescent="0.25">
      <c r="B12" s="27" t="s">
        <v>277</v>
      </c>
      <c r="C12" s="147">
        <v>10</v>
      </c>
      <c r="D12" s="147">
        <v>12.5</v>
      </c>
      <c r="E12" s="147">
        <v>15</v>
      </c>
      <c r="F12" s="26" t="s">
        <v>132</v>
      </c>
      <c r="G12" s="26"/>
    </row>
    <row r="13" spans="1:10" x14ac:dyDescent="0.25">
      <c r="B13" s="27" t="s">
        <v>279</v>
      </c>
      <c r="C13" s="147">
        <v>52</v>
      </c>
      <c r="D13" s="147">
        <v>60</v>
      </c>
      <c r="E13" s="199">
        <v>68</v>
      </c>
      <c r="F13" s="26" t="s">
        <v>132</v>
      </c>
    </row>
    <row r="14" spans="1:10" x14ac:dyDescent="0.25">
      <c r="B14" s="27" t="s">
        <v>280</v>
      </c>
      <c r="C14" s="147">
        <v>8</v>
      </c>
      <c r="D14" s="147">
        <v>13.5</v>
      </c>
      <c r="E14" s="199">
        <v>18</v>
      </c>
      <c r="F14" s="26" t="s">
        <v>281</v>
      </c>
    </row>
    <row r="15" spans="1:10" x14ac:dyDescent="0.25">
      <c r="B15" s="27" t="s">
        <v>314</v>
      </c>
      <c r="C15" s="201">
        <v>10</v>
      </c>
      <c r="E15" s="199">
        <v>45</v>
      </c>
      <c r="F15" s="26" t="s">
        <v>132</v>
      </c>
      <c r="G15" s="26" t="s">
        <v>387</v>
      </c>
    </row>
    <row r="16" spans="1:10" x14ac:dyDescent="0.25">
      <c r="B16" s="27" t="s">
        <v>389</v>
      </c>
      <c r="D16" s="245">
        <v>15</v>
      </c>
      <c r="G16" s="26" t="s">
        <v>390</v>
      </c>
    </row>
    <row r="18" spans="1:14" x14ac:dyDescent="0.25">
      <c r="B18" s="27" t="s">
        <v>313</v>
      </c>
      <c r="D18" s="201">
        <v>3</v>
      </c>
      <c r="E18" s="147"/>
      <c r="F18" s="26" t="s">
        <v>132</v>
      </c>
      <c r="I18" s="26" t="s">
        <v>223</v>
      </c>
      <c r="M18" s="152"/>
      <c r="N18" s="151"/>
    </row>
    <row r="19" spans="1:14" x14ac:dyDescent="0.25">
      <c r="B19" s="2"/>
      <c r="C19" s="1"/>
      <c r="D19" s="1"/>
      <c r="E19" s="1"/>
    </row>
    <row r="20" spans="1:14" ht="13" x14ac:dyDescent="0.3">
      <c r="A20" s="22" t="s">
        <v>126</v>
      </c>
      <c r="C20" s="1"/>
      <c r="D20" s="1"/>
      <c r="E20" s="1"/>
    </row>
    <row r="21" spans="1:14" x14ac:dyDescent="0.25">
      <c r="B21" s="27" t="s">
        <v>127</v>
      </c>
      <c r="C21" s="1">
        <v>1.3</v>
      </c>
      <c r="D21" s="1">
        <v>1.35</v>
      </c>
      <c r="E21" s="1">
        <v>1.4</v>
      </c>
      <c r="F21" s="26" t="s">
        <v>64</v>
      </c>
    </row>
    <row r="22" spans="1:14" x14ac:dyDescent="0.25">
      <c r="B22" s="27" t="s">
        <v>282</v>
      </c>
      <c r="C22" s="1">
        <v>0.33</v>
      </c>
      <c r="D22" s="1">
        <v>0.35</v>
      </c>
      <c r="E22" s="1">
        <v>0.37</v>
      </c>
      <c r="F22" s="26" t="s">
        <v>64</v>
      </c>
    </row>
    <row r="23" spans="1:14" x14ac:dyDescent="0.25">
      <c r="B23" s="27" t="s">
        <v>283</v>
      </c>
      <c r="C23" s="187">
        <v>8</v>
      </c>
      <c r="D23" s="187">
        <v>10</v>
      </c>
      <c r="E23" s="187">
        <v>12</v>
      </c>
      <c r="F23" s="26" t="s">
        <v>125</v>
      </c>
    </row>
    <row r="24" spans="1:14" x14ac:dyDescent="0.25">
      <c r="B24" s="27" t="s">
        <v>284</v>
      </c>
      <c r="C24" s="1">
        <v>8</v>
      </c>
      <c r="D24" s="1">
        <v>10</v>
      </c>
      <c r="E24" s="1">
        <v>12</v>
      </c>
      <c r="F24" s="26" t="s">
        <v>125</v>
      </c>
    </row>
    <row r="25" spans="1:14" x14ac:dyDescent="0.25">
      <c r="B25" s="27" t="s">
        <v>285</v>
      </c>
      <c r="C25" s="149">
        <v>2</v>
      </c>
      <c r="D25" s="149">
        <v>4.5</v>
      </c>
      <c r="E25" s="149">
        <v>7</v>
      </c>
      <c r="F25" s="26" t="s">
        <v>286</v>
      </c>
      <c r="G25" s="26"/>
    </row>
    <row r="26" spans="1:14" x14ac:dyDescent="0.25">
      <c r="B26" s="27" t="s">
        <v>287</v>
      </c>
      <c r="C26" s="149">
        <v>5</v>
      </c>
      <c r="D26" s="149">
        <v>5.9</v>
      </c>
      <c r="E26" s="149">
        <v>7</v>
      </c>
      <c r="F26" s="26" t="s">
        <v>64</v>
      </c>
      <c r="G26" s="26"/>
    </row>
    <row r="27" spans="1:14" x14ac:dyDescent="0.25">
      <c r="B27" s="27" t="s">
        <v>288</v>
      </c>
      <c r="C27" s="1">
        <v>70</v>
      </c>
      <c r="D27" s="1">
        <v>104</v>
      </c>
      <c r="E27" s="1">
        <v>130</v>
      </c>
      <c r="F27" s="26" t="s">
        <v>289</v>
      </c>
    </row>
    <row r="29" spans="1:14" ht="13" x14ac:dyDescent="0.3">
      <c r="A29" s="22" t="s">
        <v>165</v>
      </c>
      <c r="B29" s="2"/>
      <c r="C29" s="1"/>
      <c r="D29" s="1"/>
      <c r="E29" s="1"/>
    </row>
    <row r="30" spans="1:14" x14ac:dyDescent="0.25">
      <c r="B30" s="27" t="s">
        <v>290</v>
      </c>
      <c r="C30" s="1">
        <v>20</v>
      </c>
      <c r="D30" s="1">
        <v>30</v>
      </c>
      <c r="E30" s="1">
        <v>40</v>
      </c>
      <c r="F30" s="26" t="s">
        <v>125</v>
      </c>
    </row>
    <row r="31" spans="1:14" x14ac:dyDescent="0.25">
      <c r="B31" s="2"/>
      <c r="C31" s="1"/>
      <c r="D31" s="1"/>
      <c r="E31" s="1"/>
    </row>
    <row r="32" spans="1:14" ht="13" x14ac:dyDescent="0.3">
      <c r="A32" s="22" t="s">
        <v>291</v>
      </c>
      <c r="B32" s="2"/>
      <c r="C32" s="1"/>
      <c r="D32" s="1"/>
      <c r="E32" s="1"/>
    </row>
    <row r="33" spans="1:6" x14ac:dyDescent="0.25">
      <c r="B33" s="27" t="s">
        <v>292</v>
      </c>
      <c r="C33" s="1">
        <v>1.25</v>
      </c>
      <c r="D33" s="1">
        <v>1.35</v>
      </c>
      <c r="E33" s="1">
        <v>1.45</v>
      </c>
      <c r="F33" s="26" t="s">
        <v>64</v>
      </c>
    </row>
    <row r="34" spans="1:6" x14ac:dyDescent="0.25">
      <c r="B34" s="27" t="s">
        <v>293</v>
      </c>
      <c r="C34" s="200"/>
      <c r="D34" s="200">
        <v>60</v>
      </c>
      <c r="E34" s="200"/>
      <c r="F34" s="26" t="s">
        <v>132</v>
      </c>
    </row>
    <row r="35" spans="1:6" x14ac:dyDescent="0.25">
      <c r="B35" s="27"/>
      <c r="C35" s="200"/>
      <c r="D35" s="200"/>
      <c r="E35" s="200"/>
    </row>
    <row r="36" spans="1:6" ht="13" x14ac:dyDescent="0.3">
      <c r="A36" s="22" t="s">
        <v>294</v>
      </c>
      <c r="B36" s="27"/>
      <c r="C36" s="200"/>
      <c r="D36" s="200"/>
      <c r="E36" s="200"/>
    </row>
    <row r="37" spans="1:6" ht="13" x14ac:dyDescent="0.3">
      <c r="A37" s="22"/>
      <c r="B37" s="27" t="s">
        <v>295</v>
      </c>
      <c r="C37" s="200">
        <v>2.2000000000000002</v>
      </c>
      <c r="D37" s="200">
        <v>2.3199999999999998</v>
      </c>
      <c r="E37" s="203">
        <v>2.4500000000000002</v>
      </c>
      <c r="F37" s="26" t="s">
        <v>64</v>
      </c>
    </row>
    <row r="38" spans="1:6" x14ac:dyDescent="0.25">
      <c r="B38" s="27" t="s">
        <v>296</v>
      </c>
      <c r="C38" s="200">
        <v>2.1</v>
      </c>
      <c r="D38" s="200">
        <v>2.2200000000000002</v>
      </c>
      <c r="E38" s="200">
        <v>2.35</v>
      </c>
      <c r="F38" s="26" t="s">
        <v>64</v>
      </c>
    </row>
    <row r="39" spans="1:6" x14ac:dyDescent="0.25">
      <c r="B39" s="27" t="s">
        <v>293</v>
      </c>
      <c r="C39" s="200"/>
      <c r="D39" s="200">
        <v>0.1</v>
      </c>
      <c r="E39" s="200"/>
      <c r="F39" s="26" t="s">
        <v>64</v>
      </c>
    </row>
    <row r="40" spans="1:6" x14ac:dyDescent="0.25">
      <c r="B40" s="27"/>
      <c r="C40" s="200"/>
      <c r="D40" s="200"/>
      <c r="E40" s="200"/>
    </row>
    <row r="41" spans="1:6" ht="13" x14ac:dyDescent="0.3">
      <c r="A41" s="22" t="s">
        <v>297</v>
      </c>
      <c r="B41" s="27"/>
      <c r="C41" s="200"/>
      <c r="D41" s="200"/>
      <c r="E41" s="200"/>
    </row>
    <row r="42" spans="1:6" x14ac:dyDescent="0.25">
      <c r="B42" s="27" t="s">
        <v>298</v>
      </c>
      <c r="C42" s="200">
        <v>1.2</v>
      </c>
      <c r="D42" s="200">
        <v>1.3</v>
      </c>
      <c r="E42" s="200">
        <v>1.4</v>
      </c>
      <c r="F42" s="26" t="s">
        <v>64</v>
      </c>
    </row>
    <row r="43" spans="1:6" ht="13" x14ac:dyDescent="0.3">
      <c r="A43" s="22"/>
      <c r="B43" s="27" t="s">
        <v>293</v>
      </c>
      <c r="C43" s="200"/>
      <c r="D43" s="200">
        <v>50</v>
      </c>
      <c r="E43" s="200"/>
      <c r="F43" s="26" t="s">
        <v>132</v>
      </c>
    </row>
    <row r="44" spans="1:6" ht="13" x14ac:dyDescent="0.3">
      <c r="A44" s="22"/>
      <c r="B44" s="27"/>
      <c r="C44" s="200"/>
      <c r="D44" s="200"/>
      <c r="E44" s="200"/>
    </row>
    <row r="45" spans="1:6" ht="13" x14ac:dyDescent="0.3">
      <c r="A45" s="22" t="s">
        <v>301</v>
      </c>
      <c r="B45" s="2"/>
      <c r="C45" s="200"/>
      <c r="D45" s="200"/>
      <c r="E45" s="200"/>
    </row>
    <row r="46" spans="1:6" ht="13" x14ac:dyDescent="0.3">
      <c r="A46" s="22"/>
      <c r="B46" s="27" t="s">
        <v>302</v>
      </c>
      <c r="C46" s="200">
        <v>0.3</v>
      </c>
      <c r="D46" s="200">
        <v>0.7</v>
      </c>
      <c r="E46" s="200">
        <v>1.4</v>
      </c>
      <c r="F46" s="26" t="s">
        <v>64</v>
      </c>
    </row>
    <row r="47" spans="1:6" ht="13" x14ac:dyDescent="0.3">
      <c r="A47" s="22"/>
      <c r="B47" s="27"/>
      <c r="C47" s="200"/>
      <c r="D47" s="200"/>
      <c r="E47" s="200"/>
    </row>
    <row r="48" spans="1:6" ht="13" x14ac:dyDescent="0.3">
      <c r="A48" s="22" t="s">
        <v>303</v>
      </c>
      <c r="B48" s="2"/>
      <c r="C48" s="200"/>
      <c r="D48" s="200"/>
      <c r="E48" s="200"/>
    </row>
    <row r="49" spans="1:17" ht="13" x14ac:dyDescent="0.3">
      <c r="A49" s="22"/>
      <c r="B49" s="27" t="s">
        <v>304</v>
      </c>
      <c r="C49" s="200"/>
      <c r="D49" s="200">
        <v>0.11</v>
      </c>
      <c r="E49" s="200">
        <v>0.25</v>
      </c>
      <c r="F49" s="26" t="s">
        <v>64</v>
      </c>
      <c r="G49">
        <v>2</v>
      </c>
      <c r="H49" s="26" t="s">
        <v>305</v>
      </c>
    </row>
    <row r="50" spans="1:17" ht="13" x14ac:dyDescent="0.3">
      <c r="A50" s="22"/>
      <c r="B50" s="2"/>
      <c r="C50" s="200"/>
      <c r="D50" s="200"/>
      <c r="E50" s="200"/>
    </row>
    <row r="51" spans="1:17" ht="13" x14ac:dyDescent="0.3">
      <c r="A51" s="22" t="s">
        <v>300</v>
      </c>
      <c r="B51" s="2"/>
      <c r="C51" s="200"/>
      <c r="D51" s="200"/>
      <c r="E51" s="200"/>
    </row>
    <row r="52" spans="1:17" ht="13" x14ac:dyDescent="0.3">
      <c r="A52" s="22"/>
      <c r="B52" s="27" t="s">
        <v>299</v>
      </c>
      <c r="C52" s="200">
        <v>140</v>
      </c>
      <c r="D52" s="200">
        <v>240</v>
      </c>
      <c r="E52" s="200">
        <v>340</v>
      </c>
      <c r="F52" s="26" t="s">
        <v>132</v>
      </c>
      <c r="H52" s="26"/>
    </row>
    <row r="53" spans="1:17" ht="13" x14ac:dyDescent="0.3">
      <c r="A53" s="22"/>
      <c r="B53" s="27" t="s">
        <v>293</v>
      </c>
      <c r="C53" s="200"/>
      <c r="D53" s="200">
        <v>70</v>
      </c>
      <c r="E53" s="200"/>
      <c r="F53" s="26" t="s">
        <v>132</v>
      </c>
    </row>
    <row r="55" spans="1:17" ht="13" x14ac:dyDescent="0.3">
      <c r="A55" s="22" t="s">
        <v>306</v>
      </c>
      <c r="B55" s="2"/>
      <c r="C55" s="200"/>
      <c r="D55" s="200"/>
      <c r="E55" s="200"/>
    </row>
    <row r="56" spans="1:17" ht="13" x14ac:dyDescent="0.3">
      <c r="A56" s="22"/>
      <c r="B56" s="27" t="s">
        <v>307</v>
      </c>
      <c r="C56" s="200">
        <v>90</v>
      </c>
      <c r="D56" s="200">
        <v>103</v>
      </c>
      <c r="E56" s="200">
        <v>115</v>
      </c>
      <c r="F56" s="26" t="s">
        <v>132</v>
      </c>
    </row>
    <row r="57" spans="1:17" ht="13" x14ac:dyDescent="0.3">
      <c r="A57" s="22"/>
      <c r="B57" s="2"/>
      <c r="C57" s="200"/>
      <c r="D57" s="200"/>
      <c r="E57" s="200"/>
    </row>
    <row r="58" spans="1:17" ht="13" x14ac:dyDescent="0.3">
      <c r="A58" s="22" t="s">
        <v>308</v>
      </c>
      <c r="B58" s="2"/>
      <c r="C58" s="200"/>
      <c r="D58" s="200"/>
      <c r="E58" s="200"/>
    </row>
    <row r="59" spans="1:17" ht="13" x14ac:dyDescent="0.3">
      <c r="A59" s="22"/>
      <c r="B59" s="27" t="s">
        <v>309</v>
      </c>
      <c r="C59" s="200">
        <v>0.65</v>
      </c>
      <c r="D59" s="200">
        <v>0.67800000000000005</v>
      </c>
      <c r="E59" s="200">
        <v>0.7</v>
      </c>
      <c r="F59" s="26" t="s">
        <v>64</v>
      </c>
    </row>
    <row r="60" spans="1:17" ht="13" x14ac:dyDescent="0.3">
      <c r="A60" s="22"/>
      <c r="B60" s="2"/>
      <c r="C60" s="200"/>
      <c r="D60" s="200"/>
      <c r="E60" s="200"/>
    </row>
    <row r="61" spans="1:17" ht="13" x14ac:dyDescent="0.3">
      <c r="A61" s="22" t="s">
        <v>311</v>
      </c>
      <c r="B61" s="2"/>
      <c r="C61" s="200"/>
      <c r="D61" s="200"/>
      <c r="E61" s="200"/>
    </row>
    <row r="62" spans="1:17" ht="13" x14ac:dyDescent="0.3">
      <c r="A62" s="22"/>
      <c r="B62" s="27" t="s">
        <v>312</v>
      </c>
      <c r="C62" s="200"/>
      <c r="D62" s="200">
        <v>10</v>
      </c>
      <c r="E62" s="200"/>
    </row>
    <row r="63" spans="1:17" ht="13" x14ac:dyDescent="0.3">
      <c r="A63" s="22"/>
      <c r="B63" s="2"/>
      <c r="C63" s="200"/>
      <c r="D63" s="200"/>
      <c r="E63" s="200"/>
    </row>
    <row r="64" spans="1:17" x14ac:dyDescent="0.25">
      <c r="B64" s="26" t="s">
        <v>221</v>
      </c>
      <c r="C64" s="150" t="s">
        <v>213</v>
      </c>
      <c r="D64" s="147"/>
      <c r="E64" s="147"/>
      <c r="F64" s="26"/>
      <c r="I64" s="26" t="s">
        <v>215</v>
      </c>
      <c r="J64" s="26" t="s">
        <v>48</v>
      </c>
      <c r="K64" s="26" t="s">
        <v>216</v>
      </c>
      <c r="L64" s="26" t="s">
        <v>218</v>
      </c>
      <c r="M64" s="26" t="s">
        <v>217</v>
      </c>
      <c r="N64" s="26" t="s">
        <v>219</v>
      </c>
      <c r="P64" s="26" t="s">
        <v>217</v>
      </c>
      <c r="Q64" s="26" t="s">
        <v>216</v>
      </c>
    </row>
    <row r="65" spans="1:17" x14ac:dyDescent="0.25">
      <c r="B65" s="26"/>
      <c r="C65" s="150" t="s">
        <v>214</v>
      </c>
      <c r="D65" s="147"/>
      <c r="E65" s="147"/>
      <c r="F65" s="26"/>
      <c r="J65">
        <v>12</v>
      </c>
      <c r="K65">
        <v>25</v>
      </c>
      <c r="L65">
        <f>0.5</f>
        <v>0.5</v>
      </c>
      <c r="M65" s="152">
        <f>1/(0.001*L65)*(K65*1000/$E$13+J65*$E$11)</f>
        <v>1095294.1176470588</v>
      </c>
      <c r="N65" s="151">
        <f>K65*1000/$E$13/J65+$E$11</f>
        <v>45.637254901960787</v>
      </c>
      <c r="P65">
        <v>82</v>
      </c>
      <c r="Q65">
        <f>E13*(P65*L65*0.001-J65*E11)</f>
        <v>-12237.212</v>
      </c>
    </row>
    <row r="66" spans="1:17" x14ac:dyDescent="0.25">
      <c r="B66" s="26"/>
      <c r="C66" s="150" t="s">
        <v>220</v>
      </c>
      <c r="D66" s="147"/>
      <c r="E66" s="147"/>
      <c r="F66" s="26"/>
      <c r="J66">
        <v>12</v>
      </c>
      <c r="K66">
        <v>5</v>
      </c>
      <c r="L66">
        <f>0.5</f>
        <v>0.5</v>
      </c>
      <c r="M66" s="152">
        <f>1/(0.001*L66)*(K66*1000/$E$13+J66*$E$11)</f>
        <v>507058.82352941175</v>
      </c>
      <c r="N66" s="151">
        <f>K66*1000/$E$13/J66+$E$11*0.001</f>
        <v>6.142450980392157</v>
      </c>
    </row>
    <row r="67" spans="1:17" ht="13" x14ac:dyDescent="0.3">
      <c r="A67" s="22"/>
      <c r="B67" s="2"/>
      <c r="C67" s="200"/>
      <c r="D67" s="200"/>
      <c r="E67" s="200"/>
    </row>
    <row r="68" spans="1:17" ht="13" x14ac:dyDescent="0.3">
      <c r="A68" s="22"/>
      <c r="B68" s="2"/>
      <c r="C68" s="200"/>
      <c r="D68" s="200"/>
      <c r="E68" s="200"/>
    </row>
    <row r="69" spans="1:17" ht="13" x14ac:dyDescent="0.3">
      <c r="A69" s="22"/>
      <c r="B69" s="2"/>
      <c r="C69" s="200"/>
      <c r="D69" s="200"/>
      <c r="E69" s="200"/>
    </row>
    <row r="70" spans="1:17" ht="13" x14ac:dyDescent="0.3">
      <c r="A70" s="22"/>
      <c r="B70" s="2"/>
      <c r="C70" s="200"/>
      <c r="D70" s="200"/>
      <c r="E70" s="200"/>
    </row>
    <row r="71" spans="1:17" ht="13" x14ac:dyDescent="0.3">
      <c r="A71" s="22"/>
      <c r="B71" s="2"/>
      <c r="C71" s="200"/>
      <c r="D71" s="200"/>
      <c r="E71" s="200"/>
    </row>
    <row r="72" spans="1:17" ht="13" x14ac:dyDescent="0.3">
      <c r="A72" s="22"/>
      <c r="B72" s="2"/>
      <c r="C72" s="200"/>
      <c r="D72" s="200"/>
      <c r="E72" s="200"/>
    </row>
    <row r="73" spans="1:17" ht="13" x14ac:dyDescent="0.3">
      <c r="A73" s="22"/>
      <c r="B73" s="2"/>
      <c r="C73" s="200"/>
      <c r="D73" s="200"/>
      <c r="E73" s="200"/>
    </row>
    <row r="74" spans="1:17" ht="13" x14ac:dyDescent="0.3">
      <c r="A74" s="22"/>
      <c r="B74" s="2"/>
      <c r="C74" s="200"/>
      <c r="D74" s="200"/>
      <c r="E74" s="200"/>
    </row>
    <row r="75" spans="1:17" ht="13" x14ac:dyDescent="0.3">
      <c r="A75" s="22"/>
      <c r="B75" s="2"/>
      <c r="C75" s="200"/>
      <c r="D75" s="200"/>
      <c r="E75" s="200"/>
    </row>
    <row r="76" spans="1:17" ht="13" x14ac:dyDescent="0.3">
      <c r="A76" s="22"/>
      <c r="B76" s="2"/>
      <c r="C76" s="200"/>
      <c r="D76" s="200"/>
      <c r="E76" s="200"/>
    </row>
    <row r="77" spans="1:17" ht="13" x14ac:dyDescent="0.3">
      <c r="A77" s="22"/>
      <c r="B77" s="2"/>
      <c r="C77" s="200"/>
      <c r="D77" s="200"/>
      <c r="E77" s="200"/>
    </row>
    <row r="78" spans="1:17" ht="13" x14ac:dyDescent="0.3">
      <c r="A78" s="22"/>
      <c r="B78" s="2"/>
      <c r="C78" s="200"/>
      <c r="D78" s="200"/>
      <c r="E78" s="200"/>
    </row>
    <row r="79" spans="1:17" ht="13" x14ac:dyDescent="0.3">
      <c r="A79" s="22"/>
      <c r="B79" s="2"/>
      <c r="C79" s="200"/>
      <c r="D79" s="200"/>
      <c r="E79" s="200"/>
    </row>
    <row r="80" spans="1:17" ht="13" x14ac:dyDescent="0.3">
      <c r="A80" s="22"/>
      <c r="B80" s="2"/>
      <c r="C80" s="200"/>
      <c r="D80" s="200"/>
      <c r="E80" s="200"/>
    </row>
    <row r="81" spans="1:6" ht="13" x14ac:dyDescent="0.3">
      <c r="A81" s="22"/>
      <c r="B81" s="2"/>
      <c r="C81" s="200"/>
      <c r="D81" s="200"/>
      <c r="E81" s="200"/>
    </row>
    <row r="82" spans="1:6" ht="13" x14ac:dyDescent="0.3">
      <c r="A82" s="22"/>
      <c r="B82" s="27"/>
      <c r="C82" s="200"/>
      <c r="D82" s="200"/>
      <c r="E82" s="200"/>
      <c r="F82" s="26"/>
    </row>
    <row r="83" spans="1:6" ht="13" x14ac:dyDescent="0.3">
      <c r="A83" s="22"/>
      <c r="B83" s="27"/>
      <c r="C83" s="200"/>
      <c r="D83" s="200"/>
      <c r="E83" s="200"/>
      <c r="F83" s="26"/>
    </row>
    <row r="84" spans="1:6" ht="13" x14ac:dyDescent="0.3">
      <c r="A84" s="22"/>
      <c r="B84" s="2"/>
      <c r="C84" s="200"/>
      <c r="D84" s="200"/>
      <c r="E84" s="200"/>
    </row>
    <row r="85" spans="1:6" ht="13" x14ac:dyDescent="0.3">
      <c r="A85" s="22"/>
      <c r="B85" s="2"/>
      <c r="C85" s="200"/>
      <c r="D85" s="200"/>
      <c r="E85" s="200"/>
    </row>
    <row r="86" spans="1:6" ht="13" x14ac:dyDescent="0.3">
      <c r="A86" s="22"/>
      <c r="B86" s="2"/>
      <c r="C86" s="200"/>
      <c r="D86" s="200"/>
      <c r="E86" s="200"/>
    </row>
    <row r="87" spans="1:6" ht="13" x14ac:dyDescent="0.3">
      <c r="A87" s="22"/>
      <c r="B87" s="2"/>
      <c r="C87" s="200"/>
      <c r="D87" s="200"/>
      <c r="E87" s="200"/>
    </row>
    <row r="88" spans="1:6" ht="13" x14ac:dyDescent="0.3">
      <c r="A88" s="22"/>
      <c r="B88" s="2"/>
      <c r="C88" s="200"/>
      <c r="D88" s="200"/>
      <c r="E88" s="200"/>
    </row>
    <row r="89" spans="1:6" ht="13" x14ac:dyDescent="0.3">
      <c r="A89" s="22"/>
      <c r="B89" s="2"/>
      <c r="C89" s="200"/>
      <c r="D89" s="200"/>
      <c r="E89" s="200"/>
    </row>
    <row r="90" spans="1:6" ht="13" x14ac:dyDescent="0.3">
      <c r="A90" s="22"/>
      <c r="B90" s="2"/>
      <c r="C90" s="200"/>
      <c r="D90" s="200"/>
      <c r="E90" s="200"/>
    </row>
    <row r="91" spans="1:6" ht="13" x14ac:dyDescent="0.3">
      <c r="A91" s="22"/>
      <c r="B91" s="2"/>
      <c r="C91" s="200"/>
      <c r="D91" s="200"/>
      <c r="E91" s="200"/>
    </row>
    <row r="92" spans="1:6" ht="13" x14ac:dyDescent="0.3">
      <c r="A92" s="22"/>
      <c r="B92" s="2"/>
      <c r="C92" s="200"/>
      <c r="D92" s="200"/>
      <c r="E92" s="200"/>
    </row>
    <row r="93" spans="1:6" ht="13" x14ac:dyDescent="0.3">
      <c r="A93" s="22"/>
      <c r="B93" s="2"/>
      <c r="C93" s="200"/>
      <c r="D93" s="200"/>
      <c r="E93" s="200"/>
    </row>
    <row r="94" spans="1:6" ht="13" x14ac:dyDescent="0.3">
      <c r="A94" s="22"/>
      <c r="B94" s="2"/>
      <c r="C94" s="200"/>
      <c r="D94" s="200"/>
      <c r="E94" s="200"/>
    </row>
    <row r="95" spans="1:6" ht="13" x14ac:dyDescent="0.3">
      <c r="A95" s="22"/>
      <c r="B95" s="2"/>
      <c r="C95" s="200"/>
      <c r="D95" s="200"/>
      <c r="E95" s="200"/>
    </row>
    <row r="96" spans="1:6" ht="13" x14ac:dyDescent="0.3">
      <c r="A96" s="22"/>
      <c r="B96" s="2"/>
      <c r="C96" s="200"/>
      <c r="D96" s="200"/>
      <c r="E96" s="200"/>
    </row>
    <row r="97" spans="1:5" ht="13" x14ac:dyDescent="0.3">
      <c r="A97" s="22"/>
      <c r="B97" s="2"/>
      <c r="C97" s="200"/>
      <c r="D97" s="200"/>
      <c r="E97" s="200"/>
    </row>
    <row r="98" spans="1:5" ht="13" x14ac:dyDescent="0.3">
      <c r="A98" s="22"/>
      <c r="B98" s="2"/>
      <c r="C98" s="200"/>
      <c r="D98" s="200"/>
      <c r="E98" s="200"/>
    </row>
    <row r="99" spans="1:5" ht="13" x14ac:dyDescent="0.3">
      <c r="A99" s="22"/>
      <c r="B99" s="2"/>
      <c r="C99" s="200"/>
      <c r="D99" s="200"/>
      <c r="E99" s="200"/>
    </row>
    <row r="100" spans="1:5" ht="13" x14ac:dyDescent="0.3">
      <c r="A100" s="22"/>
      <c r="B100" s="2"/>
      <c r="C100" s="200"/>
      <c r="D100" s="200"/>
      <c r="E100" s="200"/>
    </row>
    <row r="101" spans="1:5" ht="13" x14ac:dyDescent="0.3">
      <c r="A101" s="22"/>
      <c r="B101" s="2"/>
      <c r="C101" s="200"/>
      <c r="D101" s="200"/>
      <c r="E101" s="200"/>
    </row>
    <row r="102" spans="1:5" ht="13" x14ac:dyDescent="0.3">
      <c r="A102" s="22"/>
      <c r="B102" s="2"/>
      <c r="C102" s="200"/>
      <c r="D102" s="200"/>
      <c r="E102" s="200"/>
    </row>
    <row r="103" spans="1:5" ht="13" x14ac:dyDescent="0.3">
      <c r="A103" s="22"/>
      <c r="B103" s="2"/>
      <c r="C103" s="200"/>
      <c r="D103" s="200"/>
      <c r="E103" s="200"/>
    </row>
    <row r="104" spans="1:5" ht="13" x14ac:dyDescent="0.3">
      <c r="A104" s="22"/>
      <c r="B104" s="2"/>
      <c r="C104" s="200"/>
      <c r="D104" s="200"/>
      <c r="E104" s="200"/>
    </row>
    <row r="105" spans="1:5" ht="13" x14ac:dyDescent="0.3">
      <c r="A105" s="22"/>
      <c r="B105" s="2"/>
      <c r="C105" s="200"/>
      <c r="D105" s="200"/>
      <c r="E105" s="200"/>
    </row>
    <row r="106" spans="1:5" ht="13" x14ac:dyDescent="0.3">
      <c r="A106" s="22"/>
      <c r="B106" s="2"/>
      <c r="C106" s="200"/>
      <c r="D106" s="200"/>
      <c r="E106" s="200"/>
    </row>
    <row r="107" spans="1:5" ht="13" x14ac:dyDescent="0.3">
      <c r="A107" s="22"/>
      <c r="B107" s="2"/>
      <c r="C107" s="200"/>
      <c r="D107" s="200"/>
      <c r="E107" s="200"/>
    </row>
    <row r="108" spans="1:5" ht="13" x14ac:dyDescent="0.3">
      <c r="A108" s="22"/>
      <c r="B108" s="2"/>
      <c r="C108" s="200"/>
      <c r="D108" s="200"/>
      <c r="E108" s="200"/>
    </row>
    <row r="109" spans="1:5" ht="13" x14ac:dyDescent="0.3">
      <c r="A109" s="22"/>
      <c r="B109" s="2"/>
      <c r="C109" s="200"/>
      <c r="D109" s="200"/>
      <c r="E109" s="200"/>
    </row>
    <row r="110" spans="1:5" ht="13" x14ac:dyDescent="0.3">
      <c r="A110" s="22"/>
      <c r="B110" s="2"/>
      <c r="C110" s="200"/>
      <c r="D110" s="200"/>
      <c r="E110" s="200"/>
    </row>
    <row r="111" spans="1:5" ht="13" x14ac:dyDescent="0.3">
      <c r="A111" s="22"/>
      <c r="B111" s="2"/>
      <c r="C111" s="200"/>
      <c r="D111" s="200"/>
      <c r="E111" s="200"/>
    </row>
    <row r="112" spans="1:5" ht="13" x14ac:dyDescent="0.3">
      <c r="A112" s="22"/>
      <c r="B112" s="2"/>
      <c r="C112" s="200"/>
      <c r="D112" s="200"/>
      <c r="E112" s="200"/>
    </row>
    <row r="113" spans="1:5" ht="13" x14ac:dyDescent="0.3">
      <c r="A113" s="22"/>
      <c r="B113" s="2"/>
      <c r="C113" s="200"/>
      <c r="D113" s="200"/>
      <c r="E113" s="200"/>
    </row>
    <row r="114" spans="1:5" ht="13" x14ac:dyDescent="0.3">
      <c r="A114" s="22"/>
      <c r="B114" s="2"/>
      <c r="C114" s="200"/>
      <c r="D114" s="200"/>
      <c r="E114" s="200"/>
    </row>
    <row r="115" spans="1:5" ht="13" x14ac:dyDescent="0.3">
      <c r="A115" s="22"/>
      <c r="B115" s="2"/>
      <c r="C115" s="200"/>
      <c r="D115" s="200"/>
      <c r="E115" s="200"/>
    </row>
    <row r="116" spans="1:5" ht="13" x14ac:dyDescent="0.3">
      <c r="A116" s="22"/>
      <c r="B116" s="2"/>
      <c r="C116" s="200"/>
      <c r="D116" s="200"/>
      <c r="E116" s="200"/>
    </row>
    <row r="117" spans="1:5" ht="13" x14ac:dyDescent="0.3">
      <c r="A117" s="22"/>
      <c r="B117" s="2"/>
      <c r="C117" s="200"/>
      <c r="D117" s="200"/>
      <c r="E117" s="200"/>
    </row>
    <row r="118" spans="1:5" ht="13" x14ac:dyDescent="0.3">
      <c r="A118" s="22"/>
      <c r="B118" s="2"/>
      <c r="C118" s="200"/>
      <c r="D118" s="200"/>
      <c r="E118" s="200"/>
    </row>
    <row r="119" spans="1:5" ht="13" x14ac:dyDescent="0.3">
      <c r="A119" s="22"/>
      <c r="B119" s="2"/>
      <c r="C119" s="200"/>
      <c r="D119" s="200"/>
      <c r="E119" s="200"/>
    </row>
    <row r="120" spans="1:5" ht="13" x14ac:dyDescent="0.3">
      <c r="A120" s="22"/>
      <c r="B120" s="2"/>
      <c r="C120" s="200"/>
      <c r="D120" s="200"/>
      <c r="E120" s="200"/>
    </row>
    <row r="121" spans="1:5" ht="13" x14ac:dyDescent="0.3">
      <c r="A121" s="22"/>
      <c r="B121" s="2"/>
      <c r="C121" s="200"/>
      <c r="D121" s="200"/>
      <c r="E121" s="200"/>
    </row>
    <row r="122" spans="1:5" ht="13" x14ac:dyDescent="0.3">
      <c r="A122" s="22"/>
      <c r="B122" s="2"/>
      <c r="C122" s="200"/>
      <c r="D122" s="200"/>
      <c r="E122" s="200"/>
    </row>
    <row r="123" spans="1:5" ht="13" x14ac:dyDescent="0.3">
      <c r="A123" s="22"/>
      <c r="B123" s="2"/>
      <c r="C123" s="200"/>
      <c r="D123" s="200"/>
      <c r="E123" s="200"/>
    </row>
    <row r="124" spans="1:5" ht="13" x14ac:dyDescent="0.3">
      <c r="A124" s="22"/>
      <c r="B124" s="2"/>
      <c r="C124" s="200"/>
      <c r="D124" s="200"/>
      <c r="E124" s="200"/>
    </row>
    <row r="125" spans="1:5" ht="13" x14ac:dyDescent="0.3">
      <c r="A125" s="22"/>
      <c r="B125" s="2"/>
      <c r="C125" s="200"/>
      <c r="D125" s="200"/>
      <c r="E125" s="200"/>
    </row>
    <row r="126" spans="1:5" ht="13" x14ac:dyDescent="0.3">
      <c r="A126" s="22"/>
      <c r="B126" s="2"/>
      <c r="C126" s="200"/>
      <c r="D126" s="200"/>
      <c r="E126" s="200"/>
    </row>
    <row r="127" spans="1:5" ht="13" x14ac:dyDescent="0.3">
      <c r="A127" s="22"/>
      <c r="B127" s="2"/>
      <c r="C127" s="200"/>
      <c r="D127" s="200"/>
      <c r="E127" s="200"/>
    </row>
    <row r="128" spans="1:5" ht="13" x14ac:dyDescent="0.3">
      <c r="A128" s="22"/>
      <c r="B128" s="2"/>
      <c r="C128" s="200"/>
      <c r="D128" s="200"/>
      <c r="E128" s="200"/>
    </row>
    <row r="129" spans="1:5" ht="13" x14ac:dyDescent="0.3">
      <c r="A129" s="22"/>
      <c r="B129" s="2"/>
      <c r="C129" s="200"/>
      <c r="D129" s="200"/>
      <c r="E129" s="200"/>
    </row>
    <row r="130" spans="1:5" ht="13" x14ac:dyDescent="0.3">
      <c r="A130" s="22"/>
      <c r="B130" s="2"/>
      <c r="C130" s="200"/>
      <c r="D130" s="200"/>
      <c r="E130" s="200"/>
    </row>
    <row r="131" spans="1:5" ht="13" x14ac:dyDescent="0.3">
      <c r="A131" s="22"/>
      <c r="B131" s="2"/>
      <c r="C131" s="200"/>
      <c r="D131" s="200"/>
      <c r="E131" s="200"/>
    </row>
    <row r="132" spans="1:5" ht="13" x14ac:dyDescent="0.3">
      <c r="A132" s="22"/>
      <c r="B132" s="2"/>
      <c r="C132" s="200"/>
      <c r="D132" s="200"/>
      <c r="E132" s="200"/>
    </row>
    <row r="133" spans="1:5" ht="13" x14ac:dyDescent="0.3">
      <c r="A133" s="22"/>
      <c r="B133" s="2"/>
      <c r="C133" s="200"/>
      <c r="D133" s="200"/>
      <c r="E133" s="200"/>
    </row>
    <row r="134" spans="1:5" ht="13" x14ac:dyDescent="0.3">
      <c r="A134" s="22"/>
      <c r="B134" s="2"/>
      <c r="C134" s="200"/>
      <c r="D134" s="200"/>
      <c r="E134" s="200"/>
    </row>
    <row r="135" spans="1:5" ht="13" x14ac:dyDescent="0.3">
      <c r="A135" s="22"/>
      <c r="B135" s="2"/>
      <c r="C135" s="200"/>
      <c r="D135" s="200"/>
      <c r="E135" s="200"/>
    </row>
    <row r="136" spans="1:5" ht="13" x14ac:dyDescent="0.3">
      <c r="A136" s="22"/>
      <c r="B136" s="2"/>
      <c r="C136" s="200"/>
      <c r="D136" s="200"/>
      <c r="E136" s="200"/>
    </row>
    <row r="137" spans="1:5" ht="13" x14ac:dyDescent="0.3">
      <c r="A137" s="22"/>
      <c r="B137" s="2"/>
      <c r="C137" s="200"/>
      <c r="D137" s="200"/>
      <c r="E137" s="200"/>
    </row>
    <row r="138" spans="1:5" ht="13" x14ac:dyDescent="0.3">
      <c r="A138" s="22"/>
      <c r="B138" s="2"/>
      <c r="C138" s="200"/>
      <c r="D138" s="200"/>
      <c r="E138" s="200"/>
    </row>
    <row r="139" spans="1:5" ht="13" x14ac:dyDescent="0.3">
      <c r="A139" s="22"/>
      <c r="B139" s="2"/>
      <c r="C139" s="200"/>
      <c r="D139" s="200"/>
      <c r="E139" s="200"/>
    </row>
    <row r="140" spans="1:5" ht="13" x14ac:dyDescent="0.3">
      <c r="A140" s="22"/>
      <c r="B140" s="2"/>
      <c r="C140" s="200"/>
      <c r="D140" s="200"/>
      <c r="E140" s="200"/>
    </row>
    <row r="141" spans="1:5" ht="13" x14ac:dyDescent="0.3">
      <c r="A141" s="22"/>
      <c r="B141" s="2"/>
      <c r="C141" s="200"/>
      <c r="D141" s="200"/>
      <c r="E141" s="200"/>
    </row>
    <row r="142" spans="1:5" ht="13" x14ac:dyDescent="0.3">
      <c r="A142" s="22"/>
      <c r="B142" s="2"/>
      <c r="C142" s="200"/>
      <c r="D142" s="200"/>
      <c r="E142" s="200"/>
    </row>
    <row r="143" spans="1:5" ht="13" x14ac:dyDescent="0.3">
      <c r="A143" s="22"/>
      <c r="B143" s="2"/>
      <c r="C143" s="200"/>
      <c r="D143" s="200"/>
      <c r="E143" s="200"/>
    </row>
    <row r="144" spans="1:5" ht="13" x14ac:dyDescent="0.3">
      <c r="A144" s="22"/>
      <c r="B144" s="2"/>
      <c r="C144" s="200"/>
      <c r="D144" s="200"/>
      <c r="E144" s="200"/>
    </row>
    <row r="145" spans="1:5" ht="13" x14ac:dyDescent="0.3">
      <c r="A145" s="22"/>
      <c r="B145" s="2"/>
      <c r="C145" s="200"/>
      <c r="D145" s="200"/>
      <c r="E145" s="200"/>
    </row>
    <row r="146" spans="1:5" ht="13" x14ac:dyDescent="0.3">
      <c r="A146" s="22"/>
      <c r="B146" s="2"/>
      <c r="C146" s="200"/>
      <c r="D146" s="200"/>
      <c r="E146" s="200"/>
    </row>
    <row r="147" spans="1:5" ht="13" x14ac:dyDescent="0.3">
      <c r="A147" s="22"/>
      <c r="B147" s="2"/>
      <c r="C147" s="200"/>
      <c r="D147" s="200"/>
      <c r="E147" s="200"/>
    </row>
    <row r="148" spans="1:5" ht="13" x14ac:dyDescent="0.3">
      <c r="A148" s="22"/>
      <c r="B148" s="2"/>
      <c r="C148" s="200"/>
      <c r="D148" s="200"/>
      <c r="E148" s="200"/>
    </row>
    <row r="149" spans="1:5" ht="13" x14ac:dyDescent="0.3">
      <c r="A149" s="22"/>
      <c r="B149" s="2"/>
      <c r="C149" s="200"/>
      <c r="D149" s="200"/>
      <c r="E149" s="200"/>
    </row>
    <row r="150" spans="1:5" ht="13" x14ac:dyDescent="0.3">
      <c r="A150" s="22"/>
      <c r="B150" s="2"/>
      <c r="C150" s="200"/>
      <c r="D150" s="200"/>
      <c r="E150" s="200"/>
    </row>
    <row r="151" spans="1:5" ht="13" x14ac:dyDescent="0.3">
      <c r="A151" s="22"/>
      <c r="B151" s="2"/>
      <c r="C151" s="200"/>
      <c r="D151" s="200"/>
      <c r="E151" s="200"/>
    </row>
    <row r="152" spans="1:5" ht="13" x14ac:dyDescent="0.3">
      <c r="A152" s="22"/>
      <c r="B152" s="2"/>
      <c r="C152" s="200"/>
      <c r="D152" s="200"/>
      <c r="E152" s="200"/>
    </row>
    <row r="153" spans="1:5" ht="13" x14ac:dyDescent="0.3">
      <c r="A153" s="22"/>
      <c r="B153" s="2"/>
      <c r="C153" s="200"/>
      <c r="D153" s="200"/>
      <c r="E153" s="200"/>
    </row>
    <row r="154" spans="1:5" ht="13" x14ac:dyDescent="0.3">
      <c r="A154" s="22"/>
      <c r="B154" s="2"/>
      <c r="C154" s="200"/>
      <c r="D154" s="200"/>
      <c r="E154" s="200"/>
    </row>
    <row r="155" spans="1:5" ht="13" x14ac:dyDescent="0.3">
      <c r="A155" s="22"/>
      <c r="B155" s="2"/>
      <c r="C155" s="200"/>
      <c r="D155" s="200"/>
      <c r="E155" s="200"/>
    </row>
    <row r="156" spans="1:5" ht="13" x14ac:dyDescent="0.3">
      <c r="A156" s="22"/>
      <c r="B156" s="2"/>
      <c r="C156" s="200"/>
      <c r="D156" s="200"/>
      <c r="E156" s="200"/>
    </row>
    <row r="157" spans="1:5" ht="13" x14ac:dyDescent="0.3">
      <c r="A157" s="22"/>
      <c r="B157" s="2"/>
      <c r="C157" s="200"/>
      <c r="D157" s="200"/>
      <c r="E157" s="200"/>
    </row>
    <row r="158" spans="1:5" ht="13" x14ac:dyDescent="0.3">
      <c r="A158" s="22"/>
      <c r="B158" s="2"/>
      <c r="C158" s="200"/>
      <c r="D158" s="200"/>
      <c r="E158" s="200"/>
    </row>
    <row r="159" spans="1:5" ht="13" x14ac:dyDescent="0.3">
      <c r="A159" s="22"/>
      <c r="B159" s="2"/>
      <c r="C159" s="200"/>
      <c r="D159" s="200"/>
      <c r="E159" s="200"/>
    </row>
    <row r="160" spans="1:5" ht="13" x14ac:dyDescent="0.3">
      <c r="A160" s="22"/>
      <c r="B160" s="2"/>
      <c r="C160" s="200"/>
      <c r="D160" s="200"/>
      <c r="E160" s="200"/>
    </row>
    <row r="161" spans="1:5" ht="13" x14ac:dyDescent="0.3">
      <c r="A161" s="22"/>
      <c r="B161" s="2"/>
      <c r="C161" s="200"/>
      <c r="D161" s="200"/>
      <c r="E161" s="200"/>
    </row>
    <row r="162" spans="1:5" ht="13" x14ac:dyDescent="0.3">
      <c r="A162" s="22"/>
      <c r="B162" s="2"/>
      <c r="C162" s="200"/>
      <c r="D162" s="200"/>
      <c r="E162" s="200"/>
    </row>
    <row r="163" spans="1:5" ht="13" x14ac:dyDescent="0.3">
      <c r="A163" s="22"/>
      <c r="B163" s="2"/>
      <c r="C163" s="200"/>
      <c r="D163" s="200"/>
      <c r="E163" s="200"/>
    </row>
    <row r="164" spans="1:5" ht="13" x14ac:dyDescent="0.3">
      <c r="A164" s="22"/>
      <c r="B164" s="2"/>
      <c r="C164" s="200"/>
      <c r="D164" s="200"/>
      <c r="E164" s="200"/>
    </row>
    <row r="165" spans="1:5" ht="13" x14ac:dyDescent="0.3">
      <c r="A165" s="22"/>
      <c r="B165" s="2"/>
      <c r="C165" s="200"/>
      <c r="D165" s="200"/>
      <c r="E165" s="200"/>
    </row>
    <row r="166" spans="1:5" ht="13" x14ac:dyDescent="0.3">
      <c r="A166" s="22"/>
      <c r="B166" s="2"/>
      <c r="C166" s="200"/>
      <c r="D166" s="200"/>
      <c r="E166" s="200"/>
    </row>
    <row r="167" spans="1:5" ht="13" x14ac:dyDescent="0.3">
      <c r="A167" s="22"/>
      <c r="B167" s="2"/>
      <c r="C167" s="200"/>
      <c r="D167" s="200"/>
      <c r="E167" s="200"/>
    </row>
    <row r="168" spans="1:5" ht="13" x14ac:dyDescent="0.3">
      <c r="A168" s="22"/>
      <c r="B168" s="2"/>
      <c r="C168" s="200"/>
      <c r="D168" s="200"/>
      <c r="E168" s="200"/>
    </row>
    <row r="169" spans="1:5" ht="13" x14ac:dyDescent="0.3">
      <c r="A169" s="22"/>
      <c r="B169" s="2"/>
      <c r="C169" s="200"/>
      <c r="D169" s="200"/>
      <c r="E169" s="200"/>
    </row>
    <row r="170" spans="1:5" ht="13" x14ac:dyDescent="0.3">
      <c r="A170" s="22"/>
      <c r="B170" s="2"/>
      <c r="C170" s="200"/>
      <c r="D170" s="200"/>
      <c r="E170" s="200"/>
    </row>
    <row r="171" spans="1:5" ht="13" x14ac:dyDescent="0.3">
      <c r="A171" s="22"/>
      <c r="B171" s="2"/>
      <c r="C171" s="200"/>
      <c r="D171" s="200"/>
      <c r="E171" s="200"/>
    </row>
    <row r="172" spans="1:5" ht="13" x14ac:dyDescent="0.3">
      <c r="A172" s="22"/>
      <c r="B172" s="2"/>
      <c r="C172" s="200"/>
      <c r="D172" s="200"/>
      <c r="E172" s="200"/>
    </row>
    <row r="173" spans="1:5" ht="13" x14ac:dyDescent="0.3">
      <c r="A173" s="22"/>
      <c r="B173" s="2"/>
      <c r="C173" s="200"/>
      <c r="D173" s="200"/>
      <c r="E173" s="200"/>
    </row>
    <row r="174" spans="1:5" ht="13" x14ac:dyDescent="0.3">
      <c r="A174" s="22"/>
      <c r="B174" s="2"/>
      <c r="C174" s="200"/>
      <c r="D174" s="200"/>
      <c r="E174" s="200"/>
    </row>
    <row r="175" spans="1:5" ht="13" x14ac:dyDescent="0.3">
      <c r="A175" s="22"/>
      <c r="B175" s="2"/>
      <c r="C175" s="200"/>
      <c r="D175" s="200"/>
      <c r="E175" s="200"/>
    </row>
    <row r="176" spans="1:5" ht="13" x14ac:dyDescent="0.3">
      <c r="A176" s="22"/>
      <c r="B176" s="2"/>
      <c r="C176" s="200"/>
      <c r="D176" s="200"/>
      <c r="E176" s="200"/>
    </row>
    <row r="177" spans="1:5" ht="13" x14ac:dyDescent="0.3">
      <c r="A177" s="22"/>
      <c r="B177" s="2"/>
      <c r="C177" s="200"/>
      <c r="D177" s="200"/>
      <c r="E177" s="200"/>
    </row>
    <row r="178" spans="1:5" ht="13" x14ac:dyDescent="0.3">
      <c r="A178" s="22"/>
      <c r="B178" s="2"/>
      <c r="C178" s="200"/>
      <c r="D178" s="200"/>
      <c r="E178" s="200"/>
    </row>
    <row r="179" spans="1:5" ht="13" x14ac:dyDescent="0.3">
      <c r="A179" s="22"/>
      <c r="B179" s="2"/>
      <c r="C179" s="200"/>
      <c r="D179" s="200"/>
      <c r="E179" s="200"/>
    </row>
    <row r="180" spans="1:5" ht="13" x14ac:dyDescent="0.3">
      <c r="A180" s="22"/>
      <c r="B180" s="2"/>
      <c r="C180" s="200"/>
      <c r="D180" s="200"/>
      <c r="E180" s="200"/>
    </row>
    <row r="181" spans="1:5" ht="13" x14ac:dyDescent="0.3">
      <c r="A181" s="22"/>
      <c r="B181" s="2"/>
      <c r="C181" s="200"/>
      <c r="D181" s="200"/>
      <c r="E181" s="200"/>
    </row>
    <row r="182" spans="1:5" ht="13" x14ac:dyDescent="0.3">
      <c r="A182" s="22"/>
      <c r="B182" s="2"/>
      <c r="C182" s="200"/>
      <c r="D182" s="200"/>
      <c r="E182" s="200"/>
    </row>
    <row r="183" spans="1:5" ht="13" x14ac:dyDescent="0.3">
      <c r="A183" s="22"/>
      <c r="B183" s="2"/>
      <c r="C183" s="200"/>
      <c r="D183" s="200"/>
      <c r="E183" s="200"/>
    </row>
    <row r="184" spans="1:5" ht="13" x14ac:dyDescent="0.3">
      <c r="A184" s="22"/>
      <c r="B184" s="2"/>
      <c r="C184" s="200"/>
      <c r="D184" s="200"/>
      <c r="E184" s="200"/>
    </row>
    <row r="185" spans="1:5" ht="13" x14ac:dyDescent="0.3">
      <c r="A185" s="22"/>
      <c r="B185" s="2"/>
      <c r="C185" s="200"/>
      <c r="D185" s="200"/>
      <c r="E185" s="200"/>
    </row>
    <row r="186" spans="1:5" ht="13" x14ac:dyDescent="0.3">
      <c r="A186" s="22"/>
      <c r="B186" s="2"/>
      <c r="C186" s="200"/>
      <c r="D186" s="200"/>
      <c r="E186" s="200"/>
    </row>
    <row r="187" spans="1:5" ht="13" x14ac:dyDescent="0.3">
      <c r="A187" s="22"/>
      <c r="B187" s="2"/>
      <c r="C187" s="200"/>
      <c r="D187" s="200"/>
      <c r="E187" s="200"/>
    </row>
    <row r="188" spans="1:5" ht="13" x14ac:dyDescent="0.3">
      <c r="A188" s="22"/>
      <c r="B188" s="2"/>
      <c r="C188" s="200"/>
      <c r="D188" s="200"/>
      <c r="E188" s="200"/>
    </row>
    <row r="189" spans="1:5" ht="13" x14ac:dyDescent="0.3">
      <c r="A189" s="22"/>
      <c r="B189" s="2"/>
      <c r="C189" s="200"/>
      <c r="D189" s="200"/>
      <c r="E189" s="200"/>
    </row>
    <row r="190" spans="1:5" ht="13" x14ac:dyDescent="0.3">
      <c r="A190" s="22"/>
      <c r="B190" s="2"/>
      <c r="C190" s="200"/>
      <c r="D190" s="200"/>
      <c r="E190" s="200"/>
    </row>
    <row r="191" spans="1:5" ht="13" x14ac:dyDescent="0.3">
      <c r="A191" s="22"/>
      <c r="B191" s="2"/>
      <c r="C191" s="200"/>
      <c r="D191" s="200"/>
      <c r="E191" s="200"/>
    </row>
    <row r="192" spans="1:5" ht="13" x14ac:dyDescent="0.3">
      <c r="A192" s="22"/>
      <c r="B192" s="2"/>
      <c r="C192" s="200"/>
      <c r="D192" s="200"/>
      <c r="E192" s="200"/>
    </row>
    <row r="193" spans="1:5" ht="13" x14ac:dyDescent="0.3">
      <c r="A193" s="22"/>
      <c r="B193" s="2"/>
      <c r="C193" s="200"/>
      <c r="D193" s="200"/>
      <c r="E193" s="200"/>
    </row>
    <row r="194" spans="1:5" ht="13" x14ac:dyDescent="0.3">
      <c r="A194" s="22"/>
      <c r="B194" s="2"/>
      <c r="C194" s="200"/>
      <c r="D194" s="200"/>
      <c r="E194" s="200"/>
    </row>
    <row r="195" spans="1:5" ht="13" x14ac:dyDescent="0.3">
      <c r="A195" s="22"/>
      <c r="B195" s="2"/>
      <c r="C195" s="200"/>
      <c r="D195" s="200"/>
      <c r="E195" s="200"/>
    </row>
    <row r="196" spans="1:5" ht="13" x14ac:dyDescent="0.3">
      <c r="A196" s="22"/>
      <c r="B196" s="2"/>
      <c r="C196" s="200"/>
      <c r="D196" s="200"/>
      <c r="E196" s="200"/>
    </row>
    <row r="197" spans="1:5" ht="13" x14ac:dyDescent="0.3">
      <c r="A197" s="22"/>
      <c r="B197" s="2"/>
      <c r="C197" s="200"/>
      <c r="D197" s="200"/>
      <c r="E197" s="200"/>
    </row>
    <row r="198" spans="1:5" ht="13" x14ac:dyDescent="0.3">
      <c r="A198" s="22"/>
      <c r="B198" s="2"/>
      <c r="C198" s="200"/>
      <c r="D198" s="200"/>
      <c r="E198" s="200"/>
    </row>
    <row r="199" spans="1:5" ht="13" x14ac:dyDescent="0.3">
      <c r="A199" s="22"/>
      <c r="B199" s="2"/>
      <c r="C199" s="200"/>
      <c r="D199" s="200"/>
      <c r="E199" s="200"/>
    </row>
    <row r="200" spans="1:5" ht="13" x14ac:dyDescent="0.3">
      <c r="A200" s="22"/>
      <c r="B200" s="2"/>
      <c r="C200" s="200"/>
      <c r="D200" s="200"/>
      <c r="E200" s="200"/>
    </row>
    <row r="201" spans="1:5" ht="13" x14ac:dyDescent="0.3">
      <c r="A201" s="22"/>
      <c r="B201" s="2"/>
      <c r="C201" s="200"/>
      <c r="D201" s="200"/>
      <c r="E201" s="200"/>
    </row>
    <row r="202" spans="1:5" ht="13" x14ac:dyDescent="0.3">
      <c r="A202" s="22"/>
      <c r="B202" s="2"/>
      <c r="C202" s="200"/>
      <c r="D202" s="200"/>
      <c r="E202" s="200"/>
    </row>
    <row r="203" spans="1:5" ht="13" x14ac:dyDescent="0.3">
      <c r="A203" s="22"/>
      <c r="B203" s="2"/>
      <c r="C203" s="200"/>
      <c r="D203" s="200"/>
      <c r="E203" s="200"/>
    </row>
    <row r="204" spans="1:5" ht="13" x14ac:dyDescent="0.3">
      <c r="A204" s="22"/>
      <c r="B204" s="2"/>
      <c r="C204" s="200"/>
      <c r="D204" s="200"/>
      <c r="E204" s="200"/>
    </row>
    <row r="205" spans="1:5" ht="13" x14ac:dyDescent="0.3">
      <c r="A205" s="22"/>
      <c r="B205" s="2"/>
      <c r="C205" s="200"/>
      <c r="D205" s="200"/>
      <c r="E205" s="200"/>
    </row>
    <row r="206" spans="1:5" ht="13" x14ac:dyDescent="0.3">
      <c r="A206" s="22"/>
      <c r="B206" s="2"/>
      <c r="C206" s="200"/>
      <c r="D206" s="200"/>
      <c r="E206" s="200"/>
    </row>
    <row r="207" spans="1:5" ht="13" x14ac:dyDescent="0.3">
      <c r="A207" s="22"/>
      <c r="B207" s="2"/>
      <c r="C207" s="200"/>
      <c r="D207" s="200"/>
      <c r="E207" s="200"/>
    </row>
    <row r="208" spans="1:5" ht="13" x14ac:dyDescent="0.3">
      <c r="A208" s="22"/>
      <c r="B208" s="2"/>
      <c r="C208" s="200"/>
      <c r="D208" s="200"/>
      <c r="E208" s="200"/>
    </row>
    <row r="209" spans="1:5" ht="13" x14ac:dyDescent="0.3">
      <c r="A209" s="22"/>
      <c r="B209" s="2"/>
      <c r="C209" s="200"/>
      <c r="D209" s="200"/>
      <c r="E209" s="200"/>
    </row>
    <row r="210" spans="1:5" ht="13" x14ac:dyDescent="0.3">
      <c r="A210" s="22"/>
      <c r="B210" s="2"/>
      <c r="C210" s="200"/>
      <c r="D210" s="200"/>
      <c r="E210" s="200"/>
    </row>
    <row r="211" spans="1:5" ht="13" x14ac:dyDescent="0.3">
      <c r="A211" s="22"/>
      <c r="B211" s="2"/>
      <c r="C211" s="200"/>
      <c r="D211" s="200"/>
      <c r="E211" s="200"/>
    </row>
    <row r="212" spans="1:5" ht="13" x14ac:dyDescent="0.3">
      <c r="A212" s="22"/>
      <c r="B212" s="2"/>
      <c r="C212" s="200"/>
      <c r="D212" s="200"/>
      <c r="E212" s="200"/>
    </row>
    <row r="213" spans="1:5" ht="13" x14ac:dyDescent="0.3">
      <c r="A213" s="22"/>
      <c r="B213" s="2"/>
      <c r="C213" s="200"/>
      <c r="D213" s="200"/>
      <c r="E213" s="200"/>
    </row>
    <row r="214" spans="1:5" ht="13" x14ac:dyDescent="0.3">
      <c r="A214" s="22"/>
      <c r="B214" s="2"/>
      <c r="C214" s="200"/>
      <c r="D214" s="200"/>
      <c r="E214" s="200"/>
    </row>
    <row r="215" spans="1:5" ht="13" x14ac:dyDescent="0.3">
      <c r="A215" s="22"/>
      <c r="B215" s="2"/>
      <c r="C215" s="200"/>
      <c r="D215" s="200"/>
      <c r="E215" s="200"/>
    </row>
    <row r="216" spans="1:5" ht="13" x14ac:dyDescent="0.3">
      <c r="A216" s="22"/>
      <c r="B216" s="2"/>
      <c r="C216" s="200"/>
      <c r="D216" s="200"/>
      <c r="E216" s="200"/>
    </row>
    <row r="217" spans="1:5" ht="13" x14ac:dyDescent="0.3">
      <c r="A217" s="22"/>
      <c r="B217" s="2"/>
      <c r="C217" s="200"/>
      <c r="D217" s="200"/>
      <c r="E217" s="200"/>
    </row>
    <row r="218" spans="1:5" ht="13" x14ac:dyDescent="0.3">
      <c r="A218" s="22"/>
      <c r="B218" s="2"/>
      <c r="C218" s="200"/>
      <c r="D218" s="200"/>
      <c r="E218" s="200"/>
    </row>
    <row r="219" spans="1:5" ht="13" x14ac:dyDescent="0.3">
      <c r="A219" s="22"/>
      <c r="B219" s="2"/>
      <c r="C219" s="200"/>
      <c r="D219" s="200"/>
      <c r="E219" s="200"/>
    </row>
    <row r="220" spans="1:5" ht="13" x14ac:dyDescent="0.3">
      <c r="A220" s="22"/>
      <c r="B220" s="2"/>
      <c r="C220" s="200"/>
      <c r="D220" s="200"/>
      <c r="E220" s="200"/>
    </row>
    <row r="221" spans="1:5" ht="13" x14ac:dyDescent="0.3">
      <c r="A221" s="22"/>
      <c r="B221" s="2"/>
      <c r="C221" s="200"/>
      <c r="D221" s="200"/>
      <c r="E221" s="200"/>
    </row>
    <row r="222" spans="1:5" ht="13" x14ac:dyDescent="0.3">
      <c r="A222" s="22"/>
      <c r="B222" s="2"/>
      <c r="C222" s="200"/>
      <c r="D222" s="200"/>
      <c r="E222" s="200"/>
    </row>
    <row r="223" spans="1:5" ht="13" x14ac:dyDescent="0.3">
      <c r="A223" s="22"/>
      <c r="B223" s="2"/>
      <c r="C223" s="200"/>
      <c r="D223" s="200"/>
      <c r="E223" s="200"/>
    </row>
    <row r="224" spans="1:5" ht="13" x14ac:dyDescent="0.3">
      <c r="A224" s="22"/>
      <c r="B224" s="2"/>
      <c r="C224" s="200"/>
      <c r="D224" s="200"/>
      <c r="E224" s="200"/>
    </row>
    <row r="225" spans="1:5" ht="13" x14ac:dyDescent="0.3">
      <c r="A225" s="22"/>
      <c r="B225" s="2"/>
      <c r="C225" s="200"/>
      <c r="D225" s="200"/>
      <c r="E225" s="200"/>
    </row>
    <row r="226" spans="1:5" ht="13" x14ac:dyDescent="0.3">
      <c r="A226" s="22"/>
      <c r="B226" s="2"/>
      <c r="C226" s="200"/>
      <c r="D226" s="200"/>
      <c r="E226" s="200"/>
    </row>
    <row r="227" spans="1:5" ht="13" x14ac:dyDescent="0.3">
      <c r="A227" s="22"/>
      <c r="B227" s="2"/>
      <c r="C227" s="200"/>
      <c r="D227" s="200"/>
      <c r="E227" s="200"/>
    </row>
    <row r="228" spans="1:5" ht="13" x14ac:dyDescent="0.3">
      <c r="A228" s="22"/>
      <c r="B228" s="2"/>
      <c r="C228" s="200"/>
      <c r="D228" s="200"/>
      <c r="E228" s="200"/>
    </row>
    <row r="229" spans="1:5" ht="13" x14ac:dyDescent="0.3">
      <c r="A229" s="22"/>
      <c r="B229" s="2"/>
      <c r="C229" s="200"/>
      <c r="D229" s="200"/>
      <c r="E229" s="200"/>
    </row>
    <row r="230" spans="1:5" ht="13" x14ac:dyDescent="0.3">
      <c r="A230" s="22"/>
      <c r="B230" s="2"/>
      <c r="C230" s="200"/>
      <c r="D230" s="200"/>
      <c r="E230" s="200"/>
    </row>
    <row r="231" spans="1:5" ht="13" x14ac:dyDescent="0.3">
      <c r="A231" s="22"/>
      <c r="B231" s="2"/>
      <c r="C231" s="200"/>
      <c r="D231" s="200"/>
      <c r="E231" s="200"/>
    </row>
    <row r="232" spans="1:5" ht="13" x14ac:dyDescent="0.3">
      <c r="A232" s="22"/>
      <c r="B232" s="2"/>
      <c r="C232" s="200"/>
      <c r="D232" s="200"/>
      <c r="E232" s="200"/>
    </row>
    <row r="233" spans="1:5" ht="13" x14ac:dyDescent="0.3">
      <c r="A233" s="22"/>
      <c r="B233" s="2"/>
      <c r="C233" s="200"/>
      <c r="D233" s="200"/>
      <c r="E233" s="200"/>
    </row>
    <row r="234" spans="1:5" ht="13" x14ac:dyDescent="0.3">
      <c r="A234" s="22"/>
      <c r="B234" s="2"/>
      <c r="C234" s="200"/>
      <c r="D234" s="200"/>
      <c r="E234" s="200"/>
    </row>
    <row r="235" spans="1:5" ht="13" x14ac:dyDescent="0.3">
      <c r="A235" s="22"/>
      <c r="B235" s="2"/>
      <c r="C235" s="200"/>
      <c r="D235" s="200"/>
      <c r="E235" s="200"/>
    </row>
    <row r="236" spans="1:5" ht="13" x14ac:dyDescent="0.3">
      <c r="A236" s="22"/>
      <c r="B236" s="2"/>
      <c r="C236" s="200"/>
      <c r="D236" s="200"/>
      <c r="E236" s="200"/>
    </row>
    <row r="237" spans="1:5" ht="13" x14ac:dyDescent="0.3">
      <c r="A237" s="22"/>
      <c r="B237" s="2"/>
      <c r="C237" s="200"/>
      <c r="D237" s="200"/>
      <c r="E237" s="200"/>
    </row>
    <row r="238" spans="1:5" ht="13" x14ac:dyDescent="0.3">
      <c r="A238" s="22"/>
      <c r="B238" s="2"/>
      <c r="C238" s="200"/>
      <c r="D238" s="200"/>
      <c r="E238" s="200"/>
    </row>
    <row r="239" spans="1:5" ht="13" x14ac:dyDescent="0.3">
      <c r="A239" s="22"/>
      <c r="B239" s="2"/>
      <c r="C239" s="200"/>
      <c r="D239" s="200"/>
      <c r="E239" s="200"/>
    </row>
    <row r="240" spans="1:5" ht="13" x14ac:dyDescent="0.3">
      <c r="A240" s="22"/>
      <c r="B240" s="2"/>
      <c r="C240" s="200"/>
      <c r="D240" s="200"/>
      <c r="E240" s="200"/>
    </row>
    <row r="241" spans="1:5" ht="13" x14ac:dyDescent="0.3">
      <c r="A241" s="22"/>
      <c r="B241" s="2"/>
      <c r="C241" s="200"/>
      <c r="D241" s="200"/>
      <c r="E241" s="200"/>
    </row>
    <row r="242" spans="1:5" ht="13" x14ac:dyDescent="0.3">
      <c r="A242" s="22"/>
      <c r="B242" s="2"/>
      <c r="C242" s="200"/>
      <c r="D242" s="200"/>
      <c r="E242" s="200"/>
    </row>
    <row r="243" spans="1:5" ht="13" x14ac:dyDescent="0.3">
      <c r="A243" s="22"/>
      <c r="B243" s="2"/>
      <c r="C243" s="200"/>
      <c r="D243" s="200"/>
      <c r="E243" s="200"/>
    </row>
    <row r="244" spans="1:5" ht="13" x14ac:dyDescent="0.3">
      <c r="A244" s="22"/>
      <c r="B244" s="2"/>
      <c r="C244" s="200"/>
      <c r="D244" s="200"/>
      <c r="E244" s="200"/>
    </row>
    <row r="245" spans="1:5" ht="13" x14ac:dyDescent="0.3">
      <c r="A245" s="22"/>
      <c r="B245" s="2"/>
      <c r="C245" s="200"/>
      <c r="D245" s="200"/>
      <c r="E245" s="200"/>
    </row>
    <row r="246" spans="1:5" ht="13" x14ac:dyDescent="0.3">
      <c r="A246" s="22"/>
      <c r="B246" s="2"/>
      <c r="C246" s="200"/>
      <c r="D246" s="200"/>
      <c r="E246" s="200"/>
    </row>
    <row r="247" spans="1:5" ht="13" x14ac:dyDescent="0.3">
      <c r="A247" s="22"/>
      <c r="B247" s="2"/>
      <c r="C247" s="200"/>
      <c r="D247" s="200"/>
      <c r="E247" s="200"/>
    </row>
    <row r="248" spans="1:5" ht="13" x14ac:dyDescent="0.3">
      <c r="A248" s="22"/>
      <c r="B248" s="2"/>
      <c r="C248" s="200"/>
      <c r="D248" s="200"/>
      <c r="E248" s="200"/>
    </row>
    <row r="249" spans="1:5" ht="13" x14ac:dyDescent="0.3">
      <c r="A249" s="22"/>
      <c r="B249" s="2"/>
      <c r="C249" s="200"/>
      <c r="D249" s="200"/>
      <c r="E249" s="200"/>
    </row>
    <row r="250" spans="1:5" ht="13" x14ac:dyDescent="0.3">
      <c r="A250" s="22"/>
      <c r="B250" s="2"/>
      <c r="C250" s="200"/>
      <c r="D250" s="200"/>
      <c r="E250" s="200"/>
    </row>
    <row r="251" spans="1:5" ht="13" x14ac:dyDescent="0.3">
      <c r="A251" s="22"/>
      <c r="B251" s="2"/>
      <c r="C251" s="200"/>
      <c r="D251" s="200"/>
      <c r="E251" s="200"/>
    </row>
    <row r="252" spans="1:5" ht="13" x14ac:dyDescent="0.3">
      <c r="A252" s="22"/>
      <c r="B252" s="2"/>
      <c r="C252" s="200"/>
      <c r="D252" s="200"/>
      <c r="E252" s="200"/>
    </row>
    <row r="253" spans="1:5" ht="13" x14ac:dyDescent="0.3">
      <c r="A253" s="22"/>
      <c r="B253" s="2"/>
      <c r="C253" s="200"/>
      <c r="D253" s="200"/>
      <c r="E253" s="200"/>
    </row>
    <row r="254" spans="1:5" ht="13" x14ac:dyDescent="0.3">
      <c r="A254" s="22"/>
      <c r="B254" s="2"/>
      <c r="C254" s="200"/>
      <c r="D254" s="200"/>
      <c r="E254" s="200"/>
    </row>
    <row r="255" spans="1:5" ht="13" x14ac:dyDescent="0.3">
      <c r="A255" s="22"/>
      <c r="B255" s="2"/>
      <c r="C255" s="200"/>
      <c r="D255" s="200"/>
      <c r="E255" s="200"/>
    </row>
    <row r="256" spans="1:5" ht="13" x14ac:dyDescent="0.3">
      <c r="A256" s="22"/>
      <c r="B256" s="2"/>
      <c r="C256" s="200"/>
      <c r="D256" s="200"/>
      <c r="E256" s="200"/>
    </row>
    <row r="257" spans="1:5" ht="13" x14ac:dyDescent="0.3">
      <c r="A257" s="22"/>
      <c r="B257" s="2"/>
      <c r="C257" s="200"/>
      <c r="D257" s="200"/>
      <c r="E257" s="200"/>
    </row>
    <row r="258" spans="1:5" ht="13" x14ac:dyDescent="0.3">
      <c r="A258" s="22"/>
      <c r="B258" s="2"/>
      <c r="C258" s="200"/>
      <c r="D258" s="200"/>
      <c r="E258" s="200"/>
    </row>
    <row r="259" spans="1:5" ht="13" x14ac:dyDescent="0.3">
      <c r="A259" s="22"/>
      <c r="B259" s="2"/>
      <c r="C259" s="200"/>
      <c r="D259" s="200"/>
      <c r="E259" s="200"/>
    </row>
    <row r="260" spans="1:5" ht="13" x14ac:dyDescent="0.3">
      <c r="A260" s="22"/>
      <c r="B260" s="2"/>
      <c r="C260" s="200"/>
      <c r="D260" s="200"/>
      <c r="E260" s="200"/>
    </row>
    <row r="261" spans="1:5" ht="13" x14ac:dyDescent="0.3">
      <c r="A261" s="22"/>
      <c r="B261" s="2"/>
      <c r="C261" s="200"/>
      <c r="D261" s="200"/>
      <c r="E261" s="200"/>
    </row>
    <row r="262" spans="1:5" ht="13" x14ac:dyDescent="0.3">
      <c r="A262" s="22"/>
      <c r="B262" s="2"/>
      <c r="C262" s="200"/>
      <c r="D262" s="200"/>
      <c r="E262" s="200"/>
    </row>
    <row r="263" spans="1:5" ht="13" x14ac:dyDescent="0.3">
      <c r="A263" s="22"/>
      <c r="B263" s="2"/>
      <c r="C263" s="200"/>
      <c r="D263" s="200"/>
      <c r="E263" s="200"/>
    </row>
    <row r="264" spans="1:5" ht="13" x14ac:dyDescent="0.3">
      <c r="A264" s="22"/>
      <c r="B264" s="2"/>
      <c r="C264" s="200"/>
      <c r="D264" s="200"/>
      <c r="E264" s="200"/>
    </row>
    <row r="265" spans="1:5" ht="13" x14ac:dyDescent="0.3">
      <c r="A265" s="22"/>
      <c r="B265" s="2"/>
      <c r="C265" s="200"/>
      <c r="D265" s="200"/>
      <c r="E265" s="200"/>
    </row>
    <row r="266" spans="1:5" ht="13" x14ac:dyDescent="0.3">
      <c r="A266" s="22"/>
      <c r="B266" s="2"/>
      <c r="C266" s="200"/>
      <c r="D266" s="200"/>
      <c r="E266" s="200"/>
    </row>
    <row r="267" spans="1:5" ht="13" x14ac:dyDescent="0.3">
      <c r="A267" s="22"/>
      <c r="B267" s="2"/>
      <c r="C267" s="200"/>
      <c r="D267" s="200"/>
      <c r="E267" s="200"/>
    </row>
    <row r="268" spans="1:5" ht="13" x14ac:dyDescent="0.3">
      <c r="A268" s="22"/>
      <c r="B268" s="2"/>
      <c r="C268" s="200"/>
      <c r="D268" s="200"/>
      <c r="E268" s="200"/>
    </row>
    <row r="269" spans="1:5" ht="13" x14ac:dyDescent="0.3">
      <c r="A269" s="22"/>
      <c r="B269" s="2"/>
      <c r="C269" s="200"/>
      <c r="D269" s="200"/>
      <c r="E269" s="200"/>
    </row>
    <row r="270" spans="1:5" ht="13" x14ac:dyDescent="0.3">
      <c r="A270" s="22"/>
      <c r="B270" s="2"/>
      <c r="C270" s="200"/>
      <c r="D270" s="200"/>
      <c r="E270" s="200"/>
    </row>
    <row r="271" spans="1:5" ht="13" x14ac:dyDescent="0.3">
      <c r="A271" s="22"/>
      <c r="B271" s="2"/>
      <c r="C271" s="200"/>
      <c r="D271" s="200"/>
      <c r="E271" s="200"/>
    </row>
    <row r="272" spans="1:5" ht="13" x14ac:dyDescent="0.3">
      <c r="A272" s="22"/>
      <c r="B272" s="2"/>
      <c r="C272" s="200"/>
      <c r="D272" s="200"/>
      <c r="E272" s="200"/>
    </row>
    <row r="273" spans="1:5" ht="13" x14ac:dyDescent="0.3">
      <c r="A273" s="22"/>
      <c r="B273" s="2"/>
      <c r="C273" s="200"/>
      <c r="D273" s="200"/>
      <c r="E273" s="200"/>
    </row>
    <row r="274" spans="1:5" ht="13" x14ac:dyDescent="0.3">
      <c r="A274" s="22"/>
      <c r="B274" s="2"/>
      <c r="C274" s="200"/>
      <c r="D274" s="200"/>
      <c r="E274" s="200"/>
    </row>
    <row r="275" spans="1:5" ht="13" x14ac:dyDescent="0.3">
      <c r="A275" s="22"/>
      <c r="B275" s="2"/>
      <c r="C275" s="200"/>
      <c r="D275" s="200"/>
      <c r="E275" s="200"/>
    </row>
    <row r="276" spans="1:5" ht="13" x14ac:dyDescent="0.3">
      <c r="A276" s="22"/>
      <c r="B276" s="2"/>
      <c r="C276" s="200"/>
      <c r="D276" s="200"/>
      <c r="E276" s="200"/>
    </row>
    <row r="277" spans="1:5" ht="13" x14ac:dyDescent="0.3">
      <c r="A277" s="22"/>
      <c r="B277" s="2"/>
      <c r="C277" s="200"/>
      <c r="D277" s="200"/>
      <c r="E277" s="200"/>
    </row>
    <row r="278" spans="1:5" ht="13" x14ac:dyDescent="0.3">
      <c r="A278" s="22"/>
      <c r="B278" s="2"/>
      <c r="C278" s="200"/>
      <c r="D278" s="200"/>
      <c r="E278" s="200"/>
    </row>
    <row r="279" spans="1:5" ht="13" x14ac:dyDescent="0.3">
      <c r="A279" s="22"/>
      <c r="B279" s="2"/>
      <c r="C279" s="200"/>
      <c r="D279" s="200"/>
      <c r="E279" s="200"/>
    </row>
    <row r="280" spans="1:5" ht="13" x14ac:dyDescent="0.3">
      <c r="A280" s="22"/>
      <c r="B280" s="2"/>
      <c r="C280" s="200"/>
      <c r="D280" s="200"/>
      <c r="E280" s="200"/>
    </row>
    <row r="281" spans="1:5" ht="13" x14ac:dyDescent="0.3">
      <c r="A281" s="22"/>
      <c r="B281" s="2"/>
      <c r="C281" s="200"/>
      <c r="D281" s="200"/>
      <c r="E281" s="200"/>
    </row>
    <row r="282" spans="1:5" ht="13" x14ac:dyDescent="0.3">
      <c r="A282" s="22"/>
      <c r="B282" s="2"/>
      <c r="C282" s="200"/>
      <c r="D282" s="200"/>
      <c r="E282" s="200"/>
    </row>
    <row r="283" spans="1:5" ht="13" x14ac:dyDescent="0.3">
      <c r="A283" s="22"/>
      <c r="B283" s="2"/>
      <c r="C283" s="200"/>
      <c r="D283" s="200"/>
      <c r="E283" s="200"/>
    </row>
    <row r="284" spans="1:5" ht="13" x14ac:dyDescent="0.3">
      <c r="A284" s="22"/>
      <c r="B284" s="2"/>
      <c r="C284" s="200"/>
      <c r="D284" s="200"/>
      <c r="E284" s="200"/>
    </row>
    <row r="285" spans="1:5" ht="13" x14ac:dyDescent="0.3">
      <c r="A285" s="22"/>
      <c r="B285" s="2"/>
      <c r="C285" s="200"/>
      <c r="D285" s="200"/>
      <c r="E285" s="200"/>
    </row>
    <row r="286" spans="1:5" ht="13" x14ac:dyDescent="0.3">
      <c r="A286" s="22"/>
      <c r="B286" s="2"/>
      <c r="C286" s="200"/>
      <c r="D286" s="200"/>
      <c r="E286" s="200"/>
    </row>
    <row r="287" spans="1:5" ht="13" x14ac:dyDescent="0.3">
      <c r="A287" s="22"/>
      <c r="B287" s="2"/>
      <c r="C287" s="200"/>
      <c r="D287" s="200"/>
      <c r="E287" s="200"/>
    </row>
    <row r="288" spans="1:5" ht="13" x14ac:dyDescent="0.3">
      <c r="A288" s="22"/>
      <c r="B288" s="2"/>
      <c r="C288" s="200"/>
      <c r="D288" s="200"/>
      <c r="E288" s="200"/>
    </row>
    <row r="289" spans="1:5" ht="13" x14ac:dyDescent="0.3">
      <c r="A289" s="22"/>
      <c r="B289" s="2"/>
      <c r="C289" s="200"/>
      <c r="D289" s="200"/>
      <c r="E289" s="200"/>
    </row>
    <row r="290" spans="1:5" ht="13" x14ac:dyDescent="0.3">
      <c r="A290" s="22"/>
      <c r="B290" s="2"/>
      <c r="C290" s="200"/>
      <c r="D290" s="200"/>
      <c r="E290" s="200"/>
    </row>
    <row r="291" spans="1:5" ht="13" x14ac:dyDescent="0.3">
      <c r="A291" s="22"/>
      <c r="B291" s="2"/>
      <c r="C291" s="200"/>
      <c r="D291" s="200"/>
      <c r="E291" s="200"/>
    </row>
    <row r="292" spans="1:5" ht="13" x14ac:dyDescent="0.3">
      <c r="A292" s="22"/>
      <c r="B292" s="2"/>
      <c r="C292" s="200"/>
      <c r="D292" s="200"/>
      <c r="E292" s="200"/>
    </row>
    <row r="293" spans="1:5" ht="13" x14ac:dyDescent="0.3">
      <c r="A293" s="22"/>
      <c r="B293" s="2"/>
      <c r="C293" s="200"/>
      <c r="D293" s="200"/>
      <c r="E293" s="200"/>
    </row>
    <row r="294" spans="1:5" ht="13" x14ac:dyDescent="0.3">
      <c r="A294" s="22"/>
      <c r="B294" s="2"/>
      <c r="C294" s="200"/>
      <c r="D294" s="200"/>
      <c r="E294" s="200"/>
    </row>
    <row r="295" spans="1:5" ht="13" x14ac:dyDescent="0.3">
      <c r="A295" s="22"/>
      <c r="B295" s="2"/>
      <c r="C295" s="200"/>
      <c r="D295" s="200"/>
      <c r="E295" s="200"/>
    </row>
    <row r="296" spans="1:5" ht="13" x14ac:dyDescent="0.3">
      <c r="A296" s="22"/>
      <c r="B296" s="2"/>
      <c r="C296" s="200"/>
      <c r="D296" s="200"/>
      <c r="E296" s="200"/>
    </row>
    <row r="297" spans="1:5" ht="13" x14ac:dyDescent="0.3">
      <c r="A297" s="22"/>
      <c r="B297" s="2"/>
      <c r="C297" s="200"/>
      <c r="D297" s="200"/>
      <c r="E297" s="200"/>
    </row>
    <row r="298" spans="1:5" ht="13" x14ac:dyDescent="0.3">
      <c r="A298" s="22"/>
      <c r="B298" s="2"/>
      <c r="C298" s="200"/>
      <c r="D298" s="200"/>
      <c r="E298" s="200"/>
    </row>
    <row r="299" spans="1:5" ht="13" x14ac:dyDescent="0.3">
      <c r="A299" s="22"/>
      <c r="B299" s="2"/>
      <c r="C299" s="200"/>
      <c r="D299" s="200"/>
      <c r="E299" s="200"/>
    </row>
    <row r="300" spans="1:5" ht="13" x14ac:dyDescent="0.3">
      <c r="A300" s="22"/>
      <c r="B300" s="2"/>
      <c r="C300" s="200"/>
      <c r="D300" s="200"/>
      <c r="E300" s="200"/>
    </row>
    <row r="301" spans="1:5" ht="13" x14ac:dyDescent="0.3">
      <c r="A301" s="22"/>
      <c r="B301" s="2"/>
      <c r="C301" s="200"/>
      <c r="D301" s="200"/>
      <c r="E301" s="200"/>
    </row>
    <row r="302" spans="1:5" ht="13" x14ac:dyDescent="0.3">
      <c r="A302" s="22"/>
      <c r="B302" s="2"/>
      <c r="C302" s="200"/>
      <c r="D302" s="200"/>
      <c r="E302" s="200"/>
    </row>
    <row r="303" spans="1:5" ht="13" x14ac:dyDescent="0.3">
      <c r="A303" s="22"/>
      <c r="B303" s="2"/>
      <c r="C303" s="200"/>
      <c r="D303" s="200"/>
      <c r="E303" s="200"/>
    </row>
    <row r="304" spans="1:5" ht="13" x14ac:dyDescent="0.3">
      <c r="A304" s="22"/>
      <c r="B304" s="2"/>
      <c r="C304" s="200"/>
      <c r="D304" s="200"/>
      <c r="E304" s="200"/>
    </row>
    <row r="305" spans="1:5" ht="13" x14ac:dyDescent="0.3">
      <c r="A305" s="22"/>
      <c r="B305" s="2"/>
      <c r="C305" s="200"/>
      <c r="D305" s="200"/>
      <c r="E305" s="200"/>
    </row>
    <row r="306" spans="1:5" ht="13" x14ac:dyDescent="0.3">
      <c r="A306" s="22"/>
      <c r="B306" s="2"/>
      <c r="C306" s="200"/>
      <c r="D306" s="200"/>
      <c r="E306" s="200"/>
    </row>
    <row r="307" spans="1:5" ht="13" x14ac:dyDescent="0.3">
      <c r="A307" s="22"/>
      <c r="B307" s="2"/>
      <c r="C307" s="200"/>
      <c r="D307" s="200"/>
      <c r="E307" s="200"/>
    </row>
    <row r="308" spans="1:5" ht="13" x14ac:dyDescent="0.3">
      <c r="A308" s="22"/>
      <c r="B308" s="2"/>
      <c r="C308" s="200"/>
      <c r="D308" s="200"/>
      <c r="E308" s="200"/>
    </row>
    <row r="309" spans="1:5" ht="13" x14ac:dyDescent="0.3">
      <c r="A309" s="22"/>
      <c r="B309" s="2"/>
      <c r="C309" s="200"/>
      <c r="D309" s="200"/>
      <c r="E309" s="200"/>
    </row>
    <row r="310" spans="1:5" ht="13" x14ac:dyDescent="0.3">
      <c r="A310" s="22"/>
      <c r="B310" s="2"/>
      <c r="C310" s="200"/>
      <c r="D310" s="200"/>
      <c r="E310" s="200"/>
    </row>
    <row r="311" spans="1:5" ht="13" x14ac:dyDescent="0.3">
      <c r="A311" s="22"/>
      <c r="B311" s="2"/>
      <c r="C311" s="200"/>
      <c r="D311" s="200"/>
      <c r="E311" s="200"/>
    </row>
    <row r="312" spans="1:5" ht="13" x14ac:dyDescent="0.3">
      <c r="A312" s="22"/>
      <c r="B312" s="2"/>
      <c r="C312" s="200"/>
      <c r="D312" s="200"/>
      <c r="E312" s="200"/>
    </row>
    <row r="313" spans="1:5" ht="13" x14ac:dyDescent="0.3">
      <c r="A313" s="22"/>
      <c r="B313" s="2"/>
      <c r="C313" s="200"/>
      <c r="D313" s="200"/>
      <c r="E313" s="200"/>
    </row>
    <row r="314" spans="1:5" ht="13" x14ac:dyDescent="0.3">
      <c r="A314" s="22"/>
      <c r="B314" s="2"/>
      <c r="C314" s="200"/>
      <c r="D314" s="200"/>
      <c r="E314" s="200"/>
    </row>
    <row r="315" spans="1:5" ht="13" x14ac:dyDescent="0.3">
      <c r="A315" s="22"/>
      <c r="B315" s="2"/>
      <c r="C315" s="200"/>
      <c r="D315" s="200"/>
      <c r="E315" s="200"/>
    </row>
    <row r="316" spans="1:5" ht="13" x14ac:dyDescent="0.3">
      <c r="A316" s="22"/>
      <c r="B316" s="2"/>
      <c r="C316" s="200"/>
      <c r="D316" s="200"/>
      <c r="E316" s="200"/>
    </row>
    <row r="317" spans="1:5" ht="13" x14ac:dyDescent="0.3">
      <c r="A317" s="22"/>
      <c r="B317" s="2"/>
      <c r="C317" s="200"/>
      <c r="D317" s="200"/>
      <c r="E317" s="200"/>
    </row>
    <row r="318" spans="1:5" ht="13" x14ac:dyDescent="0.3">
      <c r="A318" s="22"/>
      <c r="B318" s="2"/>
      <c r="C318" s="200"/>
      <c r="D318" s="200"/>
      <c r="E318" s="200"/>
    </row>
    <row r="319" spans="1:5" ht="13" x14ac:dyDescent="0.3">
      <c r="A319" s="22"/>
      <c r="B319" s="2"/>
      <c r="C319" s="200"/>
      <c r="D319" s="200"/>
      <c r="E319" s="200"/>
    </row>
    <row r="320" spans="1:5" ht="13" x14ac:dyDescent="0.3">
      <c r="A320" s="22"/>
      <c r="B320" s="2"/>
      <c r="C320" s="200"/>
      <c r="D320" s="200"/>
      <c r="E320" s="200"/>
    </row>
    <row r="321" spans="1:5" ht="13" x14ac:dyDescent="0.3">
      <c r="A321" s="22"/>
      <c r="B321" s="2"/>
      <c r="C321" s="200"/>
      <c r="D321" s="200"/>
      <c r="E321" s="200"/>
    </row>
    <row r="322" spans="1:5" ht="13" x14ac:dyDescent="0.3">
      <c r="A322" s="22"/>
      <c r="B322" s="2"/>
      <c r="C322" s="200"/>
      <c r="D322" s="200"/>
      <c r="E322" s="200"/>
    </row>
    <row r="323" spans="1:5" ht="13" x14ac:dyDescent="0.3">
      <c r="A323" s="22"/>
      <c r="B323" s="2"/>
      <c r="C323" s="200"/>
      <c r="D323" s="200"/>
      <c r="E323" s="200"/>
    </row>
    <row r="324" spans="1:5" ht="13" x14ac:dyDescent="0.3">
      <c r="A324" s="22"/>
      <c r="B324" s="2"/>
      <c r="C324" s="200"/>
      <c r="D324" s="200"/>
      <c r="E324" s="200"/>
    </row>
    <row r="325" spans="1:5" ht="13" x14ac:dyDescent="0.3">
      <c r="A325" s="22"/>
      <c r="B325" s="2"/>
      <c r="C325" s="200"/>
      <c r="D325" s="200"/>
      <c r="E325" s="200"/>
    </row>
    <row r="326" spans="1:5" ht="13" x14ac:dyDescent="0.3">
      <c r="A326" s="22"/>
      <c r="B326" s="2"/>
      <c r="C326" s="200"/>
      <c r="D326" s="200"/>
      <c r="E326" s="200"/>
    </row>
    <row r="327" spans="1:5" ht="13" x14ac:dyDescent="0.3">
      <c r="A327" s="22"/>
      <c r="B327" s="2"/>
      <c r="C327" s="200"/>
      <c r="D327" s="200"/>
      <c r="E327" s="200"/>
    </row>
    <row r="328" spans="1:5" ht="13" x14ac:dyDescent="0.3">
      <c r="A328" s="22"/>
      <c r="B328" s="2"/>
      <c r="C328" s="200"/>
      <c r="D328" s="200"/>
      <c r="E328" s="200"/>
    </row>
    <row r="329" spans="1:5" ht="13" x14ac:dyDescent="0.3">
      <c r="A329" s="22"/>
      <c r="B329" s="2"/>
      <c r="C329" s="200"/>
      <c r="D329" s="200"/>
      <c r="E329" s="200"/>
    </row>
    <row r="330" spans="1:5" ht="13" x14ac:dyDescent="0.3">
      <c r="A330" s="22"/>
      <c r="B330" s="2"/>
      <c r="C330" s="200"/>
      <c r="D330" s="200"/>
      <c r="E330" s="200"/>
    </row>
    <row r="331" spans="1:5" ht="13" x14ac:dyDescent="0.3">
      <c r="A331" s="22"/>
      <c r="B331" s="2"/>
      <c r="C331" s="200"/>
      <c r="D331" s="200"/>
      <c r="E331" s="200"/>
    </row>
    <row r="332" spans="1:5" ht="13" x14ac:dyDescent="0.3">
      <c r="A332" s="22"/>
      <c r="B332" s="2"/>
      <c r="C332" s="200"/>
      <c r="D332" s="200"/>
      <c r="E332" s="200"/>
    </row>
    <row r="333" spans="1:5" ht="13" x14ac:dyDescent="0.3">
      <c r="A333" s="22"/>
      <c r="B333" s="2"/>
      <c r="C333" s="200"/>
      <c r="D333" s="200"/>
      <c r="E333" s="200"/>
    </row>
    <row r="334" spans="1:5" ht="13" x14ac:dyDescent="0.3">
      <c r="A334" s="22"/>
      <c r="B334" s="2"/>
      <c r="C334" s="200"/>
      <c r="D334" s="200"/>
      <c r="E334" s="200"/>
    </row>
    <row r="335" spans="1:5" ht="13" x14ac:dyDescent="0.3">
      <c r="A335" s="22"/>
      <c r="B335" s="2"/>
      <c r="C335" s="200"/>
      <c r="D335" s="200"/>
      <c r="E335" s="200"/>
    </row>
    <row r="336" spans="1:5" ht="13" x14ac:dyDescent="0.3">
      <c r="A336" s="22"/>
      <c r="B336" s="2"/>
      <c r="C336" s="200"/>
      <c r="D336" s="200"/>
      <c r="E336" s="200"/>
    </row>
    <row r="337" spans="1:5" ht="13" x14ac:dyDescent="0.3">
      <c r="A337" s="22"/>
      <c r="B337" s="2"/>
      <c r="C337" s="200"/>
      <c r="D337" s="200"/>
      <c r="E337" s="200"/>
    </row>
    <row r="338" spans="1:5" ht="13" x14ac:dyDescent="0.3">
      <c r="A338" s="22"/>
      <c r="B338" s="2"/>
      <c r="C338" s="200"/>
      <c r="D338" s="200"/>
      <c r="E338" s="200"/>
    </row>
    <row r="339" spans="1:5" ht="13" x14ac:dyDescent="0.3">
      <c r="A339" s="22"/>
      <c r="B339" s="2"/>
      <c r="C339" s="200"/>
      <c r="D339" s="200"/>
      <c r="E339" s="200"/>
    </row>
    <row r="340" spans="1:5" ht="13" x14ac:dyDescent="0.3">
      <c r="A340" s="22"/>
      <c r="B340" s="2"/>
      <c r="C340" s="200"/>
      <c r="D340" s="200"/>
      <c r="E340" s="200"/>
    </row>
    <row r="341" spans="1:5" ht="13" x14ac:dyDescent="0.3">
      <c r="A341" s="22"/>
      <c r="B341" s="2"/>
      <c r="C341" s="200"/>
      <c r="D341" s="200"/>
      <c r="E341" s="200"/>
    </row>
    <row r="342" spans="1:5" ht="13" x14ac:dyDescent="0.3">
      <c r="A342" s="22"/>
      <c r="B342" s="2"/>
      <c r="C342" s="200"/>
      <c r="D342" s="200"/>
      <c r="E342" s="200"/>
    </row>
    <row r="343" spans="1:5" ht="13" x14ac:dyDescent="0.3">
      <c r="A343" s="22"/>
      <c r="B343" s="2"/>
      <c r="C343" s="200"/>
      <c r="D343" s="200"/>
      <c r="E343" s="200"/>
    </row>
    <row r="344" spans="1:5" ht="13" x14ac:dyDescent="0.3">
      <c r="A344" s="22"/>
      <c r="B344" s="2"/>
      <c r="C344" s="200"/>
      <c r="D344" s="200"/>
      <c r="E344" s="200"/>
    </row>
    <row r="345" spans="1:5" ht="13" x14ac:dyDescent="0.3">
      <c r="A345" s="22"/>
      <c r="B345" s="2"/>
      <c r="C345" s="200"/>
      <c r="D345" s="200"/>
      <c r="E345" s="200"/>
    </row>
    <row r="346" spans="1:5" ht="13" x14ac:dyDescent="0.3">
      <c r="A346" s="22"/>
      <c r="B346" s="2"/>
      <c r="C346" s="200"/>
      <c r="D346" s="200"/>
      <c r="E346" s="200"/>
    </row>
    <row r="347" spans="1:5" ht="13" x14ac:dyDescent="0.3">
      <c r="A347" s="22"/>
      <c r="B347" s="2"/>
      <c r="C347" s="200"/>
      <c r="D347" s="200"/>
      <c r="E347" s="200"/>
    </row>
    <row r="348" spans="1:5" ht="13" x14ac:dyDescent="0.3">
      <c r="A348" s="22"/>
      <c r="B348" s="2"/>
      <c r="C348" s="200"/>
      <c r="D348" s="200"/>
      <c r="E348" s="200"/>
    </row>
    <row r="349" spans="1:5" ht="13" x14ac:dyDescent="0.3">
      <c r="A349" s="22"/>
      <c r="B349" s="2"/>
      <c r="C349" s="200"/>
      <c r="D349" s="200"/>
      <c r="E349" s="200"/>
    </row>
    <row r="350" spans="1:5" ht="13" x14ac:dyDescent="0.3">
      <c r="A350" s="22"/>
      <c r="B350" s="2"/>
      <c r="C350" s="200"/>
      <c r="D350" s="200"/>
      <c r="E350" s="200"/>
    </row>
    <row r="351" spans="1:5" ht="13" x14ac:dyDescent="0.3">
      <c r="A351" s="22"/>
      <c r="B351" s="2"/>
      <c r="C351" s="200"/>
      <c r="D351" s="200"/>
      <c r="E351" s="200"/>
    </row>
    <row r="352" spans="1:5" ht="13" x14ac:dyDescent="0.3">
      <c r="A352" s="22"/>
      <c r="B352" s="2"/>
      <c r="C352" s="200"/>
      <c r="D352" s="200"/>
      <c r="E352" s="200"/>
    </row>
    <row r="353" spans="2:5" x14ac:dyDescent="0.25">
      <c r="B353" s="2"/>
      <c r="C353" s="200"/>
      <c r="D353" s="200"/>
      <c r="E353" s="200"/>
    </row>
    <row r="354" spans="2:5" x14ac:dyDescent="0.25">
      <c r="B354" s="2"/>
      <c r="C354" s="200"/>
      <c r="D354" s="200"/>
      <c r="E354" s="200"/>
    </row>
    <row r="355" spans="2:5" x14ac:dyDescent="0.25">
      <c r="B355" s="2"/>
      <c r="C355" s="200"/>
      <c r="D355" s="200"/>
      <c r="E355" s="200"/>
    </row>
    <row r="356" spans="2:5" x14ac:dyDescent="0.25">
      <c r="B356" s="2"/>
      <c r="C356" s="200"/>
      <c r="D356" s="200"/>
      <c r="E356" s="200"/>
    </row>
    <row r="357" spans="2:5" x14ac:dyDescent="0.25">
      <c r="B357" s="2"/>
      <c r="C357" s="200"/>
      <c r="D357" s="200"/>
      <c r="E357" s="200"/>
    </row>
    <row r="358" spans="2:5" x14ac:dyDescent="0.25">
      <c r="B358" s="2"/>
      <c r="C358" s="200"/>
      <c r="D358" s="200"/>
      <c r="E358" s="200"/>
    </row>
    <row r="359" spans="2:5" x14ac:dyDescent="0.25">
      <c r="B359" s="2"/>
      <c r="C359" s="200"/>
      <c r="D359" s="200"/>
      <c r="E359" s="200"/>
    </row>
    <row r="360" spans="2:5" x14ac:dyDescent="0.25">
      <c r="B360" s="2"/>
      <c r="C360" s="200"/>
      <c r="D360" s="200"/>
      <c r="E360" s="200"/>
    </row>
    <row r="361" spans="2:5" x14ac:dyDescent="0.25">
      <c r="B361" s="2"/>
      <c r="C361" s="200"/>
      <c r="D361" s="200"/>
      <c r="E361" s="200"/>
    </row>
    <row r="362" spans="2:5" x14ac:dyDescent="0.25">
      <c r="B362" s="2"/>
      <c r="C362" s="200"/>
      <c r="D362" s="200"/>
      <c r="E362" s="200"/>
    </row>
    <row r="363" spans="2:5" x14ac:dyDescent="0.25">
      <c r="B363" s="2"/>
      <c r="C363" s="200"/>
      <c r="D363" s="200"/>
      <c r="E363" s="200"/>
    </row>
    <row r="364" spans="2:5" x14ac:dyDescent="0.25">
      <c r="B364" s="2"/>
      <c r="C364" s="200"/>
      <c r="D364" s="200"/>
      <c r="E364" s="200"/>
    </row>
    <row r="365" spans="2:5" x14ac:dyDescent="0.25">
      <c r="B365" s="2"/>
      <c r="C365" s="200"/>
      <c r="D365" s="200"/>
      <c r="E365" s="200"/>
    </row>
    <row r="366" spans="2:5" x14ac:dyDescent="0.25">
      <c r="B366" s="2"/>
      <c r="C366" s="200"/>
      <c r="D366" s="200"/>
      <c r="E366" s="200"/>
    </row>
    <row r="367" spans="2:5" x14ac:dyDescent="0.25">
      <c r="B367" s="2"/>
      <c r="C367" s="200"/>
      <c r="D367" s="200"/>
      <c r="E367" s="200"/>
    </row>
    <row r="368" spans="2:5" x14ac:dyDescent="0.25">
      <c r="B368" s="2"/>
      <c r="C368" s="200"/>
      <c r="D368" s="200"/>
      <c r="E368" s="200"/>
    </row>
    <row r="369" spans="2:5" x14ac:dyDescent="0.25">
      <c r="B369" s="2"/>
      <c r="C369" s="200"/>
      <c r="D369" s="200"/>
      <c r="E369" s="200"/>
    </row>
    <row r="370" spans="2:5" x14ac:dyDescent="0.25">
      <c r="B370" s="2"/>
      <c r="C370" s="200"/>
      <c r="D370" s="200"/>
      <c r="E370" s="200"/>
    </row>
    <row r="371" spans="2:5" x14ac:dyDescent="0.25">
      <c r="B371" s="2"/>
      <c r="C371" s="200"/>
      <c r="D371" s="200"/>
      <c r="E371" s="200"/>
    </row>
    <row r="372" spans="2:5" x14ac:dyDescent="0.25">
      <c r="B372" s="2"/>
      <c r="C372" s="200"/>
      <c r="D372" s="200"/>
      <c r="E372" s="200"/>
    </row>
    <row r="373" spans="2:5" x14ac:dyDescent="0.25">
      <c r="B373" s="2"/>
      <c r="C373" s="200"/>
      <c r="D373" s="200"/>
      <c r="E373" s="200"/>
    </row>
    <row r="374" spans="2:5" x14ac:dyDescent="0.25">
      <c r="B374" s="2"/>
      <c r="C374" s="200"/>
      <c r="D374" s="200"/>
      <c r="E374" s="200"/>
    </row>
    <row r="375" spans="2:5" x14ac:dyDescent="0.25">
      <c r="B375" s="2"/>
      <c r="C375" s="200"/>
      <c r="D375" s="200"/>
      <c r="E375" s="200"/>
    </row>
    <row r="376" spans="2:5" x14ac:dyDescent="0.25">
      <c r="B376" s="2"/>
      <c r="C376" s="200"/>
      <c r="D376" s="200"/>
      <c r="E376" s="200"/>
    </row>
    <row r="377" spans="2:5" x14ac:dyDescent="0.25">
      <c r="B377" s="2"/>
      <c r="C377" s="200"/>
      <c r="D377" s="200"/>
      <c r="E377" s="200"/>
    </row>
    <row r="378" spans="2:5" x14ac:dyDescent="0.25">
      <c r="B378" s="2"/>
      <c r="C378" s="200"/>
      <c r="D378" s="200"/>
      <c r="E378" s="200"/>
    </row>
    <row r="379" spans="2:5" x14ac:dyDescent="0.25">
      <c r="B379" s="2"/>
      <c r="C379" s="200"/>
      <c r="D379" s="200"/>
      <c r="E379" s="200"/>
    </row>
    <row r="380" spans="2:5" x14ac:dyDescent="0.25">
      <c r="B380" s="2"/>
      <c r="C380" s="200"/>
      <c r="D380" s="200"/>
      <c r="E380" s="200"/>
    </row>
    <row r="381" spans="2:5" x14ac:dyDescent="0.25">
      <c r="B381" s="2"/>
      <c r="C381" s="200"/>
      <c r="D381" s="200"/>
      <c r="E381" s="200"/>
    </row>
    <row r="382" spans="2:5" x14ac:dyDescent="0.25">
      <c r="B382" s="2"/>
      <c r="C382" s="200"/>
      <c r="D382" s="200"/>
      <c r="E382" s="200"/>
    </row>
    <row r="383" spans="2:5" x14ac:dyDescent="0.25">
      <c r="B383" s="2"/>
      <c r="C383" s="200"/>
      <c r="D383" s="200"/>
      <c r="E383" s="200"/>
    </row>
    <row r="384" spans="2:5" x14ac:dyDescent="0.25">
      <c r="B384" s="2"/>
      <c r="C384" s="200"/>
      <c r="D384" s="200"/>
      <c r="E384" s="200"/>
    </row>
    <row r="385" spans="2:5" x14ac:dyDescent="0.25">
      <c r="B385" s="2"/>
      <c r="C385" s="200"/>
      <c r="D385" s="200"/>
      <c r="E385" s="200"/>
    </row>
    <row r="386" spans="2:5" x14ac:dyDescent="0.25">
      <c r="B386" s="2"/>
      <c r="C386" s="200"/>
      <c r="D386" s="200"/>
      <c r="E386" s="200"/>
    </row>
    <row r="387" spans="2:5" x14ac:dyDescent="0.25">
      <c r="B387" s="2"/>
      <c r="C387" s="200"/>
      <c r="D387" s="200"/>
      <c r="E387" s="200"/>
    </row>
    <row r="388" spans="2:5" x14ac:dyDescent="0.25">
      <c r="B388" s="2"/>
      <c r="C388" s="200"/>
      <c r="D388" s="200"/>
      <c r="E388" s="200"/>
    </row>
    <row r="389" spans="2:5" x14ac:dyDescent="0.25">
      <c r="B389" s="2"/>
      <c r="C389" s="200"/>
      <c r="D389" s="200"/>
      <c r="E389" s="200"/>
    </row>
    <row r="390" spans="2:5" x14ac:dyDescent="0.25">
      <c r="B390" s="2"/>
      <c r="C390" s="200"/>
      <c r="D390" s="200"/>
      <c r="E390" s="200"/>
    </row>
    <row r="391" spans="2:5" x14ac:dyDescent="0.25">
      <c r="C391" s="200"/>
      <c r="D391" s="200"/>
      <c r="E391" s="200"/>
    </row>
    <row r="392" spans="2:5" x14ac:dyDescent="0.25">
      <c r="C392" s="200"/>
      <c r="D392" s="200"/>
      <c r="E392" s="200"/>
    </row>
    <row r="393" spans="2:5" x14ac:dyDescent="0.25">
      <c r="C393" s="200"/>
      <c r="D393" s="200"/>
      <c r="E393" s="200"/>
    </row>
    <row r="394" spans="2:5" x14ac:dyDescent="0.25">
      <c r="C394" s="200"/>
      <c r="D394" s="200"/>
      <c r="E394" s="200"/>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3:Y162"/>
  <sheetViews>
    <sheetView topLeftCell="A34" workbookViewId="0">
      <selection activeCell="F43" sqref="F43"/>
    </sheetView>
  </sheetViews>
  <sheetFormatPr defaultRowHeight="12.5" x14ac:dyDescent="0.25"/>
  <cols>
    <col min="6" max="6" width="12.453125" bestFit="1" customWidth="1"/>
    <col min="8" max="8" width="14" customWidth="1"/>
    <col min="9" max="9" width="12.54296875" customWidth="1"/>
    <col min="10" max="10" width="11.54296875" customWidth="1"/>
  </cols>
  <sheetData>
    <row r="13" spans="1:5" ht="13" x14ac:dyDescent="0.3">
      <c r="A13" s="22" t="s">
        <v>97</v>
      </c>
    </row>
    <row r="14" spans="1:5" x14ac:dyDescent="0.25">
      <c r="E14" s="2"/>
    </row>
    <row r="15" spans="1:5" x14ac:dyDescent="0.25">
      <c r="D15" s="2" t="s">
        <v>0</v>
      </c>
      <c r="E15">
        <f>'Device Parmaters'!E15/ILIM_tgt</f>
        <v>8.1818181818181817</v>
      </c>
    </row>
    <row r="16" spans="1:5" x14ac:dyDescent="0.25">
      <c r="D16" s="27" t="s">
        <v>388</v>
      </c>
      <c r="E16">
        <f>'Device Parmaters'!C15/ILIM_tgt</f>
        <v>1.8181818181818181</v>
      </c>
    </row>
    <row r="17" spans="1:11" x14ac:dyDescent="0.25">
      <c r="D17" s="2" t="s">
        <v>1</v>
      </c>
      <c r="E17" s="3">
        <f>CLMIN_Threshold/Rs</f>
        <v>5.1487218045112781</v>
      </c>
      <c r="F17" s="3"/>
    </row>
    <row r="18" spans="1:11" x14ac:dyDescent="0.25">
      <c r="D18" s="2" t="s">
        <v>2</v>
      </c>
      <c r="E18">
        <f>CLNOM_Threshold/Rs</f>
        <v>5.5725563909774438</v>
      </c>
    </row>
    <row r="19" spans="1:11" x14ac:dyDescent="0.25">
      <c r="D19" s="2" t="s">
        <v>3</v>
      </c>
      <c r="E19">
        <f>CLMAX_Threshold/Rs</f>
        <v>5.9963909774436086</v>
      </c>
    </row>
    <row r="20" spans="1:11" x14ac:dyDescent="0.25">
      <c r="D20" s="2" t="s">
        <v>4</v>
      </c>
      <c r="E20">
        <f>E19^2*'Design Calculator'!F41</f>
        <v>179.78352377183558</v>
      </c>
    </row>
    <row r="22" spans="1:11" x14ac:dyDescent="0.25">
      <c r="D22" s="27" t="s">
        <v>319</v>
      </c>
      <c r="E22">
        <f>(ILIM_tgt*Rs)/0.5</f>
        <v>55</v>
      </c>
    </row>
    <row r="23" spans="1:11" x14ac:dyDescent="0.25">
      <c r="D23" s="27" t="s">
        <v>320</v>
      </c>
      <c r="E23">
        <f>(0.675*'Design Calculator'!F43)/(ILIM_tgt*Rs*0.001)</f>
        <v>1347.5454545454547</v>
      </c>
    </row>
    <row r="25" spans="1:11" x14ac:dyDescent="0.25">
      <c r="D25" s="27" t="s">
        <v>372</v>
      </c>
      <c r="E25" s="2">
        <f>(675*'Design Calculator'!F43/RDIV1)</f>
        <v>27.862781954887218</v>
      </c>
      <c r="F25" t="s">
        <v>132</v>
      </c>
    </row>
    <row r="26" spans="1:11" x14ac:dyDescent="0.25">
      <c r="G26" s="26" t="s">
        <v>385</v>
      </c>
    </row>
    <row r="27" spans="1:11" x14ac:dyDescent="0.25">
      <c r="D27" t="s">
        <v>168</v>
      </c>
      <c r="E27">
        <f>CLNOM_Threshold-J28-CLNOM_Threshold*J29</f>
        <v>25.743609022556392</v>
      </c>
      <c r="F27" s="97" t="s">
        <v>132</v>
      </c>
      <c r="G27">
        <f>(CLMIN_Threshold-CLNOM_Threshold)/CLNOM_Threshold</f>
        <v>-7.6057478243270582E-2</v>
      </c>
      <c r="H27" s="26" t="s">
        <v>382</v>
      </c>
    </row>
    <row r="28" spans="1:11" x14ac:dyDescent="0.25">
      <c r="D28" t="s">
        <v>167</v>
      </c>
      <c r="E28">
        <f>E25</f>
        <v>27.862781954887218</v>
      </c>
      <c r="F28" s="97" t="s">
        <v>132</v>
      </c>
      <c r="I28" s="26" t="s">
        <v>383</v>
      </c>
      <c r="J28">
        <v>1.5</v>
      </c>
      <c r="K28" s="26" t="s">
        <v>132</v>
      </c>
    </row>
    <row r="29" spans="1:11" x14ac:dyDescent="0.25">
      <c r="D29" t="s">
        <v>166</v>
      </c>
      <c r="E29">
        <f>CLNOM_Threshold+J28+CLNOM_Threshold*J29</f>
        <v>29.981954887218045</v>
      </c>
      <c r="F29" s="97" t="s">
        <v>132</v>
      </c>
      <c r="G29">
        <f>(CLMAX_Threshold-CLNOM_Threshold)/CLNOM_Threshold</f>
        <v>7.6057478243270582E-2</v>
      </c>
      <c r="I29" s="26" t="s">
        <v>384</v>
      </c>
      <c r="J29">
        <f>15/675</f>
        <v>2.2222222222222223E-2</v>
      </c>
    </row>
    <row r="30" spans="1:11" x14ac:dyDescent="0.25">
      <c r="E30" s="2"/>
    </row>
    <row r="31" spans="1:11" ht="13" x14ac:dyDescent="0.3">
      <c r="A31" s="22" t="s">
        <v>119</v>
      </c>
    </row>
    <row r="32" spans="1:11" x14ac:dyDescent="0.25">
      <c r="A32" s="26"/>
      <c r="F32" s="26" t="s">
        <v>120</v>
      </c>
      <c r="H32" s="26" t="s">
        <v>121</v>
      </c>
    </row>
    <row r="33" spans="1:8" x14ac:dyDescent="0.25">
      <c r="A33" s="26"/>
      <c r="E33" s="56" t="s">
        <v>92</v>
      </c>
      <c r="F33" s="57">
        <f>VINMAX*'Design Calculator'!F57</f>
        <v>112.5</v>
      </c>
      <c r="G33" s="26" t="s">
        <v>65</v>
      </c>
      <c r="H33">
        <f>F33*(TJMAX-TJ)/(TJMAX-25)</f>
        <v>81.180000000000007</v>
      </c>
    </row>
    <row r="34" spans="1:8" x14ac:dyDescent="0.25">
      <c r="A34" s="26"/>
      <c r="E34" s="56" t="s">
        <v>93</v>
      </c>
      <c r="F34" s="57">
        <f>VINMAX*'Design Calculator'!F58</f>
        <v>36.25</v>
      </c>
      <c r="G34" s="26" t="s">
        <v>65</v>
      </c>
      <c r="H34">
        <f>F34*(TJMAX-TJ)/(TJMAX-25)</f>
        <v>26.158000000000001</v>
      </c>
    </row>
    <row r="35" spans="1:8" x14ac:dyDescent="0.25">
      <c r="A35" s="26"/>
      <c r="E35" s="56" t="s">
        <v>94</v>
      </c>
      <c r="F35" s="57">
        <f>VINMAX*'Design Calculator'!F59</f>
        <v>11.25</v>
      </c>
      <c r="G35" s="26" t="s">
        <v>65</v>
      </c>
      <c r="H35">
        <f>F35*(TJMAX-TJ)/(TJMAX-25)</f>
        <v>8.1180000000000003</v>
      </c>
    </row>
    <row r="36" spans="1:8" x14ac:dyDescent="0.25">
      <c r="A36" s="26"/>
      <c r="E36" s="56" t="s">
        <v>95</v>
      </c>
      <c r="F36" s="57">
        <f>VINMAX*'Design Calculator'!F60</f>
        <v>7.5</v>
      </c>
      <c r="G36" s="65" t="s">
        <v>65</v>
      </c>
      <c r="H36">
        <f>F36*(TJMAX-TJ)/(TJMAX-25)</f>
        <v>5.4119999999999999</v>
      </c>
    </row>
    <row r="37" spans="1:8" x14ac:dyDescent="0.25">
      <c r="A37" s="26"/>
      <c r="E37" s="67"/>
      <c r="F37" s="66"/>
      <c r="G37" s="65"/>
    </row>
    <row r="38" spans="1:8" x14ac:dyDescent="0.25">
      <c r="A38" s="26"/>
      <c r="E38" s="67" t="s">
        <v>133</v>
      </c>
      <c r="F38" s="66">
        <f>VINMAX*MAX(Vsns_min, CLNOM_Threshold/FoldBack_max)/Rs</f>
        <v>7.5</v>
      </c>
      <c r="G38" s="65" t="s">
        <v>65</v>
      </c>
    </row>
    <row r="39" spans="1:8" x14ac:dyDescent="0.25">
      <c r="A39" s="26"/>
      <c r="E39" s="67" t="s">
        <v>226</v>
      </c>
      <c r="F39" s="66">
        <f>'Design Calculator'!F65</f>
        <v>15</v>
      </c>
      <c r="G39" s="65" t="s">
        <v>65</v>
      </c>
    </row>
    <row r="40" spans="1:8" x14ac:dyDescent="0.25">
      <c r="A40" s="26"/>
      <c r="E40" s="67" t="s">
        <v>324</v>
      </c>
      <c r="F40">
        <f>(84375*'Design Calculator'!F43)/('Design Calculator'!F65*Rs*RDIV1)</f>
        <v>46.43796992481203</v>
      </c>
      <c r="G40" s="65" t="s">
        <v>227</v>
      </c>
    </row>
    <row r="41" spans="1:8" x14ac:dyDescent="0.25">
      <c r="A41" s="26"/>
      <c r="E41" s="67" t="s">
        <v>325</v>
      </c>
      <c r="F41" s="66">
        <f>RPROG</f>
        <v>47</v>
      </c>
      <c r="G41" s="65" t="s">
        <v>227</v>
      </c>
    </row>
    <row r="42" spans="1:8" x14ac:dyDescent="0.25">
      <c r="A42" s="26"/>
      <c r="E42" s="67" t="s">
        <v>228</v>
      </c>
      <c r="F42" s="66">
        <f>(84375*'Design Calculator'!F43)/(Rs*RDIV1*RPROG)</f>
        <v>14.820628699408095</v>
      </c>
      <c r="G42" s="65" t="s">
        <v>65</v>
      </c>
    </row>
    <row r="43" spans="1:8" x14ac:dyDescent="0.25">
      <c r="A43" s="26"/>
      <c r="E43" s="67"/>
      <c r="G43" s="65"/>
    </row>
    <row r="44" spans="1:8" x14ac:dyDescent="0.25">
      <c r="A44" s="26"/>
      <c r="E44" s="67"/>
      <c r="G44" s="65"/>
    </row>
    <row r="45" spans="1:8" x14ac:dyDescent="0.25">
      <c r="A45" s="26"/>
      <c r="E45" s="67"/>
      <c r="G45" s="65"/>
    </row>
    <row r="46" spans="1:8" x14ac:dyDescent="0.25">
      <c r="E46" s="2" t="s">
        <v>5</v>
      </c>
      <c r="F46" s="3">
        <f>F47*(1-0.24)</f>
        <v>11.263677811550153</v>
      </c>
      <c r="G46" t="s">
        <v>14</v>
      </c>
    </row>
    <row r="47" spans="1:8" x14ac:dyDescent="0.25">
      <c r="E47" s="2" t="s">
        <v>6</v>
      </c>
      <c r="F47" s="3">
        <f>F42</f>
        <v>14.820628699408095</v>
      </c>
    </row>
    <row r="48" spans="1:8" x14ac:dyDescent="0.25">
      <c r="E48" s="2" t="s">
        <v>7</v>
      </c>
      <c r="F48" s="3">
        <f>F47*(1+0.24)</f>
        <v>18.377579587266037</v>
      </c>
    </row>
    <row r="49" spans="1:12" x14ac:dyDescent="0.25">
      <c r="E49" s="2"/>
      <c r="F49" s="1"/>
      <c r="H49" s="2"/>
      <c r="I49" s="1"/>
      <c r="K49" s="2"/>
      <c r="L49" s="1"/>
    </row>
    <row r="50" spans="1:12" x14ac:dyDescent="0.25">
      <c r="E50" s="2"/>
      <c r="F50" s="1"/>
      <c r="H50" s="2"/>
      <c r="I50" s="1"/>
      <c r="K50" s="2"/>
      <c r="L50" s="1"/>
    </row>
    <row r="51" spans="1:12" ht="13" x14ac:dyDescent="0.3">
      <c r="A51" s="22" t="s">
        <v>118</v>
      </c>
    </row>
    <row r="52" spans="1:12" ht="13" x14ac:dyDescent="0.3">
      <c r="A52" s="22"/>
      <c r="D52" s="374"/>
      <c r="E52" s="375"/>
      <c r="F52" s="375"/>
      <c r="G52" s="375"/>
    </row>
    <row r="53" spans="1:12" ht="13" x14ac:dyDescent="0.3">
      <c r="A53" s="22"/>
      <c r="E53" s="27" t="s">
        <v>242</v>
      </c>
      <c r="F53" s="3">
        <f>Start_up!L2</f>
        <v>0.11111697099654011</v>
      </c>
      <c r="G53" s="26" t="s">
        <v>8</v>
      </c>
    </row>
    <row r="54" spans="1:12" ht="13" x14ac:dyDescent="0.3">
      <c r="A54" s="22"/>
      <c r="E54" s="27" t="s">
        <v>327</v>
      </c>
      <c r="F54" s="3">
        <f>NUMFETS*'Design Calculator'!AN61*5.9/'Device Parmaters'!C30</f>
        <v>0.17699999999999999</v>
      </c>
      <c r="G54" s="26" t="s">
        <v>8</v>
      </c>
    </row>
    <row r="55" spans="1:12" ht="13" x14ac:dyDescent="0.3">
      <c r="A55" s="22"/>
      <c r="E55" s="27" t="s">
        <v>243</v>
      </c>
      <c r="F55" s="3">
        <f>F53+F54</f>
        <v>0.2881169709965401</v>
      </c>
      <c r="G55" s="26" t="s">
        <v>8</v>
      </c>
    </row>
    <row r="56" spans="1:12" ht="13" x14ac:dyDescent="0.3">
      <c r="A56" s="22"/>
      <c r="E56" s="27" t="s">
        <v>244</v>
      </c>
      <c r="F56">
        <f>('Device Parmaters'!D23*'Design Calculator'!F77)/'Device Parmaters'!D21</f>
        <v>11.851851851851851</v>
      </c>
      <c r="G56" s="26" t="s">
        <v>82</v>
      </c>
    </row>
    <row r="57" spans="1:12" ht="13" x14ac:dyDescent="0.3">
      <c r="A57" s="22"/>
      <c r="E57" s="27" t="s">
        <v>245</v>
      </c>
      <c r="F57" s="3">
        <f>'Design Calculator'!F79</f>
        <v>12</v>
      </c>
      <c r="G57" s="26" t="s">
        <v>82</v>
      </c>
    </row>
    <row r="58" spans="1:12" ht="13" x14ac:dyDescent="0.3">
      <c r="A58" s="22"/>
      <c r="E58" s="27" t="s">
        <v>248</v>
      </c>
      <c r="F58">
        <f>(F57*'Device Parmaters'!D21)/'Device Parmaters'!D23</f>
        <v>1.6200000000000003</v>
      </c>
      <c r="G58" s="26" t="s">
        <v>8</v>
      </c>
    </row>
    <row r="59" spans="1:12" ht="13" x14ac:dyDescent="0.3">
      <c r="A59" s="22"/>
      <c r="E59" s="27" t="s">
        <v>256</v>
      </c>
      <c r="F59">
        <f>SOA!C25/F47</f>
        <v>1.3812481324652723</v>
      </c>
      <c r="G59" s="26"/>
    </row>
    <row r="60" spans="1:12" ht="13" x14ac:dyDescent="0.3">
      <c r="A60" s="22"/>
      <c r="D60" s="374"/>
      <c r="E60" s="375"/>
      <c r="F60" s="375"/>
      <c r="G60" s="375"/>
    </row>
    <row r="61" spans="1:12" ht="13" x14ac:dyDescent="0.3">
      <c r="A61" s="22"/>
      <c r="C61" s="26"/>
      <c r="D61" s="165"/>
      <c r="E61" s="27"/>
      <c r="F61" s="158"/>
      <c r="G61" s="148"/>
    </row>
    <row r="62" spans="1:12" ht="13" x14ac:dyDescent="0.3">
      <c r="A62" s="22"/>
      <c r="C62" s="26"/>
      <c r="D62" s="165"/>
      <c r="E62" s="27"/>
      <c r="F62" s="159"/>
      <c r="G62" s="26"/>
    </row>
    <row r="63" spans="1:12" ht="13" x14ac:dyDescent="0.3">
      <c r="A63" s="22"/>
      <c r="C63" s="26"/>
      <c r="D63" s="165"/>
      <c r="E63" s="27"/>
      <c r="F63" s="158"/>
      <c r="G63" s="26"/>
    </row>
    <row r="64" spans="1:12" ht="13" x14ac:dyDescent="0.3">
      <c r="D64" s="22"/>
      <c r="I64" t="s">
        <v>20</v>
      </c>
      <c r="L64" t="s">
        <v>29</v>
      </c>
    </row>
    <row r="65" spans="2:12" ht="13" x14ac:dyDescent="0.3">
      <c r="D65" s="22"/>
      <c r="I65" t="s">
        <v>21</v>
      </c>
      <c r="L65" t="s">
        <v>30</v>
      </c>
    </row>
    <row r="66" spans="2:12" ht="13" x14ac:dyDescent="0.3">
      <c r="D66" s="22"/>
      <c r="I66" t="s">
        <v>22</v>
      </c>
      <c r="L66" t="s">
        <v>31</v>
      </c>
    </row>
    <row r="69" spans="2:12" x14ac:dyDescent="0.25">
      <c r="E69" s="2"/>
    </row>
    <row r="70" spans="2:12" x14ac:dyDescent="0.25">
      <c r="E70" s="2"/>
    </row>
    <row r="71" spans="2:12" x14ac:dyDescent="0.25">
      <c r="E71" s="2"/>
      <c r="F71" s="227"/>
      <c r="G71" s="227"/>
    </row>
    <row r="72" spans="2:12" x14ac:dyDescent="0.25">
      <c r="E72" s="2" t="s">
        <v>25</v>
      </c>
      <c r="F72" s="13">
        <f>'Design Calculator'!F105</f>
        <v>10</v>
      </c>
      <c r="G72" s="13"/>
    </row>
    <row r="73" spans="2:12" x14ac:dyDescent="0.25">
      <c r="E73" s="2" t="s">
        <v>24</v>
      </c>
      <c r="F73" s="13">
        <f>(1.35*F72/('Design Calculator'!F103-1.35))-F74</f>
        <v>0.44591246903385628</v>
      </c>
      <c r="G73" s="13"/>
    </row>
    <row r="74" spans="2:12" x14ac:dyDescent="0.25">
      <c r="E74" s="2" t="s">
        <v>23</v>
      </c>
      <c r="F74" s="13">
        <f>1.35*F72*'Design Calculator'!F103/('Design Calculator'!F104*('Design Calculator'!F103-1.35))</f>
        <v>1.1147811725846408</v>
      </c>
      <c r="G74" s="13"/>
    </row>
    <row r="75" spans="2:12" x14ac:dyDescent="0.25">
      <c r="E75" s="2"/>
      <c r="F75" s="227"/>
      <c r="G75" s="13"/>
    </row>
    <row r="76" spans="2:12" x14ac:dyDescent="0.25">
      <c r="B76" s="8"/>
      <c r="C76" s="9"/>
      <c r="D76" s="9"/>
      <c r="E76" s="215" t="s">
        <v>346</v>
      </c>
      <c r="F76" s="13">
        <f>1.25*('Design Calculator'!F108+'Design Calculator'!F109+'Design Calculator'!F110)/('Design Calculator'!F109+'Design Calculator'!F110)</f>
        <v>9.2628205128205128</v>
      </c>
      <c r="G76" s="13"/>
    </row>
    <row r="77" spans="2:12" x14ac:dyDescent="0.25">
      <c r="B77" s="10"/>
      <c r="C77" s="7"/>
      <c r="D77" s="7"/>
      <c r="E77" s="216" t="s">
        <v>347</v>
      </c>
      <c r="F77" s="13">
        <f>1.35*('Design Calculator'!F108+'Design Calculator'!F109+'Design Calculator'!F110)/('Design Calculator'!F109+'Design Calculator'!F110)</f>
        <v>10.003846153846153</v>
      </c>
      <c r="G77" s="13"/>
    </row>
    <row r="78" spans="2:12" x14ac:dyDescent="0.25">
      <c r="B78" s="11"/>
      <c r="C78" s="12"/>
      <c r="D78" s="12"/>
      <c r="E78" s="217" t="s">
        <v>348</v>
      </c>
      <c r="F78" s="13">
        <f>1.45*('Design Calculator'!F108+'Design Calculator'!F109+'Design Calculator'!F110)/('Design Calculator'!F109+'Design Calculator'!F110)</f>
        <v>10.744871794871793</v>
      </c>
      <c r="G78" s="13"/>
    </row>
    <row r="79" spans="2:12" x14ac:dyDescent="0.25">
      <c r="E79" s="185" t="s">
        <v>349</v>
      </c>
      <c r="F79" s="13">
        <f>1.2*('Design Calculator'!F108+'Design Calculator'!F109+'Design Calculator'!F110)/('Design Calculator'!F109+'Design Calculator'!F110)</f>
        <v>8.8923076923076909</v>
      </c>
      <c r="G79" s="13"/>
    </row>
    <row r="80" spans="2:12" x14ac:dyDescent="0.25">
      <c r="E80" s="185" t="s">
        <v>350</v>
      </c>
      <c r="F80" s="13">
        <f>1.3*('Design Calculator'!F108+'Design Calculator'!F109+'Design Calculator'!F110)/('Design Calculator'!F109+'Design Calculator'!F110)</f>
        <v>9.6333333333333329</v>
      </c>
      <c r="G80" s="13"/>
    </row>
    <row r="81" spans="2:7" x14ac:dyDescent="0.25">
      <c r="E81" s="185" t="s">
        <v>351</v>
      </c>
      <c r="F81" s="13">
        <f>1.4*('Design Calculator'!F108+'Design Calculator'!F109+'Design Calculator'!F110)/('Design Calculator'!F109+'Design Calculator'!F110)</f>
        <v>10.374358974358973</v>
      </c>
      <c r="G81" s="13"/>
    </row>
    <row r="82" spans="2:7" x14ac:dyDescent="0.25">
      <c r="B82" s="8"/>
      <c r="C82" s="9"/>
      <c r="D82" s="9"/>
      <c r="E82" s="215" t="s">
        <v>352</v>
      </c>
      <c r="F82" s="13">
        <f>1.25*('Design Calculator'!F$108+'Design Calculator'!F$109+'Design Calculator'!F$110)/'Design Calculator'!F$110</f>
        <v>13.018018018018017</v>
      </c>
      <c r="G82" s="13"/>
    </row>
    <row r="83" spans="2:7" x14ac:dyDescent="0.25">
      <c r="B83" s="10"/>
      <c r="C83" s="7"/>
      <c r="D83" s="7"/>
      <c r="E83" s="216" t="s">
        <v>353</v>
      </c>
      <c r="F83" s="13">
        <f>1.35*('Design Calculator'!F$108+'Design Calculator'!F$109+'Design Calculator'!F$110)/'Design Calculator'!F$110</f>
        <v>14.059459459459458</v>
      </c>
      <c r="G83" s="13"/>
    </row>
    <row r="84" spans="2:7" x14ac:dyDescent="0.25">
      <c r="B84" s="11"/>
      <c r="C84" s="12"/>
      <c r="D84" s="12"/>
      <c r="E84" s="217" t="s">
        <v>354</v>
      </c>
      <c r="F84" s="13">
        <f>1.45*('Design Calculator'!F$108+'Design Calculator'!F$109+'Design Calculator'!F$110)/'Design Calculator'!F$110</f>
        <v>15.100900900900896</v>
      </c>
      <c r="G84" s="13"/>
    </row>
    <row r="85" spans="2:7" x14ac:dyDescent="0.25">
      <c r="E85" s="185" t="s">
        <v>355</v>
      </c>
      <c r="F85" s="13">
        <f>1.19*('Design Calculator'!F$108+'Design Calculator'!F$109+'Design Calculator'!F$110)/'Design Calculator'!F$110</f>
        <v>12.39315315315315</v>
      </c>
      <c r="G85" s="13"/>
    </row>
    <row r="86" spans="2:7" x14ac:dyDescent="0.25">
      <c r="E86" s="185" t="s">
        <v>356</v>
      </c>
      <c r="F86" s="13">
        <f>1.29*('Design Calculator'!F$108+'Design Calculator'!F$109+'Design Calculator'!F$110)/'Design Calculator'!F$110</f>
        <v>13.434594594594591</v>
      </c>
      <c r="G86" s="13"/>
    </row>
    <row r="87" spans="2:7" x14ac:dyDescent="0.25">
      <c r="E87" s="185" t="s">
        <v>357</v>
      </c>
      <c r="F87" s="13">
        <f>1.39*('Design Calculator'!F$108+'Design Calculator'!F$109+'Design Calculator'!F$110)/'Design Calculator'!F$110</f>
        <v>14.476036036036032</v>
      </c>
      <c r="G87" s="13"/>
    </row>
    <row r="95" spans="2:7" x14ac:dyDescent="0.25">
      <c r="E95" s="27" t="s">
        <v>79</v>
      </c>
      <c r="F95" s="26" t="e">
        <f>'Design Calculator'!#REF!</f>
        <v>#REF!</v>
      </c>
      <c r="G95" s="26" t="s">
        <v>8</v>
      </c>
    </row>
    <row r="96" spans="2:7" x14ac:dyDescent="0.25">
      <c r="E96" s="27" t="s">
        <v>80</v>
      </c>
      <c r="F96" s="26">
        <f>'Design Calculator'!F28</f>
        <v>12</v>
      </c>
      <c r="G96" s="26" t="s">
        <v>64</v>
      </c>
    </row>
    <row r="97" spans="5:7" ht="12" customHeight="1" x14ac:dyDescent="0.25">
      <c r="E97" s="27" t="s">
        <v>81</v>
      </c>
      <c r="F97" t="e">
        <f>22/F96*F95</f>
        <v>#REF!</v>
      </c>
      <c r="G97" s="26" t="s">
        <v>82</v>
      </c>
    </row>
    <row r="118" spans="3:6" ht="13" x14ac:dyDescent="0.3">
      <c r="C118" s="22" t="s">
        <v>34</v>
      </c>
    </row>
    <row r="119" spans="3:6" x14ac:dyDescent="0.25">
      <c r="E119" s="2" t="s">
        <v>35</v>
      </c>
      <c r="F119" s="227">
        <f>'Design Calculator'!F41</f>
        <v>5</v>
      </c>
    </row>
    <row r="120" spans="3:6" ht="15.5" x14ac:dyDescent="0.4">
      <c r="E120" s="2" t="s">
        <v>36</v>
      </c>
      <c r="F120" s="227">
        <f>'Design Calculator'!F67</f>
        <v>47</v>
      </c>
    </row>
    <row r="121" spans="3:6" x14ac:dyDescent="0.25">
      <c r="E121" s="2" t="s">
        <v>37</v>
      </c>
      <c r="F121" s="227">
        <f>'Design Calculator'!F29</f>
        <v>12.5</v>
      </c>
    </row>
    <row r="123" spans="3:6" x14ac:dyDescent="0.25">
      <c r="E123" s="2" t="s">
        <v>38</v>
      </c>
      <c r="F123" s="13">
        <f>E17</f>
        <v>5.1487218045112781</v>
      </c>
    </row>
    <row r="124" spans="3:6" x14ac:dyDescent="0.25">
      <c r="E124" s="2" t="s">
        <v>39</v>
      </c>
      <c r="F124" s="13">
        <f>E18</f>
        <v>5.5725563909774438</v>
      </c>
    </row>
    <row r="125" spans="3:6" x14ac:dyDescent="0.25">
      <c r="E125" s="2" t="s">
        <v>40</v>
      </c>
      <c r="F125" s="13">
        <f>E19</f>
        <v>5.9963909774436086</v>
      </c>
    </row>
    <row r="127" spans="3:6" x14ac:dyDescent="0.25">
      <c r="E127" s="2" t="s">
        <v>41</v>
      </c>
      <c r="F127" s="5">
        <f>F46</f>
        <v>11.263677811550153</v>
      </c>
    </row>
    <row r="128" spans="3:6" x14ac:dyDescent="0.25">
      <c r="E128" s="2" t="s">
        <v>42</v>
      </c>
      <c r="F128" s="5">
        <f>F47</f>
        <v>14.820628699408095</v>
      </c>
    </row>
    <row r="129" spans="2:25" x14ac:dyDescent="0.25">
      <c r="E129" s="2" t="s">
        <v>43</v>
      </c>
      <c r="F129" s="5">
        <f>F48</f>
        <v>18.377579587266037</v>
      </c>
    </row>
    <row r="134" spans="2:25" x14ac:dyDescent="0.25">
      <c r="D134" t="s">
        <v>44</v>
      </c>
      <c r="E134" s="2"/>
      <c r="I134" t="s">
        <v>45</v>
      </c>
      <c r="N134" t="s">
        <v>60</v>
      </c>
      <c r="R134" s="26" t="s">
        <v>66</v>
      </c>
    </row>
    <row r="135" spans="2:25" x14ac:dyDescent="0.25">
      <c r="D135" t="s">
        <v>46</v>
      </c>
      <c r="I135" t="s">
        <v>47</v>
      </c>
      <c r="N135" t="s">
        <v>52</v>
      </c>
      <c r="R135" s="26" t="s">
        <v>67</v>
      </c>
    </row>
    <row r="136" spans="2:25" x14ac:dyDescent="0.25">
      <c r="B136" s="26" t="s">
        <v>109</v>
      </c>
      <c r="D136" s="229" t="s">
        <v>48</v>
      </c>
      <c r="E136" s="229" t="s">
        <v>49</v>
      </c>
      <c r="F136" s="228" t="s">
        <v>50</v>
      </c>
      <c r="G136" s="229" t="s">
        <v>51</v>
      </c>
      <c r="I136" s="229" t="s">
        <v>48</v>
      </c>
      <c r="J136" s="229" t="s">
        <v>49</v>
      </c>
      <c r="K136" s="229" t="s">
        <v>50</v>
      </c>
      <c r="L136" s="229" t="s">
        <v>51</v>
      </c>
      <c r="N136" t="s">
        <v>53</v>
      </c>
      <c r="R136" s="229" t="s">
        <v>48</v>
      </c>
      <c r="S136" s="21" t="s">
        <v>49</v>
      </c>
      <c r="T136" s="21" t="s">
        <v>50</v>
      </c>
      <c r="U136" s="21" t="s">
        <v>51</v>
      </c>
      <c r="V136" s="161" t="s">
        <v>59</v>
      </c>
      <c r="X136" s="162" t="s">
        <v>254</v>
      </c>
    </row>
    <row r="137" spans="2:25" x14ac:dyDescent="0.25">
      <c r="B137">
        <f>D137*F137</f>
        <v>14.820628699408095</v>
      </c>
      <c r="D137" s="229">
        <v>1</v>
      </c>
      <c r="E137" s="23">
        <f t="shared" ref="E137:E153" si="0">(1-$F$160)*F137</f>
        <v>11.115471524556071</v>
      </c>
      <c r="F137" s="23">
        <f t="shared" ref="F137:F153" si="1">($F$128+(D137-VINMAX)*$E$157/$E$158)/D137</f>
        <v>14.820628699408095</v>
      </c>
      <c r="G137" s="23">
        <f t="shared" ref="G137:G153" si="2">F137*(1+$F$160)</f>
        <v>18.525785874260119</v>
      </c>
      <c r="I137" s="229">
        <v>1</v>
      </c>
      <c r="J137" s="23">
        <f t="shared" ref="J137:J153" si="3">IF(E137&gt;$F$123,$F$123,E137)</f>
        <v>5.1487218045112781</v>
      </c>
      <c r="K137" s="23">
        <f t="shared" ref="K137:K153" si="4">IF(F137&gt;$F$124,$F$124,F137)</f>
        <v>5.5725563909774438</v>
      </c>
      <c r="L137" s="23">
        <f t="shared" ref="L137:L153" si="5">IF(G137&gt;$F$125,$F$125,G137)</f>
        <v>5.9963909774436086</v>
      </c>
      <c r="N137" t="s">
        <v>54</v>
      </c>
      <c r="R137" s="229">
        <v>1</v>
      </c>
      <c r="S137" s="23">
        <f t="shared" ref="S137:S156" si="6">IF($R137&gt;$F$121,0.0000000005,J137)</f>
        <v>5.1487218045112781</v>
      </c>
      <c r="T137" s="23">
        <f t="shared" ref="T137:T156" si="7">IF($R137&gt;$F$121,0.0000000005,K137)</f>
        <v>5.5725563909774438</v>
      </c>
      <c r="U137" s="23">
        <f t="shared" ref="U137:U156" si="8">IF($R137&gt;$F$121,0.0000000005,L137)</f>
        <v>5.9963909774436086</v>
      </c>
      <c r="V137" s="23">
        <f t="shared" ref="V137:V156" si="9">$X$137/R137</f>
        <v>20.47096571301865</v>
      </c>
      <c r="X137">
        <f>SOA!C25</f>
        <v>20.47096571301865</v>
      </c>
      <c r="Y137" s="26" t="s">
        <v>65</v>
      </c>
    </row>
    <row r="138" spans="2:25" x14ac:dyDescent="0.25">
      <c r="B138">
        <f t="shared" ref="B138:B153" si="10">D138*F138</f>
        <v>14.820628699408095</v>
      </c>
      <c r="D138" s="229">
        <v>2</v>
      </c>
      <c r="E138" s="23">
        <f t="shared" si="0"/>
        <v>5.5577357622780355</v>
      </c>
      <c r="F138" s="23">
        <f t="shared" si="1"/>
        <v>7.4103143497040476</v>
      </c>
      <c r="G138" s="23">
        <f t="shared" si="2"/>
        <v>9.2628929371300597</v>
      </c>
      <c r="I138" s="229">
        <v>2</v>
      </c>
      <c r="J138" s="23">
        <f t="shared" si="3"/>
        <v>5.1487218045112781</v>
      </c>
      <c r="K138" s="23">
        <f t="shared" si="4"/>
        <v>5.5725563909774438</v>
      </c>
      <c r="L138" s="23">
        <f t="shared" si="5"/>
        <v>5.9963909774436086</v>
      </c>
      <c r="R138" s="229">
        <v>2</v>
      </c>
      <c r="S138" s="23">
        <f t="shared" si="6"/>
        <v>5.1487218045112781</v>
      </c>
      <c r="T138" s="23">
        <f t="shared" si="7"/>
        <v>5.5725563909774438</v>
      </c>
      <c r="U138" s="23">
        <f t="shared" si="8"/>
        <v>5.9963909774436086</v>
      </c>
      <c r="V138" s="23">
        <f t="shared" si="9"/>
        <v>10.235482856509325</v>
      </c>
    </row>
    <row r="139" spans="2:25" x14ac:dyDescent="0.25">
      <c r="B139">
        <f t="shared" si="10"/>
        <v>14.820628699408095</v>
      </c>
      <c r="D139" s="229">
        <v>3</v>
      </c>
      <c r="E139" s="23">
        <f t="shared" si="0"/>
        <v>3.7051571748520238</v>
      </c>
      <c r="F139" s="23">
        <f t="shared" si="1"/>
        <v>4.940209566469365</v>
      </c>
      <c r="G139" s="23">
        <f t="shared" si="2"/>
        <v>6.1752619580867059</v>
      </c>
      <c r="I139" s="229">
        <v>3</v>
      </c>
      <c r="J139" s="23">
        <f t="shared" si="3"/>
        <v>3.7051571748520238</v>
      </c>
      <c r="K139" s="23">
        <f t="shared" si="4"/>
        <v>4.940209566469365</v>
      </c>
      <c r="L139" s="23">
        <f t="shared" si="5"/>
        <v>5.9963909774436086</v>
      </c>
      <c r="O139" s="230" t="s">
        <v>55</v>
      </c>
      <c r="R139" s="229">
        <v>3</v>
      </c>
      <c r="S139" s="23">
        <f t="shared" si="6"/>
        <v>3.7051571748520238</v>
      </c>
      <c r="T139" s="23">
        <f t="shared" si="7"/>
        <v>4.940209566469365</v>
      </c>
      <c r="U139" s="23">
        <f t="shared" si="8"/>
        <v>5.9963909774436086</v>
      </c>
      <c r="V139" s="23">
        <f t="shared" si="9"/>
        <v>6.8236552376728836</v>
      </c>
    </row>
    <row r="140" spans="2:25" x14ac:dyDescent="0.25">
      <c r="B140">
        <f t="shared" si="10"/>
        <v>14.820628699408095</v>
      </c>
      <c r="D140" s="4">
        <v>4</v>
      </c>
      <c r="E140" s="23">
        <f t="shared" si="0"/>
        <v>2.7788678811390177</v>
      </c>
      <c r="F140" s="23">
        <f t="shared" si="1"/>
        <v>3.7051571748520238</v>
      </c>
      <c r="G140" s="23">
        <f t="shared" si="2"/>
        <v>4.6314464685650298</v>
      </c>
      <c r="I140" s="4">
        <v>4</v>
      </c>
      <c r="J140" s="23">
        <f t="shared" si="3"/>
        <v>2.7788678811390177</v>
      </c>
      <c r="K140" s="23">
        <f t="shared" si="4"/>
        <v>3.7051571748520238</v>
      </c>
      <c r="L140" s="23">
        <f t="shared" si="5"/>
        <v>4.6314464685650298</v>
      </c>
      <c r="N140" s="6" t="s">
        <v>48</v>
      </c>
      <c r="O140" s="24" t="s">
        <v>56</v>
      </c>
      <c r="R140" s="4">
        <v>4</v>
      </c>
      <c r="S140" s="23">
        <f t="shared" si="6"/>
        <v>2.7788678811390177</v>
      </c>
      <c r="T140" s="23">
        <f t="shared" si="7"/>
        <v>3.7051571748520238</v>
      </c>
      <c r="U140" s="23">
        <f t="shared" si="8"/>
        <v>4.6314464685650298</v>
      </c>
      <c r="V140" s="23">
        <f t="shared" si="9"/>
        <v>5.1177414282546625</v>
      </c>
    </row>
    <row r="141" spans="2:25" x14ac:dyDescent="0.25">
      <c r="B141">
        <f t="shared" si="10"/>
        <v>14.820628699408097</v>
      </c>
      <c r="D141" s="4">
        <v>5</v>
      </c>
      <c r="E141" s="23">
        <f t="shared" si="0"/>
        <v>2.2230943049112142</v>
      </c>
      <c r="F141" s="23">
        <f t="shared" si="1"/>
        <v>2.9641257398816192</v>
      </c>
      <c r="G141" s="23">
        <f t="shared" si="2"/>
        <v>3.7051571748520242</v>
      </c>
      <c r="I141" s="4">
        <v>5</v>
      </c>
      <c r="J141" s="23">
        <f t="shared" si="3"/>
        <v>2.2230943049112142</v>
      </c>
      <c r="K141" s="23">
        <f t="shared" si="4"/>
        <v>2.9641257398816192</v>
      </c>
      <c r="L141" s="23">
        <f t="shared" si="5"/>
        <v>3.7051571748520242</v>
      </c>
      <c r="N141" s="4">
        <v>1</v>
      </c>
      <c r="O141" s="4">
        <f>'FET Data'!F41</f>
        <v>20.47096571301865</v>
      </c>
      <c r="P141" t="s">
        <v>57</v>
      </c>
      <c r="R141" s="4">
        <v>5</v>
      </c>
      <c r="S141" s="23">
        <f t="shared" si="6"/>
        <v>2.2230943049112142</v>
      </c>
      <c r="T141" s="23">
        <f t="shared" si="7"/>
        <v>2.9641257398816192</v>
      </c>
      <c r="U141" s="23">
        <f t="shared" si="8"/>
        <v>3.7051571748520242</v>
      </c>
      <c r="V141" s="23">
        <f t="shared" si="9"/>
        <v>4.0941931426037304</v>
      </c>
    </row>
    <row r="142" spans="2:25" x14ac:dyDescent="0.25">
      <c r="B142">
        <f t="shared" si="10"/>
        <v>14.820628699408095</v>
      </c>
      <c r="D142" s="4">
        <v>6</v>
      </c>
      <c r="E142" s="23">
        <f t="shared" si="0"/>
        <v>1.8525785874260119</v>
      </c>
      <c r="F142" s="23">
        <f t="shared" si="1"/>
        <v>2.4701047832346825</v>
      </c>
      <c r="G142" s="23">
        <f t="shared" si="2"/>
        <v>3.0876309790433529</v>
      </c>
      <c r="I142" s="4">
        <v>6</v>
      </c>
      <c r="J142" s="23">
        <f t="shared" si="3"/>
        <v>1.8525785874260119</v>
      </c>
      <c r="K142" s="23">
        <f t="shared" si="4"/>
        <v>2.4701047832346825</v>
      </c>
      <c r="L142" s="23">
        <f t="shared" si="5"/>
        <v>3.0876309790433529</v>
      </c>
      <c r="N142" s="4">
        <v>2</v>
      </c>
      <c r="O142" s="23">
        <f>O145+((O141-O145)*3/7)</f>
        <v>18.5213499308264</v>
      </c>
      <c r="R142" s="4">
        <v>6</v>
      </c>
      <c r="S142" s="23">
        <f t="shared" si="6"/>
        <v>1.8525785874260119</v>
      </c>
      <c r="T142" s="23">
        <f t="shared" si="7"/>
        <v>2.4701047832346825</v>
      </c>
      <c r="U142" s="23">
        <f t="shared" si="8"/>
        <v>3.0876309790433529</v>
      </c>
      <c r="V142" s="23">
        <f t="shared" si="9"/>
        <v>3.4118276188364418</v>
      </c>
    </row>
    <row r="143" spans="2:25" x14ac:dyDescent="0.25">
      <c r="B143">
        <f t="shared" si="10"/>
        <v>14.820628699408097</v>
      </c>
      <c r="D143" s="4">
        <v>7</v>
      </c>
      <c r="E143" s="23">
        <f t="shared" si="0"/>
        <v>1.5879245035080103</v>
      </c>
      <c r="F143" s="23">
        <f t="shared" si="1"/>
        <v>2.1172326713440137</v>
      </c>
      <c r="G143" s="23">
        <f t="shared" si="2"/>
        <v>2.6465408391800169</v>
      </c>
      <c r="I143" s="4">
        <v>7</v>
      </c>
      <c r="J143" s="23">
        <f t="shared" si="3"/>
        <v>1.5879245035080103</v>
      </c>
      <c r="K143" s="23">
        <f t="shared" si="4"/>
        <v>2.1172326713440137</v>
      </c>
      <c r="L143" s="23">
        <f t="shared" si="5"/>
        <v>2.6465408391800169</v>
      </c>
      <c r="N143" s="4">
        <v>3</v>
      </c>
      <c r="O143" s="23">
        <f>O145+((O141-O145)*2/8)</f>
        <v>17.91209499889132</v>
      </c>
      <c r="R143" s="4">
        <v>7</v>
      </c>
      <c r="S143" s="23">
        <f t="shared" si="6"/>
        <v>1.5879245035080103</v>
      </c>
      <c r="T143" s="23">
        <f t="shared" si="7"/>
        <v>2.1172326713440137</v>
      </c>
      <c r="U143" s="23">
        <f t="shared" si="8"/>
        <v>2.6465408391800169</v>
      </c>
      <c r="V143" s="23">
        <f t="shared" si="9"/>
        <v>2.9244236732883784</v>
      </c>
    </row>
    <row r="144" spans="2:25" x14ac:dyDescent="0.25">
      <c r="B144">
        <f t="shared" si="10"/>
        <v>14.820628699408095</v>
      </c>
      <c r="D144" s="4">
        <v>8</v>
      </c>
      <c r="E144" s="23">
        <f t="shared" si="0"/>
        <v>1.3894339405695089</v>
      </c>
      <c r="F144" s="23">
        <f t="shared" si="1"/>
        <v>1.8525785874260119</v>
      </c>
      <c r="G144" s="23">
        <f t="shared" si="2"/>
        <v>2.3157232342825149</v>
      </c>
      <c r="I144" s="4">
        <v>8</v>
      </c>
      <c r="J144" s="23">
        <f t="shared" si="3"/>
        <v>1.3894339405695089</v>
      </c>
      <c r="K144" s="23">
        <f t="shared" si="4"/>
        <v>1.8525785874260119</v>
      </c>
      <c r="L144" s="23">
        <f t="shared" si="5"/>
        <v>2.3157232342825149</v>
      </c>
      <c r="N144" s="4">
        <v>4</v>
      </c>
      <c r="O144" s="23">
        <f>O145+((O141-O145)*1/9)</f>
        <v>17.438230051830704</v>
      </c>
      <c r="R144" s="4">
        <v>8</v>
      </c>
      <c r="S144" s="23">
        <f t="shared" si="6"/>
        <v>1.3894339405695089</v>
      </c>
      <c r="T144" s="23">
        <f t="shared" si="7"/>
        <v>1.8525785874260119</v>
      </c>
      <c r="U144" s="23">
        <f t="shared" si="8"/>
        <v>2.3157232342825149</v>
      </c>
      <c r="V144" s="23">
        <f t="shared" si="9"/>
        <v>2.5588707141273312</v>
      </c>
    </row>
    <row r="145" spans="2:22" x14ac:dyDescent="0.25">
      <c r="B145">
        <f t="shared" si="10"/>
        <v>14.820628699408095</v>
      </c>
      <c r="D145" s="4">
        <v>9</v>
      </c>
      <c r="E145" s="23">
        <f t="shared" si="0"/>
        <v>1.2350523916173413</v>
      </c>
      <c r="F145" s="23">
        <f t="shared" si="1"/>
        <v>1.6467365221564549</v>
      </c>
      <c r="G145" s="23">
        <f t="shared" si="2"/>
        <v>2.0584206526955686</v>
      </c>
      <c r="I145" s="4">
        <v>9</v>
      </c>
      <c r="J145" s="23">
        <f t="shared" si="3"/>
        <v>1.2350523916173413</v>
      </c>
      <c r="K145" s="23">
        <f t="shared" si="4"/>
        <v>1.6467365221564549</v>
      </c>
      <c r="L145" s="23">
        <f t="shared" si="5"/>
        <v>2.0584206526955686</v>
      </c>
      <c r="N145" s="4">
        <v>5</v>
      </c>
      <c r="O145" s="23">
        <f>'FET Data'!F42</f>
        <v>17.059138094182209</v>
      </c>
      <c r="P145" t="s">
        <v>58</v>
      </c>
      <c r="R145" s="4">
        <v>9</v>
      </c>
      <c r="S145" s="23">
        <f t="shared" si="6"/>
        <v>1.2350523916173413</v>
      </c>
      <c r="T145" s="23">
        <f t="shared" si="7"/>
        <v>1.6467365221564549</v>
      </c>
      <c r="U145" s="23">
        <f t="shared" si="8"/>
        <v>2.0584206526955686</v>
      </c>
      <c r="V145" s="23">
        <f t="shared" si="9"/>
        <v>2.2745517458909612</v>
      </c>
    </row>
    <row r="146" spans="2:22" x14ac:dyDescent="0.25">
      <c r="B146">
        <f t="shared" si="10"/>
        <v>14.820628699408097</v>
      </c>
      <c r="D146" s="4">
        <v>10</v>
      </c>
      <c r="E146" s="23">
        <f t="shared" si="0"/>
        <v>1.1115471524556071</v>
      </c>
      <c r="F146" s="23">
        <f t="shared" si="1"/>
        <v>1.4820628699408096</v>
      </c>
      <c r="G146" s="23">
        <f t="shared" si="2"/>
        <v>1.8525785874260121</v>
      </c>
      <c r="I146" s="4">
        <v>10</v>
      </c>
      <c r="J146" s="23">
        <f t="shared" si="3"/>
        <v>1.1115471524556071</v>
      </c>
      <c r="K146" s="23">
        <f t="shared" si="4"/>
        <v>1.4820628699408096</v>
      </c>
      <c r="L146" s="23">
        <f t="shared" si="5"/>
        <v>1.8525785874260121</v>
      </c>
      <c r="N146" s="4">
        <v>6</v>
      </c>
      <c r="O146" s="23">
        <f>O$150+((O$145-O$150)*4/6)</f>
        <v>11.600213904043903</v>
      </c>
      <c r="R146" s="4">
        <v>10</v>
      </c>
      <c r="S146" s="23">
        <f t="shared" si="6"/>
        <v>1.1115471524556071</v>
      </c>
      <c r="T146" s="23">
        <f t="shared" si="7"/>
        <v>1.4820628699408096</v>
      </c>
      <c r="U146" s="23">
        <f t="shared" si="8"/>
        <v>1.8525785874260121</v>
      </c>
      <c r="V146" s="23">
        <f t="shared" si="9"/>
        <v>2.0470965713018652</v>
      </c>
    </row>
    <row r="147" spans="2:22" x14ac:dyDescent="0.25">
      <c r="B147">
        <f t="shared" si="10"/>
        <v>14.820628699408093</v>
      </c>
      <c r="D147" s="4">
        <v>11</v>
      </c>
      <c r="E147" s="23">
        <f t="shared" si="0"/>
        <v>1.0104974113232792</v>
      </c>
      <c r="F147" s="23">
        <f t="shared" si="1"/>
        <v>1.3473298817643722</v>
      </c>
      <c r="G147" s="23">
        <f t="shared" si="2"/>
        <v>1.6841623522054652</v>
      </c>
      <c r="I147" s="4">
        <v>11</v>
      </c>
      <c r="J147" s="23">
        <f t="shared" si="3"/>
        <v>1.0104974113232792</v>
      </c>
      <c r="K147" s="23">
        <f t="shared" si="4"/>
        <v>1.3473298817643722</v>
      </c>
      <c r="L147" s="23">
        <f t="shared" si="5"/>
        <v>1.6841623522054652</v>
      </c>
      <c r="N147" s="4">
        <v>7</v>
      </c>
      <c r="O147" s="23">
        <f>O$150+((O$145-O$150)*3/7)</f>
        <v>7.7009823396593973</v>
      </c>
      <c r="R147" s="4">
        <v>11</v>
      </c>
      <c r="S147" s="23">
        <f t="shared" si="6"/>
        <v>1.0104974113232792</v>
      </c>
      <c r="T147" s="23">
        <f t="shared" si="7"/>
        <v>1.3473298817643722</v>
      </c>
      <c r="U147" s="23">
        <f t="shared" si="8"/>
        <v>1.6841623522054652</v>
      </c>
      <c r="V147" s="23">
        <f t="shared" si="9"/>
        <v>1.8609968830016954</v>
      </c>
    </row>
    <row r="148" spans="2:22" x14ac:dyDescent="0.25">
      <c r="B148">
        <f t="shared" si="10"/>
        <v>14.820628699408095</v>
      </c>
      <c r="D148" s="4">
        <v>12</v>
      </c>
      <c r="E148" s="23">
        <f t="shared" si="0"/>
        <v>0.92628929371300595</v>
      </c>
      <c r="F148" s="23">
        <f t="shared" si="1"/>
        <v>1.2350523916173413</v>
      </c>
      <c r="G148" s="23">
        <f t="shared" si="2"/>
        <v>1.5438154895216765</v>
      </c>
      <c r="I148" s="4">
        <v>12</v>
      </c>
      <c r="J148" s="23">
        <f t="shared" si="3"/>
        <v>0.92628929371300595</v>
      </c>
      <c r="K148" s="23">
        <f t="shared" si="4"/>
        <v>1.2350523916173413</v>
      </c>
      <c r="L148" s="23">
        <f t="shared" si="5"/>
        <v>1.5438154895216765</v>
      </c>
      <c r="N148" s="4">
        <v>8</v>
      </c>
      <c r="O148" s="23">
        <f>O$150+((O$145-O$150)*2/8)</f>
        <v>4.7765586663710184</v>
      </c>
      <c r="R148" s="4">
        <v>12</v>
      </c>
      <c r="S148" s="23">
        <f t="shared" si="6"/>
        <v>0.92628929371300595</v>
      </c>
      <c r="T148" s="23">
        <f t="shared" si="7"/>
        <v>1.2350523916173413</v>
      </c>
      <c r="U148" s="23">
        <f t="shared" si="8"/>
        <v>1.5438154895216765</v>
      </c>
      <c r="V148" s="23">
        <f t="shared" si="9"/>
        <v>1.7059138094182209</v>
      </c>
    </row>
    <row r="149" spans="2:22" x14ac:dyDescent="0.25">
      <c r="B149">
        <f t="shared" si="10"/>
        <v>14.820628699408095</v>
      </c>
      <c r="D149" s="4">
        <v>13</v>
      </c>
      <c r="E149" s="23">
        <f t="shared" si="0"/>
        <v>0.85503627111969782</v>
      </c>
      <c r="F149" s="23">
        <f t="shared" si="1"/>
        <v>1.1400483614929304</v>
      </c>
      <c r="G149" s="23">
        <f t="shared" si="2"/>
        <v>1.4250604518661629</v>
      </c>
      <c r="I149" s="4">
        <v>13</v>
      </c>
      <c r="J149" s="23">
        <f t="shared" si="3"/>
        <v>0.85503627111969782</v>
      </c>
      <c r="K149" s="23">
        <f t="shared" si="4"/>
        <v>1.1400483614929304</v>
      </c>
      <c r="L149" s="23">
        <f t="shared" si="5"/>
        <v>1.4250604518661629</v>
      </c>
      <c r="N149" s="4">
        <v>9</v>
      </c>
      <c r="O149" s="23">
        <f>O$150+((O$145-O$150)*1/9)</f>
        <v>2.5020069204800572</v>
      </c>
      <c r="R149" s="4">
        <v>13</v>
      </c>
      <c r="S149" s="23">
        <f t="shared" si="6"/>
        <v>5.0000000000000003E-10</v>
      </c>
      <c r="T149" s="23">
        <f t="shared" si="7"/>
        <v>5.0000000000000003E-10</v>
      </c>
      <c r="U149" s="23">
        <f t="shared" si="8"/>
        <v>5.0000000000000003E-10</v>
      </c>
      <c r="V149" s="23">
        <f t="shared" si="9"/>
        <v>1.5746896702322037</v>
      </c>
    </row>
    <row r="150" spans="2:22" x14ac:dyDescent="0.25">
      <c r="B150">
        <f t="shared" si="10"/>
        <v>14.820628699408097</v>
      </c>
      <c r="D150" s="4">
        <v>14</v>
      </c>
      <c r="E150" s="23">
        <f t="shared" si="0"/>
        <v>0.79396225175400514</v>
      </c>
      <c r="F150" s="23">
        <f t="shared" si="1"/>
        <v>1.0586163356720069</v>
      </c>
      <c r="G150" s="23">
        <f t="shared" si="2"/>
        <v>1.3232704195900085</v>
      </c>
      <c r="I150" s="4">
        <v>14</v>
      </c>
      <c r="J150" s="23">
        <f t="shared" si="3"/>
        <v>0.79396225175400514</v>
      </c>
      <c r="K150" s="23">
        <f t="shared" si="4"/>
        <v>1.0586163356720069</v>
      </c>
      <c r="L150" s="23">
        <f t="shared" si="5"/>
        <v>1.3232704195900085</v>
      </c>
      <c r="N150" s="4">
        <v>10</v>
      </c>
      <c r="O150" s="23">
        <f>'FET Data'!F43</f>
        <v>0.68236552376728832</v>
      </c>
      <c r="P150" t="s">
        <v>58</v>
      </c>
      <c r="R150" s="4">
        <v>14</v>
      </c>
      <c r="S150" s="23">
        <f t="shared" si="6"/>
        <v>5.0000000000000003E-10</v>
      </c>
      <c r="T150" s="23">
        <f t="shared" si="7"/>
        <v>5.0000000000000003E-10</v>
      </c>
      <c r="U150" s="23">
        <f t="shared" si="8"/>
        <v>5.0000000000000003E-10</v>
      </c>
      <c r="V150" s="23">
        <f t="shared" si="9"/>
        <v>1.4622118366441892</v>
      </c>
    </row>
    <row r="151" spans="2:22" x14ac:dyDescent="0.25">
      <c r="B151">
        <f t="shared" si="10"/>
        <v>14.820628699408095</v>
      </c>
      <c r="D151" s="4">
        <v>15</v>
      </c>
      <c r="E151" s="23">
        <f t="shared" si="0"/>
        <v>0.7410314349704048</v>
      </c>
      <c r="F151" s="23">
        <f t="shared" si="1"/>
        <v>0.98804191329387303</v>
      </c>
      <c r="G151" s="23">
        <f t="shared" si="2"/>
        <v>1.2350523916173413</v>
      </c>
      <c r="I151" s="4">
        <v>15</v>
      </c>
      <c r="J151" s="23">
        <f t="shared" si="3"/>
        <v>0.7410314349704048</v>
      </c>
      <c r="K151" s="23">
        <f t="shared" si="4"/>
        <v>0.98804191329387303</v>
      </c>
      <c r="L151" s="23">
        <f t="shared" si="5"/>
        <v>1.2350523916173413</v>
      </c>
      <c r="N151" s="4">
        <v>11</v>
      </c>
      <c r="O151" s="23">
        <f>O$155+((O$150-O$155)*4/6)</f>
        <v>0.45491034917819223</v>
      </c>
      <c r="R151" s="4">
        <v>15</v>
      </c>
      <c r="S151" s="23">
        <f t="shared" si="6"/>
        <v>5.0000000000000003E-10</v>
      </c>
      <c r="T151" s="23">
        <f t="shared" si="7"/>
        <v>5.0000000000000003E-10</v>
      </c>
      <c r="U151" s="23">
        <f t="shared" si="8"/>
        <v>5.0000000000000003E-10</v>
      </c>
      <c r="V151" s="23">
        <f t="shared" si="9"/>
        <v>1.3647310475345766</v>
      </c>
    </row>
    <row r="152" spans="2:22" x14ac:dyDescent="0.25">
      <c r="B152">
        <f t="shared" si="10"/>
        <v>14.820628699408095</v>
      </c>
      <c r="D152" s="4">
        <v>16</v>
      </c>
      <c r="E152" s="23">
        <f t="shared" si="0"/>
        <v>0.69471697028475443</v>
      </c>
      <c r="F152" s="23">
        <f t="shared" si="1"/>
        <v>0.92628929371300595</v>
      </c>
      <c r="G152" s="23">
        <f t="shared" si="2"/>
        <v>1.1578616171412575</v>
      </c>
      <c r="I152" s="4">
        <v>16</v>
      </c>
      <c r="J152" s="23">
        <f t="shared" si="3"/>
        <v>0.69471697028475443</v>
      </c>
      <c r="K152" s="23">
        <f t="shared" si="4"/>
        <v>0.92628929371300595</v>
      </c>
      <c r="L152" s="23">
        <f t="shared" si="5"/>
        <v>1.1578616171412575</v>
      </c>
      <c r="N152" s="4">
        <v>12</v>
      </c>
      <c r="O152" s="23">
        <f>O$155+((O$150-O$155)*3/7)</f>
        <v>0.29244236732883788</v>
      </c>
      <c r="R152" s="4">
        <v>16</v>
      </c>
      <c r="S152" s="23">
        <f t="shared" si="6"/>
        <v>5.0000000000000003E-10</v>
      </c>
      <c r="T152" s="23">
        <f t="shared" si="7"/>
        <v>5.0000000000000003E-10</v>
      </c>
      <c r="U152" s="23">
        <f t="shared" si="8"/>
        <v>5.0000000000000003E-10</v>
      </c>
      <c r="V152" s="23">
        <f t="shared" si="9"/>
        <v>1.2794353570636656</v>
      </c>
    </row>
    <row r="153" spans="2:22" x14ac:dyDescent="0.25">
      <c r="B153">
        <f t="shared" si="10"/>
        <v>14.820628699408095</v>
      </c>
      <c r="D153" s="4">
        <v>17</v>
      </c>
      <c r="E153" s="23">
        <f t="shared" si="0"/>
        <v>0.65385126615035716</v>
      </c>
      <c r="F153" s="23">
        <f t="shared" si="1"/>
        <v>0.87180168820047621</v>
      </c>
      <c r="G153" s="23">
        <f t="shared" si="2"/>
        <v>1.0897521102505952</v>
      </c>
      <c r="I153" s="4">
        <v>17</v>
      </c>
      <c r="J153" s="23">
        <f t="shared" si="3"/>
        <v>0.65385126615035716</v>
      </c>
      <c r="K153" s="23">
        <f t="shared" si="4"/>
        <v>0.87180168820047621</v>
      </c>
      <c r="L153" s="23">
        <f t="shared" si="5"/>
        <v>1.0897521102505952</v>
      </c>
      <c r="N153" s="4">
        <v>13</v>
      </c>
      <c r="O153" s="23">
        <f>O$155+((O$150-O$155)*2/8)</f>
        <v>0.17059138094182208</v>
      </c>
      <c r="R153" s="4">
        <v>17</v>
      </c>
      <c r="S153" s="23">
        <f t="shared" si="6"/>
        <v>5.0000000000000003E-10</v>
      </c>
      <c r="T153" s="23">
        <f t="shared" si="7"/>
        <v>5.0000000000000003E-10</v>
      </c>
      <c r="U153" s="23">
        <f t="shared" si="8"/>
        <v>5.0000000000000003E-10</v>
      </c>
      <c r="V153" s="23">
        <f t="shared" si="9"/>
        <v>1.2041744537069794</v>
      </c>
    </row>
    <row r="154" spans="2:22" x14ac:dyDescent="0.25">
      <c r="N154" s="4">
        <v>14</v>
      </c>
      <c r="O154" s="23">
        <f>O$155+((O$150-O$155)*1/9)</f>
        <v>7.58183915296987E-2</v>
      </c>
      <c r="R154" s="21">
        <v>18</v>
      </c>
      <c r="S154" s="23">
        <f t="shared" si="6"/>
        <v>5.0000000000000003E-10</v>
      </c>
      <c r="T154" s="23">
        <f t="shared" si="7"/>
        <v>5.0000000000000003E-10</v>
      </c>
      <c r="U154" s="23">
        <f t="shared" si="8"/>
        <v>5.0000000000000003E-10</v>
      </c>
      <c r="V154" s="23">
        <f t="shared" si="9"/>
        <v>1.1372758729454806</v>
      </c>
    </row>
    <row r="155" spans="2:22" x14ac:dyDescent="0.25">
      <c r="D155" s="26" t="s">
        <v>249</v>
      </c>
      <c r="N155" s="4">
        <v>15</v>
      </c>
      <c r="O155" s="23">
        <f>'FET Data'!F44</f>
        <v>0</v>
      </c>
      <c r="P155" t="s">
        <v>58</v>
      </c>
      <c r="R155" s="21">
        <v>19</v>
      </c>
      <c r="S155" s="23">
        <f t="shared" si="6"/>
        <v>5.0000000000000003E-10</v>
      </c>
      <c r="T155" s="23">
        <f t="shared" si="7"/>
        <v>5.0000000000000003E-10</v>
      </c>
      <c r="U155" s="23">
        <f t="shared" si="8"/>
        <v>5.0000000000000003E-10</v>
      </c>
      <c r="V155" s="23">
        <f t="shared" si="9"/>
        <v>1.0774192480536131</v>
      </c>
    </row>
    <row r="156" spans="2:22" x14ac:dyDescent="0.25">
      <c r="N156" s="4">
        <v>16</v>
      </c>
      <c r="O156" s="23">
        <f>O$160+((O$155-O$160)*4/6)</f>
        <v>0</v>
      </c>
      <c r="R156" s="21">
        <v>20</v>
      </c>
      <c r="S156" s="23">
        <f t="shared" si="6"/>
        <v>5.0000000000000003E-10</v>
      </c>
      <c r="T156" s="23">
        <f t="shared" si="7"/>
        <v>5.0000000000000003E-10</v>
      </c>
      <c r="U156" s="23">
        <f t="shared" si="8"/>
        <v>5.0000000000000003E-10</v>
      </c>
      <c r="V156" s="23">
        <f t="shared" si="9"/>
        <v>1.0235482856509326</v>
      </c>
    </row>
    <row r="157" spans="2:22" x14ac:dyDescent="0.25">
      <c r="D157" s="26" t="s">
        <v>250</v>
      </c>
      <c r="E157">
        <v>0</v>
      </c>
      <c r="N157" s="4">
        <v>17</v>
      </c>
      <c r="O157" s="23">
        <f>O$160+((O$155-O$160)*3/7)</f>
        <v>0</v>
      </c>
    </row>
    <row r="158" spans="2:22" x14ac:dyDescent="0.25">
      <c r="D158" s="26" t="s">
        <v>251</v>
      </c>
      <c r="E158">
        <f>RsEFF*0.001</f>
        <v>1.8181818181818182E-3</v>
      </c>
      <c r="N158" s="21">
        <v>18</v>
      </c>
      <c r="O158" s="23">
        <f>O$160+((O$155-O$160)*2/8)</f>
        <v>0</v>
      </c>
    </row>
    <row r="159" spans="2:22" x14ac:dyDescent="0.25">
      <c r="D159" s="26" t="s">
        <v>252</v>
      </c>
      <c r="E159">
        <f>VINMAX</f>
        <v>12.5</v>
      </c>
      <c r="N159" s="21">
        <v>19</v>
      </c>
      <c r="O159" s="23">
        <f>O$160+((O$155-O$160)*1/9)</f>
        <v>0</v>
      </c>
    </row>
    <row r="160" spans="2:22" x14ac:dyDescent="0.25">
      <c r="D160" s="26" t="s">
        <v>253</v>
      </c>
      <c r="E160" s="147"/>
      <c r="F160">
        <v>0.25</v>
      </c>
      <c r="N160" s="21">
        <v>20</v>
      </c>
      <c r="O160" s="23">
        <f>'FET Data'!F45</f>
        <v>0</v>
      </c>
      <c r="P160" t="s">
        <v>58</v>
      </c>
    </row>
    <row r="162" spans="4:4" x14ac:dyDescent="0.25">
      <c r="D162" s="150" t="s">
        <v>222</v>
      </c>
    </row>
  </sheetData>
  <mergeCells count="2">
    <mergeCell ref="D52:G52"/>
    <mergeCell ref="D60:G60"/>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12"/>
  <sheetViews>
    <sheetView workbookViewId="0">
      <selection activeCell="F17" sqref="F17"/>
    </sheetView>
  </sheetViews>
  <sheetFormatPr defaultColWidth="9.1796875" defaultRowHeight="12.5" x14ac:dyDescent="0.25"/>
  <cols>
    <col min="1" max="1" width="11" style="59" customWidth="1"/>
    <col min="2" max="3" width="9.1796875" style="59"/>
    <col min="4" max="5" width="15" style="59" customWidth="1"/>
    <col min="6" max="6" width="15.453125" style="59" customWidth="1"/>
    <col min="7" max="7" width="14.81640625" style="59" customWidth="1"/>
    <col min="8" max="8" width="10.54296875" style="59" customWidth="1"/>
    <col min="9" max="9" width="12.453125" style="59" bestFit="1" customWidth="1"/>
    <col min="10" max="10" width="14.81640625" style="59" customWidth="1"/>
    <col min="11" max="11" width="14.453125" style="59" customWidth="1"/>
    <col min="12" max="12" width="20.81640625" style="59" customWidth="1"/>
    <col min="13" max="13" width="12.54296875" style="59" customWidth="1"/>
    <col min="14" max="14" width="10.1796875" style="59" bestFit="1" customWidth="1"/>
    <col min="15" max="15" width="18.81640625" style="59" customWidth="1"/>
    <col min="16" max="16" width="10.81640625" style="59" customWidth="1"/>
    <col min="17" max="16384" width="9.1796875" style="59"/>
  </cols>
  <sheetData>
    <row r="1" spans="1:24" x14ac:dyDescent="0.25">
      <c r="B1" s="59" t="s">
        <v>109</v>
      </c>
      <c r="C1" s="59" t="s">
        <v>230</v>
      </c>
      <c r="D1" s="59" t="s">
        <v>231</v>
      </c>
      <c r="F1" s="163"/>
      <c r="G1" s="163" t="s">
        <v>232</v>
      </c>
      <c r="H1" s="163" t="s">
        <v>233</v>
      </c>
      <c r="I1" s="163" t="s">
        <v>234</v>
      </c>
      <c r="J1" s="163" t="s">
        <v>235</v>
      </c>
      <c r="K1" s="163"/>
      <c r="L1" s="163" t="s">
        <v>239</v>
      </c>
      <c r="M1" s="163"/>
      <c r="N1" s="163" t="s">
        <v>240</v>
      </c>
      <c r="P1" s="59" t="s">
        <v>263</v>
      </c>
      <c r="Q1" s="59" t="s">
        <v>264</v>
      </c>
    </row>
    <row r="2" spans="1:24" x14ac:dyDescent="0.25">
      <c r="B2" s="153">
        <f>'Design Calculator'!F69</f>
        <v>14.820628699408095</v>
      </c>
      <c r="C2" s="59">
        <f>'Design Calculator'!F47</f>
        <v>5.5725563909774438</v>
      </c>
      <c r="D2" s="59" t="str">
        <f>IF( 'Design Calculator'!F71 = "Constant Current", "CC", "R")</f>
        <v>R</v>
      </c>
      <c r="G2" s="59">
        <f>'Design Calculator'!F72</f>
        <v>4</v>
      </c>
      <c r="H2" s="59">
        <f>'Design Calculator'!F70</f>
        <v>0</v>
      </c>
      <c r="I2" s="59">
        <f>RsEFF</f>
        <v>1.8181818181818181</v>
      </c>
      <c r="J2" s="59">
        <v>0</v>
      </c>
      <c r="L2" s="153">
        <f>J112*1000</f>
        <v>0.11111697099654011</v>
      </c>
      <c r="M2" s="59" t="s">
        <v>8</v>
      </c>
      <c r="N2" s="157">
        <f>MIN(K8:K109)</f>
        <v>0.34107889765904337</v>
      </c>
      <c r="P2" s="59">
        <f>'Device Parmaters'!E30/'Device Parmaters'!D30</f>
        <v>1.3333333333333333</v>
      </c>
      <c r="Q2" s="59">
        <f>'Device Parmaters'!C30/'Device Parmaters'!D30</f>
        <v>0.66666666666666663</v>
      </c>
    </row>
    <row r="3" spans="1:24" x14ac:dyDescent="0.25">
      <c r="B3" s="153"/>
      <c r="L3" s="153"/>
      <c r="N3" s="157"/>
    </row>
    <row r="4" spans="1:24" x14ac:dyDescent="0.25">
      <c r="B4" s="153"/>
      <c r="L4" s="153"/>
      <c r="N4" s="157"/>
      <c r="O4" s="59" t="s">
        <v>265</v>
      </c>
      <c r="P4" s="59">
        <f>MAX(N8:N112)</f>
        <v>14.820628699408097</v>
      </c>
      <c r="Q4" s="59" t="s">
        <v>65</v>
      </c>
    </row>
    <row r="5" spans="1:24" x14ac:dyDescent="0.25">
      <c r="B5" s="153"/>
      <c r="L5" s="59" t="s">
        <v>259</v>
      </c>
      <c r="M5" s="59">
        <f>SUM(M8:M112)</f>
        <v>1.5690724118484548E-3</v>
      </c>
      <c r="N5" s="157" t="s">
        <v>260</v>
      </c>
    </row>
    <row r="7" spans="1:24" ht="13" x14ac:dyDescent="0.3">
      <c r="A7" s="154" t="s">
        <v>130</v>
      </c>
      <c r="B7" s="155" t="s">
        <v>103</v>
      </c>
      <c r="C7" s="155" t="s">
        <v>104</v>
      </c>
      <c r="D7" s="155" t="s">
        <v>109</v>
      </c>
      <c r="E7" s="155" t="s">
        <v>257</v>
      </c>
      <c r="F7" s="155"/>
      <c r="G7" s="155" t="s">
        <v>237</v>
      </c>
      <c r="H7" s="155" t="s">
        <v>128</v>
      </c>
      <c r="I7" s="155" t="s">
        <v>236</v>
      </c>
      <c r="J7" s="156" t="s">
        <v>117</v>
      </c>
      <c r="K7" s="154" t="s">
        <v>238</v>
      </c>
      <c r="L7" s="154" t="s">
        <v>261</v>
      </c>
      <c r="M7" s="154" t="s">
        <v>272</v>
      </c>
      <c r="N7" s="154" t="s">
        <v>262</v>
      </c>
    </row>
    <row r="8" spans="1:24" x14ac:dyDescent="0.25">
      <c r="A8" s="59">
        <f t="shared" ref="A8:A39" si="0">VINMAX</f>
        <v>12.5</v>
      </c>
      <c r="B8" s="62">
        <f t="shared" ref="B8:B39" si="1">VINMAX*((ROW()-8)/104)</f>
        <v>0</v>
      </c>
      <c r="C8" s="60">
        <f t="shared" ref="C8:C39" si="2">IF(B8&gt;=$H$2,IF($D$2="CC", $G$2, B8/$G$2), 0)</f>
        <v>0</v>
      </c>
      <c r="D8" s="58">
        <f>$B$2-B8*$J$2/($I$2*0.001)</f>
        <v>14.820628699408095</v>
      </c>
      <c r="E8" s="58">
        <f>MIN(D8/(A8-B8),$C$2)</f>
        <v>1.1856502959526476</v>
      </c>
      <c r="F8" s="60"/>
      <c r="G8" s="58">
        <f>E8</f>
        <v>1.1856502959526476</v>
      </c>
      <c r="H8" s="60">
        <f t="shared" ref="H8:H39" si="3">G8-C8</f>
        <v>1.1856502959526476</v>
      </c>
      <c r="I8" s="61">
        <f>(COUTMAX/1000000)*(B8)/H8</f>
        <v>0</v>
      </c>
      <c r="J8" s="68">
        <f>I8</f>
        <v>0</v>
      </c>
      <c r="K8" s="157">
        <f>H8/G8</f>
        <v>1</v>
      </c>
      <c r="L8" s="59">
        <f t="shared" ref="L8:L39" si="4">1/COUTMAX*(E8/2-C8)*1000</f>
        <v>59.282514797632388</v>
      </c>
      <c r="M8" s="59">
        <f>I8*G8*(A8-B8)</f>
        <v>0</v>
      </c>
      <c r="N8" s="59">
        <f>G8*(A8-B8)</f>
        <v>14.820628699408095</v>
      </c>
    </row>
    <row r="9" spans="1:24" x14ac:dyDescent="0.25">
      <c r="A9" s="59">
        <f t="shared" si="0"/>
        <v>12.5</v>
      </c>
      <c r="B9" s="62">
        <f t="shared" si="1"/>
        <v>0.1201923076923077</v>
      </c>
      <c r="C9" s="60">
        <f t="shared" si="2"/>
        <v>3.0048076923076924E-2</v>
      </c>
      <c r="D9" s="58">
        <f t="shared" ref="D9:D39" si="5">$B$2-B9*$J$2/($I$2*0.001)</f>
        <v>14.820628699408095</v>
      </c>
      <c r="E9" s="58">
        <f t="shared" ref="E9:E72" si="6">MIN(D9/(A9-B9),$C$2)</f>
        <v>1.1971614638745181</v>
      </c>
      <c r="F9" s="60"/>
      <c r="G9" s="58">
        <f t="shared" ref="G9:G72" si="7">E9</f>
        <v>1.1971614638745181</v>
      </c>
      <c r="H9" s="60">
        <f t="shared" si="3"/>
        <v>1.1671133869514412</v>
      </c>
      <c r="I9" s="61">
        <f t="shared" ref="I9:I40" si="8">(COUTMAX/1000000)*(B9-B8)/H9</f>
        <v>1.0298254568586181E-6</v>
      </c>
      <c r="J9" s="68">
        <f>J8+I9</f>
        <v>1.0298254568586181E-6</v>
      </c>
      <c r="K9" s="157">
        <f t="shared" ref="K9:K72" si="9">H9/G9</f>
        <v>0.97490056451881713</v>
      </c>
      <c r="L9" s="59">
        <f t="shared" si="4"/>
        <v>56.853265501418221</v>
      </c>
      <c r="M9" s="59">
        <f t="shared" ref="M9:M11" si="10">I9*G9*(A9-B9)</f>
        <v>1.5262660721299887E-5</v>
      </c>
      <c r="N9" s="59">
        <f t="shared" ref="N9:N72" si="11">G9*(A9-B9)</f>
        <v>14.820628699408095</v>
      </c>
    </row>
    <row r="10" spans="1:24" ht="13" x14ac:dyDescent="0.3">
      <c r="A10" s="59">
        <f t="shared" si="0"/>
        <v>12.5</v>
      </c>
      <c r="B10" s="62">
        <f t="shared" si="1"/>
        <v>0.24038461538461539</v>
      </c>
      <c r="C10" s="60">
        <f t="shared" si="2"/>
        <v>6.0096153846153848E-2</v>
      </c>
      <c r="D10" s="58">
        <f t="shared" si="5"/>
        <v>14.820628699408095</v>
      </c>
      <c r="E10" s="58">
        <f t="shared" si="6"/>
        <v>1.208898340971327</v>
      </c>
      <c r="F10" s="60"/>
      <c r="G10" s="58">
        <f t="shared" si="7"/>
        <v>1.208898340971327</v>
      </c>
      <c r="H10" s="60">
        <f t="shared" si="3"/>
        <v>1.1488021871251732</v>
      </c>
      <c r="I10" s="61">
        <f t="shared" si="8"/>
        <v>1.046240240829308E-6</v>
      </c>
      <c r="J10" s="68">
        <f t="shared" ref="J10:J73" si="12">J9+I10</f>
        <v>2.0760656976879262E-6</v>
      </c>
      <c r="K10" s="157">
        <f t="shared" si="9"/>
        <v>0.95028849671688054</v>
      </c>
      <c r="L10" s="59">
        <f t="shared" si="4"/>
        <v>54.435301663950966</v>
      </c>
      <c r="M10" s="59">
        <f>I10*G10*(A10-B10)</f>
        <v>1.5505938139710479E-5</v>
      </c>
      <c r="N10" s="59">
        <f t="shared" si="11"/>
        <v>14.820628699408095</v>
      </c>
      <c r="W10" s="376" t="s">
        <v>105</v>
      </c>
      <c r="X10" s="376"/>
    </row>
    <row r="11" spans="1:24" x14ac:dyDescent="0.25">
      <c r="A11" s="59">
        <f t="shared" si="0"/>
        <v>12.5</v>
      </c>
      <c r="B11" s="62">
        <f t="shared" si="1"/>
        <v>0.36057692307692307</v>
      </c>
      <c r="C11" s="60">
        <f t="shared" si="2"/>
        <v>9.0144230769230768E-2</v>
      </c>
      <c r="D11" s="58">
        <f t="shared" si="5"/>
        <v>14.820628699408095</v>
      </c>
      <c r="E11" s="58">
        <f t="shared" si="6"/>
        <v>1.2208676314759936</v>
      </c>
      <c r="F11" s="60"/>
      <c r="G11" s="58">
        <f t="shared" si="7"/>
        <v>1.2208676314759936</v>
      </c>
      <c r="H11" s="60">
        <f t="shared" si="3"/>
        <v>1.1307234007067628</v>
      </c>
      <c r="I11" s="61">
        <f t="shared" si="8"/>
        <v>1.0629682521576987E-6</v>
      </c>
      <c r="J11" s="68">
        <f t="shared" si="12"/>
        <v>3.1390339498456249E-6</v>
      </c>
      <c r="K11" s="157">
        <f t="shared" si="9"/>
        <v>0.92616379659419013</v>
      </c>
      <c r="L11" s="59">
        <f t="shared" si="4"/>
        <v>52.028958496876612</v>
      </c>
      <c r="M11" s="59">
        <f t="shared" si="10"/>
        <v>1.5753857784488052E-5</v>
      </c>
      <c r="N11" s="59">
        <f t="shared" si="11"/>
        <v>14.820628699408095</v>
      </c>
      <c r="W11" s="63" t="s">
        <v>106</v>
      </c>
      <c r="X11" s="64">
        <v>0.3</v>
      </c>
    </row>
    <row r="12" spans="1:24" x14ac:dyDescent="0.25">
      <c r="A12" s="59">
        <f t="shared" si="0"/>
        <v>12.5</v>
      </c>
      <c r="B12" s="62">
        <f t="shared" si="1"/>
        <v>0.48076923076923078</v>
      </c>
      <c r="C12" s="60">
        <f t="shared" si="2"/>
        <v>0.1201923076923077</v>
      </c>
      <c r="D12" s="58">
        <f t="shared" si="5"/>
        <v>14.820628699408095</v>
      </c>
      <c r="E12" s="58">
        <f t="shared" si="6"/>
        <v>1.2330763077907534</v>
      </c>
      <c r="F12" s="60"/>
      <c r="G12" s="58">
        <f t="shared" si="7"/>
        <v>1.2330763077907534</v>
      </c>
      <c r="H12" s="60">
        <f t="shared" si="3"/>
        <v>1.1128840000984457</v>
      </c>
      <c r="I12" s="61">
        <f t="shared" si="8"/>
        <v>1.0800075091534744E-6</v>
      </c>
      <c r="J12" s="68">
        <f t="shared" si="12"/>
        <v>4.2190414589990991E-6</v>
      </c>
      <c r="K12" s="157">
        <f t="shared" si="9"/>
        <v>0.902526464150746</v>
      </c>
      <c r="L12" s="59">
        <f t="shared" si="4"/>
        <v>49.634584620306896</v>
      </c>
      <c r="M12" s="59">
        <f t="shared" ref="M12:M72" si="13">I12*G12*(A12-B12)</f>
        <v>1.6006390285736233E-5</v>
      </c>
      <c r="N12" s="59">
        <f t="shared" si="11"/>
        <v>14.820628699408095</v>
      </c>
      <c r="W12" s="63" t="s">
        <v>107</v>
      </c>
      <c r="X12" s="64">
        <v>0.3</v>
      </c>
    </row>
    <row r="13" spans="1:24" x14ac:dyDescent="0.25">
      <c r="A13" s="59">
        <f t="shared" si="0"/>
        <v>12.5</v>
      </c>
      <c r="B13" s="62">
        <f t="shared" si="1"/>
        <v>0.60096153846153855</v>
      </c>
      <c r="C13" s="60">
        <f t="shared" si="2"/>
        <v>0.15024038461538464</v>
      </c>
      <c r="D13" s="58">
        <f t="shared" si="5"/>
        <v>14.820628699408095</v>
      </c>
      <c r="E13" s="58">
        <f t="shared" si="6"/>
        <v>1.2455316240310641</v>
      </c>
      <c r="F13" s="60"/>
      <c r="G13" s="58">
        <f t="shared" si="7"/>
        <v>1.2455316240310641</v>
      </c>
      <c r="H13" s="60">
        <f t="shared" si="3"/>
        <v>1.0952912394156795</v>
      </c>
      <c r="I13" s="61">
        <f t="shared" si="8"/>
        <v>1.0973547798704979E-6</v>
      </c>
      <c r="J13" s="68">
        <f t="shared" si="12"/>
        <v>5.3163962388695968E-6</v>
      </c>
      <c r="K13" s="157">
        <f t="shared" si="9"/>
        <v>0.87937649938654827</v>
      </c>
      <c r="L13" s="59">
        <f t="shared" si="4"/>
        <v>47.252542740014746</v>
      </c>
      <c r="M13" s="59">
        <f t="shared" si="13"/>
        <v>1.6263487743981356E-5</v>
      </c>
      <c r="N13" s="59">
        <f t="shared" si="11"/>
        <v>14.820628699408095</v>
      </c>
      <c r="W13" s="63" t="s">
        <v>108</v>
      </c>
      <c r="X13" s="64">
        <f>SQRT(X12^2+X11^2)</f>
        <v>0.42426406871192851</v>
      </c>
    </row>
    <row r="14" spans="1:24" x14ac:dyDescent="0.25">
      <c r="A14" s="59">
        <f t="shared" si="0"/>
        <v>12.5</v>
      </c>
      <c r="B14" s="62">
        <f t="shared" si="1"/>
        <v>0.72115384615384615</v>
      </c>
      <c r="C14" s="60">
        <f t="shared" si="2"/>
        <v>0.18028846153846154</v>
      </c>
      <c r="D14" s="58">
        <f t="shared" si="5"/>
        <v>14.820628699408095</v>
      </c>
      <c r="E14" s="58">
        <f t="shared" si="6"/>
        <v>1.2582411303987282</v>
      </c>
      <c r="F14" s="60"/>
      <c r="G14" s="58">
        <f t="shared" si="7"/>
        <v>1.2582411303987282</v>
      </c>
      <c r="H14" s="60">
        <f t="shared" si="3"/>
        <v>1.0779526688602667</v>
      </c>
      <c r="I14" s="61">
        <f t="shared" si="8"/>
        <v>1.1150054280155777E-6</v>
      </c>
      <c r="J14" s="68">
        <f t="shared" si="12"/>
        <v>6.4314016668851747E-6</v>
      </c>
      <c r="K14" s="157">
        <f t="shared" si="9"/>
        <v>0.85671390230159683</v>
      </c>
      <c r="L14" s="59">
        <f t="shared" si="4"/>
        <v>44.883210366090253</v>
      </c>
      <c r="M14" s="59">
        <f t="shared" si="13"/>
        <v>1.6525081446443477E-5</v>
      </c>
      <c r="N14" s="59">
        <f t="shared" si="11"/>
        <v>14.820628699408095</v>
      </c>
      <c r="W14" s="64"/>
      <c r="X14" s="64"/>
    </row>
    <row r="15" spans="1:24" x14ac:dyDescent="0.25">
      <c r="A15" s="59">
        <f t="shared" si="0"/>
        <v>12.5</v>
      </c>
      <c r="B15" s="62">
        <f t="shared" si="1"/>
        <v>0.84134615384615385</v>
      </c>
      <c r="C15" s="60">
        <f t="shared" si="2"/>
        <v>0.21033653846153846</v>
      </c>
      <c r="D15" s="58">
        <f t="shared" si="5"/>
        <v>14.820628699408095</v>
      </c>
      <c r="E15" s="58">
        <f t="shared" si="6"/>
        <v>1.2712126884440758</v>
      </c>
      <c r="F15" s="60"/>
      <c r="G15" s="58">
        <f t="shared" si="7"/>
        <v>1.2712126884440758</v>
      </c>
      <c r="H15" s="60">
        <f t="shared" si="3"/>
        <v>1.0608761499825372</v>
      </c>
      <c r="I15" s="61">
        <f t="shared" si="8"/>
        <v>1.1329532452424929E-6</v>
      </c>
      <c r="J15" s="68">
        <f t="shared" si="12"/>
        <v>7.5643549121276672E-6</v>
      </c>
      <c r="K15" s="157">
        <f t="shared" si="9"/>
        <v>0.83453867289589134</v>
      </c>
      <c r="L15" s="59">
        <f t="shared" si="4"/>
        <v>42.526980576049951</v>
      </c>
      <c r="M15" s="59">
        <f t="shared" si="13"/>
        <v>1.6791079381528429E-5</v>
      </c>
      <c r="N15" s="59">
        <f t="shared" si="11"/>
        <v>14.820628699408095</v>
      </c>
      <c r="W15" s="63" t="s">
        <v>109</v>
      </c>
      <c r="X15" s="64">
        <v>0.3</v>
      </c>
    </row>
    <row r="16" spans="1:24" x14ac:dyDescent="0.25">
      <c r="A16" s="59">
        <f t="shared" si="0"/>
        <v>12.5</v>
      </c>
      <c r="B16" s="62">
        <f t="shared" si="1"/>
        <v>0.96153846153846156</v>
      </c>
      <c r="C16" s="60">
        <f t="shared" si="2"/>
        <v>0.24038461538461539</v>
      </c>
      <c r="D16" s="58">
        <f t="shared" si="5"/>
        <v>14.820628699408095</v>
      </c>
      <c r="E16" s="58">
        <f t="shared" si="6"/>
        <v>1.2844544872820349</v>
      </c>
      <c r="F16" s="60"/>
      <c r="G16" s="58">
        <f t="shared" si="7"/>
        <v>1.2844544872820349</v>
      </c>
      <c r="H16" s="60">
        <f t="shared" si="3"/>
        <v>1.0440698718974195</v>
      </c>
      <c r="I16" s="61">
        <f t="shared" si="8"/>
        <v>1.1511902692286161E-6</v>
      </c>
      <c r="J16" s="68">
        <f t="shared" si="12"/>
        <v>8.7155451813562842E-6</v>
      </c>
      <c r="K16" s="157">
        <f t="shared" si="9"/>
        <v>0.81285081116943247</v>
      </c>
      <c r="L16" s="59">
        <f t="shared" si="4"/>
        <v>40.184262825640211</v>
      </c>
      <c r="M16" s="59">
        <f t="shared" si="13"/>
        <v>1.7061363542608962E-5</v>
      </c>
      <c r="N16" s="59">
        <f t="shared" si="11"/>
        <v>14.820628699408095</v>
      </c>
      <c r="W16" s="63" t="s">
        <v>110</v>
      </c>
      <c r="X16" s="64">
        <f>MAX(X13:X15)</f>
        <v>0.42426406871192851</v>
      </c>
    </row>
    <row r="17" spans="1:24" x14ac:dyDescent="0.25">
      <c r="A17" s="59">
        <f t="shared" si="0"/>
        <v>12.5</v>
      </c>
      <c r="B17" s="62">
        <f t="shared" si="1"/>
        <v>1.0817307692307692</v>
      </c>
      <c r="C17" s="60">
        <f t="shared" si="2"/>
        <v>0.27043269230769229</v>
      </c>
      <c r="D17" s="58">
        <f t="shared" si="5"/>
        <v>14.820628699408095</v>
      </c>
      <c r="E17" s="58">
        <f t="shared" si="6"/>
        <v>1.2979750608323721</v>
      </c>
      <c r="F17" s="60"/>
      <c r="G17" s="58">
        <f t="shared" si="7"/>
        <v>1.2979750608323721</v>
      </c>
      <c r="H17" s="60">
        <f t="shared" si="3"/>
        <v>1.0275423685246798</v>
      </c>
      <c r="I17" s="61">
        <f t="shared" si="8"/>
        <v>1.1697065870371533E-6</v>
      </c>
      <c r="J17" s="68">
        <f t="shared" si="12"/>
        <v>9.885251768393437E-6</v>
      </c>
      <c r="K17" s="157">
        <f t="shared" si="9"/>
        <v>0.79165031712221978</v>
      </c>
      <c r="L17" s="59">
        <f t="shared" si="4"/>
        <v>37.855483810849385</v>
      </c>
      <c r="M17" s="59">
        <f t="shared" si="13"/>
        <v>1.7335787013729525E-5</v>
      </c>
      <c r="N17" s="59">
        <f t="shared" si="11"/>
        <v>14.820628699408093</v>
      </c>
      <c r="W17" s="64"/>
      <c r="X17" s="64"/>
    </row>
    <row r="18" spans="1:24" x14ac:dyDescent="0.25">
      <c r="A18" s="59">
        <f t="shared" si="0"/>
        <v>12.5</v>
      </c>
      <c r="B18" s="62">
        <f t="shared" si="1"/>
        <v>1.2019230769230771</v>
      </c>
      <c r="C18" s="60">
        <f t="shared" si="2"/>
        <v>0.30048076923076927</v>
      </c>
      <c r="D18" s="58">
        <f t="shared" si="5"/>
        <v>14.820628699408095</v>
      </c>
      <c r="E18" s="58">
        <f t="shared" si="6"/>
        <v>1.3117833061603761</v>
      </c>
      <c r="F18" s="60"/>
      <c r="G18" s="58">
        <f t="shared" si="7"/>
        <v>1.3117833061603761</v>
      </c>
      <c r="H18" s="60">
        <f t="shared" si="3"/>
        <v>1.0113025369296067</v>
      </c>
      <c r="I18" s="61">
        <f t="shared" si="8"/>
        <v>1.1884901234127342E-6</v>
      </c>
      <c r="J18" s="68">
        <f t="shared" si="12"/>
        <v>1.1073741891806171E-5</v>
      </c>
      <c r="K18" s="157">
        <f t="shared" si="9"/>
        <v>0.77093719075425315</v>
      </c>
      <c r="L18" s="59">
        <f t="shared" si="4"/>
        <v>35.541088384941872</v>
      </c>
      <c r="M18" s="59">
        <f t="shared" si="13"/>
        <v>1.761417083201384E-5</v>
      </c>
      <c r="N18" s="59">
        <f t="shared" si="11"/>
        <v>14.820628699408095</v>
      </c>
      <c r="W18" s="63" t="s">
        <v>111</v>
      </c>
      <c r="X18" s="64">
        <v>0.2</v>
      </c>
    </row>
    <row r="19" spans="1:24" x14ac:dyDescent="0.25">
      <c r="A19" s="59">
        <f t="shared" si="0"/>
        <v>12.5</v>
      </c>
      <c r="B19" s="62">
        <f t="shared" si="1"/>
        <v>1.3221153846153846</v>
      </c>
      <c r="C19" s="60">
        <f t="shared" si="2"/>
        <v>0.33052884615384615</v>
      </c>
      <c r="D19" s="58">
        <f t="shared" si="5"/>
        <v>14.820628699408095</v>
      </c>
      <c r="E19" s="58">
        <f t="shared" si="6"/>
        <v>1.3258885030008103</v>
      </c>
      <c r="F19" s="60"/>
      <c r="G19" s="58">
        <f t="shared" si="7"/>
        <v>1.3258885030008103</v>
      </c>
      <c r="H19" s="60">
        <f t="shared" si="3"/>
        <v>0.99535965684696415</v>
      </c>
      <c r="I19" s="61">
        <f t="shared" si="8"/>
        <v>1.2075264138496925E-6</v>
      </c>
      <c r="J19" s="68">
        <f t="shared" si="12"/>
        <v>1.2281268305655864E-5</v>
      </c>
      <c r="K19" s="157">
        <f t="shared" si="9"/>
        <v>0.75071143206553304</v>
      </c>
      <c r="L19" s="59">
        <f t="shared" si="4"/>
        <v>33.241540534655904</v>
      </c>
      <c r="M19" s="59">
        <f t="shared" si="13"/>
        <v>1.7896300624394091E-5</v>
      </c>
      <c r="N19" s="59">
        <f t="shared" si="11"/>
        <v>14.820628699408095</v>
      </c>
      <c r="W19" s="63" t="s">
        <v>112</v>
      </c>
      <c r="X19" s="64">
        <v>0.2</v>
      </c>
    </row>
    <row r="20" spans="1:24" x14ac:dyDescent="0.25">
      <c r="A20" s="59">
        <f t="shared" si="0"/>
        <v>12.5</v>
      </c>
      <c r="B20" s="62">
        <f t="shared" si="1"/>
        <v>1.4423076923076923</v>
      </c>
      <c r="C20" s="60">
        <f t="shared" si="2"/>
        <v>0.36057692307692307</v>
      </c>
      <c r="D20" s="58">
        <f t="shared" si="5"/>
        <v>14.820628699408095</v>
      </c>
      <c r="E20" s="58">
        <f t="shared" si="6"/>
        <v>1.3403003345551667</v>
      </c>
      <c r="F20" s="60"/>
      <c r="G20" s="58">
        <f t="shared" si="7"/>
        <v>1.3403003345551667</v>
      </c>
      <c r="H20" s="60">
        <f t="shared" si="3"/>
        <v>0.9797234114782436</v>
      </c>
      <c r="I20" s="61">
        <f t="shared" si="8"/>
        <v>1.2267983625190402E-6</v>
      </c>
      <c r="J20" s="68">
        <f t="shared" si="12"/>
        <v>1.3508066668174904E-5</v>
      </c>
      <c r="K20" s="157">
        <f t="shared" si="9"/>
        <v>0.73097304105605909</v>
      </c>
      <c r="L20" s="59">
        <f t="shared" si="4"/>
        <v>30.957324420066033</v>
      </c>
      <c r="M20" s="59">
        <f t="shared" si="13"/>
        <v>1.8181923019936546E-5</v>
      </c>
      <c r="N20" s="59">
        <f t="shared" si="11"/>
        <v>14.820628699408095</v>
      </c>
      <c r="W20" s="63" t="s">
        <v>108</v>
      </c>
      <c r="X20" s="64">
        <f>SQRT(X19^2+X18^2)</f>
        <v>0.28284271247461906</v>
      </c>
    </row>
    <row r="21" spans="1:24" x14ac:dyDescent="0.25">
      <c r="A21" s="59">
        <f t="shared" si="0"/>
        <v>12.5</v>
      </c>
      <c r="B21" s="62">
        <f t="shared" si="1"/>
        <v>1.5625</v>
      </c>
      <c r="C21" s="60">
        <f t="shared" si="2"/>
        <v>0.390625</v>
      </c>
      <c r="D21" s="58">
        <f t="shared" si="5"/>
        <v>14.820628699408095</v>
      </c>
      <c r="E21" s="58">
        <f t="shared" si="6"/>
        <v>1.3550289096601686</v>
      </c>
      <c r="F21" s="60"/>
      <c r="G21" s="58">
        <f t="shared" si="7"/>
        <v>1.3550289096601686</v>
      </c>
      <c r="H21" s="60">
        <f t="shared" si="3"/>
        <v>0.96440390966016865</v>
      </c>
      <c r="I21" s="61">
        <f t="shared" si="8"/>
        <v>1.2462859854504366E-6</v>
      </c>
      <c r="J21" s="68">
        <f t="shared" si="12"/>
        <v>1.4754352653625341E-5</v>
      </c>
      <c r="K21" s="157">
        <f t="shared" si="9"/>
        <v>0.71172201772583144</v>
      </c>
      <c r="L21" s="59">
        <f t="shared" si="4"/>
        <v>28.688945483008432</v>
      </c>
      <c r="M21" s="59">
        <f t="shared" si="13"/>
        <v>1.8470741843636841E-5</v>
      </c>
      <c r="N21" s="59">
        <f t="shared" si="11"/>
        <v>14.820628699408095</v>
      </c>
      <c r="W21" s="64"/>
      <c r="X21" s="64"/>
    </row>
    <row r="22" spans="1:24" x14ac:dyDescent="0.25">
      <c r="A22" s="59">
        <f t="shared" si="0"/>
        <v>12.5</v>
      </c>
      <c r="B22" s="62">
        <f t="shared" si="1"/>
        <v>1.6826923076923077</v>
      </c>
      <c r="C22" s="60">
        <f t="shared" si="2"/>
        <v>0.42067307692307693</v>
      </c>
      <c r="D22" s="58">
        <f t="shared" si="5"/>
        <v>14.820628699408095</v>
      </c>
      <c r="E22" s="58">
        <f t="shared" si="6"/>
        <v>1.3700847864341708</v>
      </c>
      <c r="F22" s="60"/>
      <c r="G22" s="58">
        <f t="shared" si="7"/>
        <v>1.3700847864341708</v>
      </c>
      <c r="H22" s="60">
        <f t="shared" si="3"/>
        <v>0.94941170951109388</v>
      </c>
      <c r="I22" s="61">
        <f t="shared" si="8"/>
        <v>1.2659661397498623E-6</v>
      </c>
      <c r="J22" s="68">
        <f t="shared" si="12"/>
        <v>1.6020318793375205E-5</v>
      </c>
      <c r="K22" s="157">
        <f t="shared" si="9"/>
        <v>0.69295836207485018</v>
      </c>
      <c r="L22" s="59">
        <f t="shared" si="4"/>
        <v>26.436931629400849</v>
      </c>
      <c r="M22" s="59">
        <f t="shared" si="13"/>
        <v>1.8762414103255688E-5</v>
      </c>
      <c r="N22" s="59">
        <f t="shared" si="11"/>
        <v>14.820628699408097</v>
      </c>
      <c r="W22" s="63" t="s">
        <v>113</v>
      </c>
      <c r="X22" s="64">
        <f>SQRT(X16^2+X20^2)</f>
        <v>0.50990195135927852</v>
      </c>
    </row>
    <row r="23" spans="1:24" x14ac:dyDescent="0.25">
      <c r="A23" s="59">
        <f t="shared" si="0"/>
        <v>12.5</v>
      </c>
      <c r="B23" s="62">
        <f t="shared" si="1"/>
        <v>1.8028846153846152</v>
      </c>
      <c r="C23" s="60">
        <f t="shared" si="2"/>
        <v>0.4507211538461538</v>
      </c>
      <c r="D23" s="58">
        <f t="shared" si="5"/>
        <v>14.820628699408095</v>
      </c>
      <c r="E23" s="58">
        <f t="shared" si="6"/>
        <v>1.3854789975177004</v>
      </c>
      <c r="F23" s="60"/>
      <c r="G23" s="58">
        <f t="shared" si="7"/>
        <v>1.3854789975177004</v>
      </c>
      <c r="H23" s="60">
        <f t="shared" si="3"/>
        <v>0.93475784367154668</v>
      </c>
      <c r="I23" s="61">
        <f t="shared" si="8"/>
        <v>1.2858122401007681E-6</v>
      </c>
      <c r="J23" s="68">
        <f t="shared" si="12"/>
        <v>1.7306131033475974E-5</v>
      </c>
      <c r="K23" s="157">
        <f t="shared" si="9"/>
        <v>0.67468207410311498</v>
      </c>
      <c r="L23" s="59">
        <f t="shared" si="4"/>
        <v>24.20183449126964</v>
      </c>
      <c r="M23" s="59">
        <f t="shared" si="13"/>
        <v>1.9056545787687657E-5</v>
      </c>
      <c r="N23" s="59">
        <f t="shared" si="11"/>
        <v>14.820628699408093</v>
      </c>
    </row>
    <row r="24" spans="1:24" x14ac:dyDescent="0.25">
      <c r="A24" s="59">
        <f t="shared" si="0"/>
        <v>12.5</v>
      </c>
      <c r="B24" s="62">
        <f t="shared" si="1"/>
        <v>1.9230769230769231</v>
      </c>
      <c r="C24" s="60">
        <f t="shared" si="2"/>
        <v>0.48076923076923078</v>
      </c>
      <c r="D24" s="58">
        <f t="shared" si="5"/>
        <v>14.820628699408095</v>
      </c>
      <c r="E24" s="58">
        <f t="shared" si="6"/>
        <v>1.4012230770349472</v>
      </c>
      <c r="F24" s="60"/>
      <c r="G24" s="58">
        <f t="shared" si="7"/>
        <v>1.4012230770349472</v>
      </c>
      <c r="H24" s="60">
        <f t="shared" si="3"/>
        <v>0.92045384626571636</v>
      </c>
      <c r="I24" s="61">
        <f t="shared" si="8"/>
        <v>1.3057939643571315E-6</v>
      </c>
      <c r="J24" s="68">
        <f t="shared" si="12"/>
        <v>1.8611924997833106E-5</v>
      </c>
      <c r="K24" s="157">
        <f t="shared" si="9"/>
        <v>0.65689315381062607</v>
      </c>
      <c r="L24" s="59">
        <f t="shared" si="4"/>
        <v>21.984230774824283</v>
      </c>
      <c r="M24" s="59">
        <f t="shared" si="13"/>
        <v>1.9352687503665174E-5</v>
      </c>
      <c r="N24" s="59">
        <f t="shared" si="11"/>
        <v>14.820628699408095</v>
      </c>
    </row>
    <row r="25" spans="1:24" x14ac:dyDescent="0.25">
      <c r="A25" s="59">
        <f t="shared" si="0"/>
        <v>12.5</v>
      </c>
      <c r="B25" s="62">
        <f t="shared" si="1"/>
        <v>2.0432692307692308</v>
      </c>
      <c r="C25" s="60">
        <f t="shared" si="2"/>
        <v>0.51081730769230771</v>
      </c>
      <c r="D25" s="58">
        <f t="shared" si="5"/>
        <v>14.820628699408095</v>
      </c>
      <c r="E25" s="58">
        <f t="shared" si="6"/>
        <v>1.4173290894146591</v>
      </c>
      <c r="F25" s="60"/>
      <c r="G25" s="58">
        <f t="shared" si="7"/>
        <v>1.4173290894146591</v>
      </c>
      <c r="H25" s="60">
        <f t="shared" si="3"/>
        <v>0.90651178172235136</v>
      </c>
      <c r="I25" s="61">
        <f t="shared" si="8"/>
        <v>1.3258769506993624E-6</v>
      </c>
      <c r="J25" s="68">
        <f t="shared" si="12"/>
        <v>1.9937801948532468E-5</v>
      </c>
      <c r="K25" s="157">
        <f t="shared" si="9"/>
        <v>0.63959160119738356</v>
      </c>
      <c r="L25" s="59">
        <f t="shared" si="4"/>
        <v>19.784723701502184</v>
      </c>
      <c r="M25" s="59">
        <f t="shared" si="13"/>
        <v>1.965032998741866E-5</v>
      </c>
      <c r="N25" s="59">
        <f t="shared" si="11"/>
        <v>14.820628699408095</v>
      </c>
    </row>
    <row r="26" spans="1:24" x14ac:dyDescent="0.25">
      <c r="A26" s="59">
        <f t="shared" si="0"/>
        <v>12.5</v>
      </c>
      <c r="B26" s="62">
        <f t="shared" si="1"/>
        <v>2.1634615384615383</v>
      </c>
      <c r="C26" s="60">
        <f t="shared" si="2"/>
        <v>0.54086538461538458</v>
      </c>
      <c r="D26" s="58">
        <f t="shared" si="5"/>
        <v>14.820628699408095</v>
      </c>
      <c r="E26" s="58">
        <f t="shared" si="6"/>
        <v>1.4338096602218064</v>
      </c>
      <c r="F26" s="60"/>
      <c r="G26" s="58">
        <f t="shared" si="7"/>
        <v>1.4338096602218064</v>
      </c>
      <c r="H26" s="60">
        <f t="shared" si="3"/>
        <v>0.89294427560642187</v>
      </c>
      <c r="I26" s="61">
        <f t="shared" si="8"/>
        <v>1.3460224895969209E-6</v>
      </c>
      <c r="J26" s="68">
        <f t="shared" si="12"/>
        <v>2.1283824438129388E-5</v>
      </c>
      <c r="K26" s="157">
        <f t="shared" si="9"/>
        <v>0.62277741626338734</v>
      </c>
      <c r="L26" s="59">
        <f t="shared" si="4"/>
        <v>17.603944549551866</v>
      </c>
      <c r="M26" s="59">
        <f t="shared" si="13"/>
        <v>1.9948899539368862E-5</v>
      </c>
      <c r="N26" s="59">
        <f t="shared" si="11"/>
        <v>14.820628699408095</v>
      </c>
    </row>
    <row r="27" spans="1:24" x14ac:dyDescent="0.25">
      <c r="A27" s="59">
        <f t="shared" si="0"/>
        <v>12.5</v>
      </c>
      <c r="B27" s="62">
        <f t="shared" si="1"/>
        <v>2.2836538461538458</v>
      </c>
      <c r="C27" s="60">
        <f t="shared" si="2"/>
        <v>0.57091346153846145</v>
      </c>
      <c r="D27" s="58">
        <f t="shared" si="5"/>
        <v>14.820628699408095</v>
      </c>
      <c r="E27" s="58">
        <f t="shared" si="6"/>
        <v>1.4506780091655924</v>
      </c>
      <c r="F27" s="60"/>
      <c r="G27" s="58">
        <f t="shared" si="7"/>
        <v>1.4506780091655924</v>
      </c>
      <c r="H27" s="60">
        <f t="shared" si="3"/>
        <v>0.87976454762713097</v>
      </c>
      <c r="I27" s="61">
        <f t="shared" si="8"/>
        <v>1.3661872147097293E-6</v>
      </c>
      <c r="J27" s="68">
        <f t="shared" si="12"/>
        <v>2.2650011652839116E-5</v>
      </c>
      <c r="K27" s="157">
        <f t="shared" si="9"/>
        <v>0.60645059900863729</v>
      </c>
      <c r="L27" s="59">
        <f t="shared" si="4"/>
        <v>15.442554304433475</v>
      </c>
      <c r="M27" s="59">
        <f t="shared" si="13"/>
        <v>2.024775344309142E-5</v>
      </c>
      <c r="N27" s="59">
        <f t="shared" si="11"/>
        <v>14.820628699408095</v>
      </c>
    </row>
    <row r="28" spans="1:24" x14ac:dyDescent="0.25">
      <c r="A28" s="59">
        <f t="shared" si="0"/>
        <v>12.5</v>
      </c>
      <c r="B28" s="62">
        <f t="shared" si="1"/>
        <v>2.4038461538461542</v>
      </c>
      <c r="C28" s="60">
        <f t="shared" si="2"/>
        <v>0.60096153846153855</v>
      </c>
      <c r="D28" s="58">
        <f t="shared" si="5"/>
        <v>14.820628699408095</v>
      </c>
      <c r="E28" s="58">
        <f t="shared" si="6"/>
        <v>1.4679479854651827</v>
      </c>
      <c r="F28" s="60"/>
      <c r="G28" s="58">
        <f t="shared" si="7"/>
        <v>1.4679479854651827</v>
      </c>
      <c r="H28" s="60">
        <f t="shared" si="3"/>
        <v>0.86698644700364413</v>
      </c>
      <c r="I28" s="61">
        <f t="shared" si="8"/>
        <v>1.3863227978672567E-6</v>
      </c>
      <c r="J28" s="68">
        <f t="shared" si="12"/>
        <v>2.4036334450706372E-5</v>
      </c>
      <c r="K28" s="157">
        <f t="shared" si="9"/>
        <v>0.59061114943313342</v>
      </c>
      <c r="L28" s="59">
        <f t="shared" si="4"/>
        <v>13.301245427105279</v>
      </c>
      <c r="M28" s="59">
        <f t="shared" si="13"/>
        <v>2.0546175444715192E-5</v>
      </c>
      <c r="N28" s="59">
        <f t="shared" si="11"/>
        <v>14.820628699408095</v>
      </c>
    </row>
    <row r="29" spans="1:24" x14ac:dyDescent="0.25">
      <c r="A29" s="59">
        <f t="shared" si="0"/>
        <v>12.5</v>
      </c>
      <c r="B29" s="62">
        <f t="shared" si="1"/>
        <v>2.5240384615384617</v>
      </c>
      <c r="C29" s="60">
        <f t="shared" si="2"/>
        <v>0.63100961538461542</v>
      </c>
      <c r="D29" s="58">
        <f t="shared" si="5"/>
        <v>14.820628699408095</v>
      </c>
      <c r="E29" s="58">
        <f t="shared" si="6"/>
        <v>1.4856341057719922</v>
      </c>
      <c r="F29" s="60"/>
      <c r="G29" s="58">
        <f t="shared" si="7"/>
        <v>1.4856341057719922</v>
      </c>
      <c r="H29" s="60">
        <f t="shared" si="3"/>
        <v>0.85462449038737676</v>
      </c>
      <c r="I29" s="61">
        <f t="shared" si="8"/>
        <v>1.4063756543862648E-6</v>
      </c>
      <c r="J29" s="68">
        <f t="shared" si="12"/>
        <v>2.5442710105092638E-5</v>
      </c>
      <c r="K29" s="157">
        <f t="shared" si="9"/>
        <v>0.57525906753687595</v>
      </c>
      <c r="L29" s="59">
        <f t="shared" si="4"/>
        <v>11.180743750138069</v>
      </c>
      <c r="M29" s="59">
        <f t="shared" si="13"/>
        <v>2.0843371385545916E-5</v>
      </c>
      <c r="N29" s="59">
        <f t="shared" si="11"/>
        <v>14.820628699408095</v>
      </c>
    </row>
    <row r="30" spans="1:24" x14ac:dyDescent="0.25">
      <c r="A30" s="59">
        <f t="shared" si="0"/>
        <v>12.5</v>
      </c>
      <c r="B30" s="62">
        <f t="shared" si="1"/>
        <v>2.6442307692307692</v>
      </c>
      <c r="C30" s="60">
        <f t="shared" si="2"/>
        <v>0.66105769230769229</v>
      </c>
      <c r="D30" s="58">
        <f t="shared" si="5"/>
        <v>14.820628699408095</v>
      </c>
      <c r="E30" s="58">
        <f t="shared" si="6"/>
        <v>1.5037515948667728</v>
      </c>
      <c r="F30" s="60"/>
      <c r="G30" s="58">
        <f t="shared" si="7"/>
        <v>1.5037515948667728</v>
      </c>
      <c r="H30" s="60">
        <f t="shared" si="3"/>
        <v>0.8426939025590805</v>
      </c>
      <c r="I30" s="61">
        <f t="shared" si="8"/>
        <v>1.4262866662178195E-6</v>
      </c>
      <c r="J30" s="68">
        <f t="shared" si="12"/>
        <v>2.6868996771310457E-5</v>
      </c>
      <c r="K30" s="157">
        <f t="shared" si="9"/>
        <v>0.56039435331986487</v>
      </c>
      <c r="L30" s="59">
        <f t="shared" si="4"/>
        <v>9.0818105125694117</v>
      </c>
      <c r="M30" s="59">
        <f t="shared" si="13"/>
        <v>2.1138465098930912E-5</v>
      </c>
      <c r="N30" s="59">
        <f t="shared" si="11"/>
        <v>14.820628699408095</v>
      </c>
    </row>
    <row r="31" spans="1:24" x14ac:dyDescent="0.25">
      <c r="A31" s="59">
        <f t="shared" si="0"/>
        <v>12.5</v>
      </c>
      <c r="B31" s="62">
        <f t="shared" si="1"/>
        <v>2.7644230769230766</v>
      </c>
      <c r="C31" s="60">
        <f t="shared" si="2"/>
        <v>0.69110576923076916</v>
      </c>
      <c r="D31" s="58">
        <f t="shared" si="5"/>
        <v>14.820628699408095</v>
      </c>
      <c r="E31" s="58">
        <f t="shared" si="6"/>
        <v>1.5223164293713005</v>
      </c>
      <c r="F31" s="60"/>
      <c r="G31" s="58">
        <f t="shared" si="7"/>
        <v>1.5223164293713005</v>
      </c>
      <c r="H31" s="60">
        <f t="shared" si="3"/>
        <v>0.83121066014053135</v>
      </c>
      <c r="I31" s="61">
        <f t="shared" si="8"/>
        <v>1.4459909317330795E-6</v>
      </c>
      <c r="J31" s="68">
        <f t="shared" si="12"/>
        <v>2.8314987703043537E-5</v>
      </c>
      <c r="K31" s="157">
        <f t="shared" si="9"/>
        <v>0.54601700678209986</v>
      </c>
      <c r="L31" s="59">
        <f t="shared" si="4"/>
        <v>7.00524454548811</v>
      </c>
      <c r="M31" s="59">
        <f t="shared" si="13"/>
        <v>2.1430494701927131E-5</v>
      </c>
      <c r="N31" s="59">
        <f t="shared" si="11"/>
        <v>14.820628699408095</v>
      </c>
    </row>
    <row r="32" spans="1:24" x14ac:dyDescent="0.25">
      <c r="A32" s="59">
        <f t="shared" si="0"/>
        <v>12.5</v>
      </c>
      <c r="B32" s="62">
        <f t="shared" si="1"/>
        <v>2.8846153846153846</v>
      </c>
      <c r="C32" s="60">
        <f t="shared" si="2"/>
        <v>0.72115384615384615</v>
      </c>
      <c r="D32" s="58">
        <f t="shared" si="5"/>
        <v>14.820628699408095</v>
      </c>
      <c r="E32" s="58">
        <f t="shared" si="6"/>
        <v>1.541345384738442</v>
      </c>
      <c r="F32" s="60"/>
      <c r="G32" s="58">
        <f t="shared" si="7"/>
        <v>1.541345384738442</v>
      </c>
      <c r="H32" s="60">
        <f t="shared" si="3"/>
        <v>0.82019153858459581</v>
      </c>
      <c r="I32" s="61">
        <f t="shared" si="8"/>
        <v>1.4654175523405639E-6</v>
      </c>
      <c r="J32" s="68">
        <f t="shared" si="12"/>
        <v>2.97804052553841E-5</v>
      </c>
      <c r="K32" s="157">
        <f t="shared" si="9"/>
        <v>0.53212702792358113</v>
      </c>
      <c r="L32" s="59">
        <f t="shared" si="4"/>
        <v>4.9518846215374843</v>
      </c>
      <c r="M32" s="59">
        <f t="shared" si="13"/>
        <v>2.1718409432834924E-5</v>
      </c>
      <c r="N32" s="59">
        <f t="shared" si="11"/>
        <v>14.820628699408095</v>
      </c>
    </row>
    <row r="33" spans="1:14" x14ac:dyDescent="0.25">
      <c r="A33" s="59">
        <f t="shared" si="0"/>
        <v>12.5</v>
      </c>
      <c r="B33" s="62">
        <f t="shared" si="1"/>
        <v>3.0048076923076925</v>
      </c>
      <c r="C33" s="60">
        <f t="shared" si="2"/>
        <v>0.75120192307692313</v>
      </c>
      <c r="D33" s="58">
        <f t="shared" si="5"/>
        <v>14.820628699408095</v>
      </c>
      <c r="E33" s="58">
        <f t="shared" si="6"/>
        <v>1.5608560858110805</v>
      </c>
      <c r="F33" s="60"/>
      <c r="G33" s="58">
        <f t="shared" si="7"/>
        <v>1.5608560858110805</v>
      </c>
      <c r="H33" s="60">
        <f t="shared" si="3"/>
        <v>0.80965416273415736</v>
      </c>
      <c r="I33" s="61">
        <f t="shared" si="8"/>
        <v>1.4844894675329671E-6</v>
      </c>
      <c r="J33" s="68">
        <f t="shared" si="12"/>
        <v>3.126489472291707E-5</v>
      </c>
      <c r="K33" s="157">
        <f t="shared" si="9"/>
        <v>0.51872441674430869</v>
      </c>
      <c r="L33" s="59">
        <f t="shared" si="4"/>
        <v>2.9226119828617114</v>
      </c>
      <c r="M33" s="59">
        <f t="shared" si="13"/>
        <v>2.2001067206488132E-5</v>
      </c>
      <c r="N33" s="59">
        <f t="shared" si="11"/>
        <v>14.820628699408095</v>
      </c>
    </row>
    <row r="34" spans="1:14" x14ac:dyDescent="0.25">
      <c r="A34" s="59">
        <f t="shared" si="0"/>
        <v>12.5</v>
      </c>
      <c r="B34" s="62">
        <f t="shared" si="1"/>
        <v>3.125</v>
      </c>
      <c r="C34" s="60">
        <f t="shared" si="2"/>
        <v>0.78125</v>
      </c>
      <c r="D34" s="58">
        <f t="shared" si="5"/>
        <v>14.820628699408095</v>
      </c>
      <c r="E34" s="58">
        <f t="shared" si="6"/>
        <v>1.5808670612701967</v>
      </c>
      <c r="F34" s="60"/>
      <c r="G34" s="58">
        <f t="shared" si="7"/>
        <v>1.5808670612701967</v>
      </c>
      <c r="H34" s="60">
        <f t="shared" si="3"/>
        <v>0.79961706127019672</v>
      </c>
      <c r="I34" s="61">
        <f t="shared" si="8"/>
        <v>1.5031233513374674E-6</v>
      </c>
      <c r="J34" s="68">
        <f t="shared" si="12"/>
        <v>3.2768018074254538E-5</v>
      </c>
      <c r="K34" s="157">
        <f t="shared" si="9"/>
        <v>0.50580917324428254</v>
      </c>
      <c r="L34" s="59">
        <f t="shared" si="4"/>
        <v>0.91835306350983581</v>
      </c>
      <c r="M34" s="59">
        <f t="shared" si="13"/>
        <v>2.2277233079582545E-5</v>
      </c>
      <c r="N34" s="59">
        <f t="shared" si="11"/>
        <v>14.820628699408093</v>
      </c>
    </row>
    <row r="35" spans="1:14" x14ac:dyDescent="0.25">
      <c r="A35" s="59">
        <f t="shared" si="0"/>
        <v>12.5</v>
      </c>
      <c r="B35" s="62">
        <f t="shared" si="1"/>
        <v>3.2451923076923079</v>
      </c>
      <c r="C35" s="60">
        <f t="shared" si="2"/>
        <v>0.81129807692307698</v>
      </c>
      <c r="D35" s="58">
        <f t="shared" si="5"/>
        <v>14.820628699408095</v>
      </c>
      <c r="E35" s="58">
        <f t="shared" si="6"/>
        <v>1.6013978023256541</v>
      </c>
      <c r="F35" s="60"/>
      <c r="G35" s="58">
        <f t="shared" si="7"/>
        <v>1.6013978023256541</v>
      </c>
      <c r="H35" s="60">
        <f t="shared" si="3"/>
        <v>0.79009972540257711</v>
      </c>
      <c r="I35" s="61">
        <f t="shared" si="8"/>
        <v>1.5212295844181788E-6</v>
      </c>
      <c r="J35" s="68">
        <f t="shared" si="12"/>
        <v>3.4289247658672714E-5</v>
      </c>
      <c r="K35" s="157">
        <f t="shared" si="9"/>
        <v>0.49338129742350267</v>
      </c>
      <c r="L35" s="59">
        <f t="shared" si="4"/>
        <v>-1.0599175760249937</v>
      </c>
      <c r="M35" s="59">
        <f t="shared" si="13"/>
        <v>2.2545578837216712E-5</v>
      </c>
      <c r="N35" s="59">
        <f t="shared" si="11"/>
        <v>14.820628699408095</v>
      </c>
    </row>
    <row r="36" spans="1:14" x14ac:dyDescent="0.25">
      <c r="A36" s="59">
        <f t="shared" si="0"/>
        <v>12.5</v>
      </c>
      <c r="B36" s="62">
        <f t="shared" si="1"/>
        <v>3.3653846153846154</v>
      </c>
      <c r="C36" s="60">
        <f t="shared" si="2"/>
        <v>0.84134615384615385</v>
      </c>
      <c r="D36" s="58">
        <f t="shared" si="5"/>
        <v>14.820628699408095</v>
      </c>
      <c r="E36" s="58">
        <f t="shared" si="6"/>
        <v>1.6224688260404652</v>
      </c>
      <c r="F36" s="60"/>
      <c r="G36" s="58">
        <f t="shared" si="7"/>
        <v>1.6224688260404652</v>
      </c>
      <c r="H36" s="60">
        <f t="shared" si="3"/>
        <v>0.78112267219431131</v>
      </c>
      <c r="I36" s="61">
        <f t="shared" si="8"/>
        <v>1.5387123171660876E-6</v>
      </c>
      <c r="J36" s="68">
        <f t="shared" si="12"/>
        <v>3.5827959975838799E-5</v>
      </c>
      <c r="K36" s="157">
        <f t="shared" si="9"/>
        <v>0.48144078928196904</v>
      </c>
      <c r="L36" s="59">
        <f t="shared" si="4"/>
        <v>-3.0111740825921278</v>
      </c>
      <c r="M36" s="59">
        <f t="shared" si="13"/>
        <v>2.280468392792445E-5</v>
      </c>
      <c r="N36" s="59">
        <f t="shared" si="11"/>
        <v>14.820628699408095</v>
      </c>
    </row>
    <row r="37" spans="1:14" x14ac:dyDescent="0.25">
      <c r="A37" s="59">
        <f t="shared" si="0"/>
        <v>12.5</v>
      </c>
      <c r="B37" s="62">
        <f t="shared" si="1"/>
        <v>3.4855769230769234</v>
      </c>
      <c r="C37" s="60">
        <f t="shared" si="2"/>
        <v>0.87139423076923084</v>
      </c>
      <c r="D37" s="58">
        <f t="shared" si="5"/>
        <v>14.820628699408095</v>
      </c>
      <c r="E37" s="58">
        <f t="shared" si="6"/>
        <v>1.6441017437210048</v>
      </c>
      <c r="F37" s="60"/>
      <c r="G37" s="58">
        <f t="shared" si="7"/>
        <v>1.6441017437210048</v>
      </c>
      <c r="H37" s="60">
        <f t="shared" si="3"/>
        <v>0.77270751295177398</v>
      </c>
      <c r="I37" s="61">
        <f t="shared" si="8"/>
        <v>1.5554696399051236E-6</v>
      </c>
      <c r="J37" s="68">
        <f t="shared" si="12"/>
        <v>3.7383429615743924E-5</v>
      </c>
      <c r="K37" s="157">
        <f t="shared" si="9"/>
        <v>0.46998764881968175</v>
      </c>
      <c r="L37" s="59">
        <f t="shared" si="4"/>
        <v>-4.934335890872843</v>
      </c>
      <c r="M37" s="59">
        <f t="shared" si="13"/>
        <v>2.3053037986235852E-5</v>
      </c>
      <c r="N37" s="59">
        <f t="shared" si="11"/>
        <v>14.820628699408095</v>
      </c>
    </row>
    <row r="38" spans="1:14" x14ac:dyDescent="0.25">
      <c r="A38" s="59">
        <f t="shared" si="0"/>
        <v>12.5</v>
      </c>
      <c r="B38" s="62">
        <f t="shared" si="1"/>
        <v>3.6057692307692304</v>
      </c>
      <c r="C38" s="60">
        <f t="shared" si="2"/>
        <v>0.9014423076923076</v>
      </c>
      <c r="D38" s="58">
        <f t="shared" si="5"/>
        <v>14.820628699408095</v>
      </c>
      <c r="E38" s="58">
        <f t="shared" si="6"/>
        <v>1.6663193348523695</v>
      </c>
      <c r="F38" s="60"/>
      <c r="G38" s="58">
        <f t="shared" si="7"/>
        <v>1.6663193348523695</v>
      </c>
      <c r="H38" s="60">
        <f t="shared" si="3"/>
        <v>0.7648770271600619</v>
      </c>
      <c r="I38" s="61">
        <f t="shared" si="8"/>
        <v>1.5713938767199375E-6</v>
      </c>
      <c r="J38" s="68">
        <f t="shared" si="12"/>
        <v>3.8954823492463863E-5</v>
      </c>
      <c r="K38" s="157">
        <f t="shared" si="9"/>
        <v>0.45902187603664069</v>
      </c>
      <c r="L38" s="59">
        <f t="shared" si="4"/>
        <v>-6.8282640266122856</v>
      </c>
      <c r="M38" s="59">
        <f t="shared" si="13"/>
        <v>2.3289045187389651E-5</v>
      </c>
      <c r="N38" s="59">
        <f t="shared" si="11"/>
        <v>14.820628699408095</v>
      </c>
    </row>
    <row r="39" spans="1:14" x14ac:dyDescent="0.25">
      <c r="A39" s="59">
        <f t="shared" si="0"/>
        <v>12.5</v>
      </c>
      <c r="B39" s="62">
        <f t="shared" si="1"/>
        <v>3.7259615384615383</v>
      </c>
      <c r="C39" s="60">
        <f t="shared" si="2"/>
        <v>0.93149038461538458</v>
      </c>
      <c r="D39" s="58">
        <f t="shared" si="5"/>
        <v>14.820628699408095</v>
      </c>
      <c r="E39" s="58">
        <f t="shared" si="6"/>
        <v>1.6891456271106213</v>
      </c>
      <c r="F39" s="60"/>
      <c r="G39" s="58">
        <f t="shared" si="7"/>
        <v>1.6891456271106213</v>
      </c>
      <c r="H39" s="60">
        <f t="shared" si="3"/>
        <v>0.75765524249523675</v>
      </c>
      <c r="I39" s="61">
        <f t="shared" si="8"/>
        <v>1.5863720192375436E-6</v>
      </c>
      <c r="J39" s="68">
        <f t="shared" si="12"/>
        <v>4.054119551170141E-5</v>
      </c>
      <c r="K39" s="157">
        <f t="shared" si="9"/>
        <v>0.44854347093284591</v>
      </c>
      <c r="L39" s="59">
        <f t="shared" si="4"/>
        <v>-8.6917571060073922</v>
      </c>
      <c r="M39" s="59">
        <f t="shared" si="13"/>
        <v>2.351103067624991E-5</v>
      </c>
      <c r="N39" s="59">
        <f t="shared" si="11"/>
        <v>14.820628699408097</v>
      </c>
    </row>
    <row r="40" spans="1:14" x14ac:dyDescent="0.25">
      <c r="A40" s="59">
        <f t="shared" ref="A40:A71" si="14">VINMAX</f>
        <v>12.5</v>
      </c>
      <c r="B40" s="62">
        <f t="shared" ref="B40:B71" si="15">VINMAX*((ROW()-8)/104)</f>
        <v>3.8461538461538463</v>
      </c>
      <c r="C40" s="60">
        <f t="shared" ref="C40:C71" si="16">IF(B40&gt;=$H$2,IF($D$2="CC", $G$2, B40/$G$2), 0)</f>
        <v>0.96153846153846156</v>
      </c>
      <c r="D40" s="58">
        <f t="shared" ref="D40:D71" si="17">$B$2-B40*$J$2/($I$2*0.001)</f>
        <v>14.820628699408095</v>
      </c>
      <c r="E40" s="58">
        <f t="shared" si="6"/>
        <v>1.7126059830427134</v>
      </c>
      <c r="F40" s="60"/>
      <c r="G40" s="58">
        <f t="shared" si="7"/>
        <v>1.7126059830427134</v>
      </c>
      <c r="H40" s="60">
        <f t="shared" ref="H40:H71" si="18">G40-C40</f>
        <v>0.75106752150425182</v>
      </c>
      <c r="I40" s="61">
        <f t="shared" si="8"/>
        <v>1.6002863158239699E-6</v>
      </c>
      <c r="J40" s="68">
        <f t="shared" si="12"/>
        <v>4.2141481827525376E-5</v>
      </c>
      <c r="K40" s="157">
        <f t="shared" si="9"/>
        <v>0.43855243350829737</v>
      </c>
      <c r="L40" s="59">
        <f t="shared" ref="L40:L71" si="19">1/COUTMAX*(E40/2-C40)*1000</f>
        <v>-10.523547001710487</v>
      </c>
      <c r="M40" s="59">
        <f t="shared" si="13"/>
        <v>2.3717249299570777E-5</v>
      </c>
      <c r="N40" s="59">
        <f t="shared" si="11"/>
        <v>14.820628699408095</v>
      </c>
    </row>
    <row r="41" spans="1:14" x14ac:dyDescent="0.25">
      <c r="A41" s="59">
        <f t="shared" si="14"/>
        <v>12.5</v>
      </c>
      <c r="B41" s="62">
        <f t="shared" si="15"/>
        <v>3.9663461538461537</v>
      </c>
      <c r="C41" s="60">
        <f t="shared" si="16"/>
        <v>0.99158653846153844</v>
      </c>
      <c r="D41" s="58">
        <f t="shared" si="17"/>
        <v>14.820628699408095</v>
      </c>
      <c r="E41" s="58">
        <f t="shared" si="6"/>
        <v>1.7367271940714837</v>
      </c>
      <c r="F41" s="60"/>
      <c r="G41" s="58">
        <f t="shared" si="7"/>
        <v>1.7367271940714837</v>
      </c>
      <c r="H41" s="60">
        <f t="shared" si="18"/>
        <v>0.74514065560994525</v>
      </c>
      <c r="I41" s="61">
        <f t="shared" ref="I41:I72" si="20">(COUTMAX/1000000)*(B41-B40)/H41</f>
        <v>1.6130150299465598E-6</v>
      </c>
      <c r="J41" s="68">
        <f t="shared" si="12"/>
        <v>4.3754496857471935E-5</v>
      </c>
      <c r="K41" s="157">
        <f t="shared" si="9"/>
        <v>0.42904876376299506</v>
      </c>
      <c r="L41" s="59">
        <f t="shared" si="19"/>
        <v>-12.322294142579661</v>
      </c>
      <c r="M41" s="59">
        <f t="shared" si="13"/>
        <v>2.3905896845402592E-5</v>
      </c>
      <c r="N41" s="59">
        <f t="shared" si="11"/>
        <v>14.820628699408095</v>
      </c>
    </row>
    <row r="42" spans="1:14" x14ac:dyDescent="0.25">
      <c r="A42" s="59">
        <f t="shared" si="14"/>
        <v>12.5</v>
      </c>
      <c r="B42" s="62">
        <f t="shared" si="15"/>
        <v>4.0865384615384617</v>
      </c>
      <c r="C42" s="60">
        <f t="shared" si="16"/>
        <v>1.0216346153846154</v>
      </c>
      <c r="D42" s="58">
        <f t="shared" si="17"/>
        <v>14.820628699408095</v>
      </c>
      <c r="E42" s="58">
        <f t="shared" si="6"/>
        <v>1.7615375825582194</v>
      </c>
      <c r="F42" s="60"/>
      <c r="G42" s="58">
        <f t="shared" si="7"/>
        <v>1.7615375825582194</v>
      </c>
      <c r="H42" s="60">
        <f t="shared" si="18"/>
        <v>0.73990296717360393</v>
      </c>
      <c r="I42" s="61">
        <f t="shared" si="20"/>
        <v>1.6244333787636663E-6</v>
      </c>
      <c r="J42" s="68">
        <f t="shared" si="12"/>
        <v>4.5378930236235601E-5</v>
      </c>
      <c r="K42" s="157">
        <f t="shared" si="9"/>
        <v>0.42003246169693909</v>
      </c>
      <c r="L42" s="59">
        <f t="shared" si="19"/>
        <v>-14.086582410550575</v>
      </c>
      <c r="M42" s="59">
        <f t="shared" si="13"/>
        <v>2.4075123953581251E-5</v>
      </c>
      <c r="N42" s="59">
        <f t="shared" si="11"/>
        <v>14.820628699408095</v>
      </c>
    </row>
    <row r="43" spans="1:14" x14ac:dyDescent="0.25">
      <c r="A43" s="59">
        <f t="shared" si="14"/>
        <v>12.5</v>
      </c>
      <c r="B43" s="62">
        <f t="shared" si="15"/>
        <v>4.2067307692307692</v>
      </c>
      <c r="C43" s="60">
        <f t="shared" si="16"/>
        <v>1.0516826923076923</v>
      </c>
      <c r="D43" s="58">
        <f t="shared" si="17"/>
        <v>14.820628699408095</v>
      </c>
      <c r="E43" s="58">
        <f t="shared" si="6"/>
        <v>1.7870671127402227</v>
      </c>
      <c r="F43" s="60"/>
      <c r="G43" s="58">
        <f t="shared" si="7"/>
        <v>1.7870671127402227</v>
      </c>
      <c r="H43" s="60">
        <f t="shared" si="18"/>
        <v>0.73538442043253038</v>
      </c>
      <c r="I43" s="61">
        <f t="shared" si="20"/>
        <v>1.6344146592283545E-6</v>
      </c>
      <c r="J43" s="68">
        <f t="shared" si="12"/>
        <v>4.7013344895463953E-5</v>
      </c>
      <c r="K43" s="157">
        <f t="shared" si="9"/>
        <v>0.41150352731012946</v>
      </c>
      <c r="L43" s="59">
        <f t="shared" si="19"/>
        <v>-15.814913593758094</v>
      </c>
      <c r="M43" s="59">
        <f t="shared" si="13"/>
        <v>2.4223052805293051E-5</v>
      </c>
      <c r="N43" s="59">
        <f t="shared" si="11"/>
        <v>14.820628699408095</v>
      </c>
    </row>
    <row r="44" spans="1:14" x14ac:dyDescent="0.25">
      <c r="A44" s="59">
        <f t="shared" si="14"/>
        <v>12.5</v>
      </c>
      <c r="B44" s="62">
        <f t="shared" si="15"/>
        <v>4.3269230769230766</v>
      </c>
      <c r="C44" s="60">
        <f t="shared" si="16"/>
        <v>1.0817307692307692</v>
      </c>
      <c r="D44" s="58">
        <f t="shared" si="17"/>
        <v>14.820628699408095</v>
      </c>
      <c r="E44" s="58">
        <f t="shared" si="6"/>
        <v>1.8133475114569904</v>
      </c>
      <c r="F44" s="60"/>
      <c r="G44" s="58">
        <f t="shared" si="7"/>
        <v>1.8133475114569904</v>
      </c>
      <c r="H44" s="60">
        <f t="shared" si="18"/>
        <v>0.7316167422262212</v>
      </c>
      <c r="I44" s="61">
        <f t="shared" si="20"/>
        <v>1.6428315640587565E-6</v>
      </c>
      <c r="J44" s="68">
        <f t="shared" si="12"/>
        <v>4.865617645952271E-5</v>
      </c>
      <c r="K44" s="157">
        <f t="shared" si="9"/>
        <v>0.40346196060256589</v>
      </c>
      <c r="L44" s="59">
        <f t="shared" si="19"/>
        <v>-17.505701350227397</v>
      </c>
      <c r="M44" s="59">
        <f t="shared" si="13"/>
        <v>2.4347796626582692E-5</v>
      </c>
      <c r="N44" s="59">
        <f t="shared" si="11"/>
        <v>14.820628699408095</v>
      </c>
    </row>
    <row r="45" spans="1:14" x14ac:dyDescent="0.25">
      <c r="A45" s="59">
        <f t="shared" si="14"/>
        <v>12.5</v>
      </c>
      <c r="B45" s="62">
        <f t="shared" si="15"/>
        <v>4.447115384615385</v>
      </c>
      <c r="C45" s="60">
        <f t="shared" si="16"/>
        <v>1.1117788461538463</v>
      </c>
      <c r="D45" s="58">
        <f t="shared" si="17"/>
        <v>14.820628699408095</v>
      </c>
      <c r="E45" s="58">
        <f t="shared" si="6"/>
        <v>1.840412399687692</v>
      </c>
      <c r="F45" s="60"/>
      <c r="G45" s="58">
        <f t="shared" si="7"/>
        <v>1.840412399687692</v>
      </c>
      <c r="H45" s="60">
        <f t="shared" si="18"/>
        <v>0.72863355353384573</v>
      </c>
      <c r="I45" s="61">
        <f t="shared" si="20"/>
        <v>1.6495576838230981E-6</v>
      </c>
      <c r="J45" s="68">
        <f t="shared" si="12"/>
        <v>5.0305734143345806E-5</v>
      </c>
      <c r="K45" s="157">
        <f t="shared" si="9"/>
        <v>0.39590776157424873</v>
      </c>
      <c r="L45" s="59">
        <f t="shared" si="19"/>
        <v>-19.157264631000025</v>
      </c>
      <c r="M45" s="59">
        <f t="shared" si="13"/>
        <v>2.4447481950197753E-5</v>
      </c>
      <c r="N45" s="59">
        <f t="shared" si="11"/>
        <v>14.820628699408095</v>
      </c>
    </row>
    <row r="46" spans="1:14" x14ac:dyDescent="0.25">
      <c r="A46" s="59">
        <f t="shared" si="14"/>
        <v>12.5</v>
      </c>
      <c r="B46" s="62">
        <f t="shared" si="15"/>
        <v>4.5673076923076916</v>
      </c>
      <c r="C46" s="60">
        <f t="shared" si="16"/>
        <v>1.1418269230769229</v>
      </c>
      <c r="D46" s="58">
        <f t="shared" si="17"/>
        <v>14.820628699408095</v>
      </c>
      <c r="E46" s="58">
        <f t="shared" si="6"/>
        <v>1.868297436046596</v>
      </c>
      <c r="F46" s="60"/>
      <c r="G46" s="58">
        <f t="shared" si="7"/>
        <v>1.868297436046596</v>
      </c>
      <c r="H46" s="60">
        <f t="shared" si="18"/>
        <v>0.72647051296967313</v>
      </c>
      <c r="I46" s="61">
        <f t="shared" si="20"/>
        <v>1.6544691841790433E-6</v>
      </c>
      <c r="J46" s="68">
        <f t="shared" si="12"/>
        <v>5.1960203327524851E-5</v>
      </c>
      <c r="K46" s="157">
        <f t="shared" si="9"/>
        <v>0.38884093022517785</v>
      </c>
      <c r="L46" s="59">
        <f t="shared" si="19"/>
        <v>-20.76782050536249</v>
      </c>
      <c r="M46" s="59">
        <f t="shared" si="13"/>
        <v>2.4520273473330226E-5</v>
      </c>
      <c r="N46" s="59">
        <f t="shared" si="11"/>
        <v>14.820628699408095</v>
      </c>
    </row>
    <row r="47" spans="1:14" x14ac:dyDescent="0.25">
      <c r="A47" s="59">
        <f t="shared" si="14"/>
        <v>12.5</v>
      </c>
      <c r="B47" s="62">
        <f t="shared" si="15"/>
        <v>4.6875</v>
      </c>
      <c r="C47" s="60">
        <f t="shared" si="16"/>
        <v>1.171875</v>
      </c>
      <c r="D47" s="58">
        <f t="shared" si="17"/>
        <v>14.820628699408095</v>
      </c>
      <c r="E47" s="58">
        <f t="shared" si="6"/>
        <v>1.8970404735242361</v>
      </c>
      <c r="F47" s="60"/>
      <c r="G47" s="58">
        <f t="shared" si="7"/>
        <v>1.8970404735242361</v>
      </c>
      <c r="H47" s="60">
        <f t="shared" si="18"/>
        <v>0.7251654735242361</v>
      </c>
      <c r="I47" s="61">
        <f t="shared" si="20"/>
        <v>1.6574466391537516E-6</v>
      </c>
      <c r="J47" s="68">
        <f t="shared" si="12"/>
        <v>5.3617649966678601E-5</v>
      </c>
      <c r="K47" s="157">
        <f t="shared" si="9"/>
        <v>0.38226146655535315</v>
      </c>
      <c r="L47" s="59">
        <f t="shared" si="19"/>
        <v>-22.335476323788196</v>
      </c>
      <c r="M47" s="59">
        <f t="shared" si="13"/>
        <v>2.4564401227979583E-5</v>
      </c>
      <c r="N47" s="59">
        <f t="shared" si="11"/>
        <v>14.820628699408095</v>
      </c>
    </row>
    <row r="48" spans="1:14" x14ac:dyDescent="0.25">
      <c r="A48" s="59">
        <f t="shared" si="14"/>
        <v>12.5</v>
      </c>
      <c r="B48" s="62">
        <f t="shared" si="15"/>
        <v>4.8076923076923084</v>
      </c>
      <c r="C48" s="60">
        <f t="shared" si="16"/>
        <v>1.2019230769230771</v>
      </c>
      <c r="D48" s="58">
        <f t="shared" si="17"/>
        <v>14.820628699408095</v>
      </c>
      <c r="E48" s="58">
        <f t="shared" si="6"/>
        <v>1.9266817309230526</v>
      </c>
      <c r="F48" s="60"/>
      <c r="G48" s="58">
        <f t="shared" si="7"/>
        <v>1.9266817309230526</v>
      </c>
      <c r="H48" s="60">
        <f t="shared" si="18"/>
        <v>0.72475865399997552</v>
      </c>
      <c r="I48" s="61">
        <f t="shared" si="20"/>
        <v>1.6583769925196706E-6</v>
      </c>
      <c r="J48" s="68">
        <f t="shared" si="12"/>
        <v>5.5276026959198272E-5</v>
      </c>
      <c r="K48" s="157">
        <f t="shared" si="9"/>
        <v>0.37616937056477479</v>
      </c>
      <c r="L48" s="59">
        <f t="shared" si="19"/>
        <v>-23.858221146155081</v>
      </c>
      <c r="M48" s="59">
        <f t="shared" si="13"/>
        <v>2.4578189649775116E-5</v>
      </c>
      <c r="N48" s="59">
        <f t="shared" si="11"/>
        <v>14.820628699408095</v>
      </c>
    </row>
    <row r="49" spans="1:14" x14ac:dyDescent="0.25">
      <c r="A49" s="59">
        <f t="shared" si="14"/>
        <v>12.5</v>
      </c>
      <c r="B49" s="62">
        <f t="shared" si="15"/>
        <v>4.927884615384615</v>
      </c>
      <c r="C49" s="60">
        <f t="shared" si="16"/>
        <v>1.2319711538461537</v>
      </c>
      <c r="D49" s="58">
        <f t="shared" si="17"/>
        <v>14.820628699408095</v>
      </c>
      <c r="E49" s="58">
        <f t="shared" si="6"/>
        <v>1.9572639806202436</v>
      </c>
      <c r="F49" s="60"/>
      <c r="G49" s="58">
        <f t="shared" si="7"/>
        <v>1.9572639806202436</v>
      </c>
      <c r="H49" s="60">
        <f t="shared" si="18"/>
        <v>0.7252928267740899</v>
      </c>
      <c r="I49" s="61">
        <f t="shared" si="20"/>
        <v>1.6571556101952658E-6</v>
      </c>
      <c r="J49" s="68">
        <f t="shared" si="12"/>
        <v>5.6933182569393534E-5</v>
      </c>
      <c r="K49" s="157">
        <f t="shared" si="9"/>
        <v>0.37056464225344277</v>
      </c>
      <c r="L49" s="59">
        <f t="shared" si="19"/>
        <v>-25.333916353603193</v>
      </c>
      <c r="M49" s="59">
        <f t="shared" si="13"/>
        <v>2.4560087995845093E-5</v>
      </c>
      <c r="N49" s="59">
        <f t="shared" si="11"/>
        <v>14.820628699408095</v>
      </c>
    </row>
    <row r="50" spans="1:14" x14ac:dyDescent="0.25">
      <c r="A50" s="59">
        <f t="shared" si="14"/>
        <v>12.5</v>
      </c>
      <c r="B50" s="62">
        <f t="shared" si="15"/>
        <v>5.0480769230769234</v>
      </c>
      <c r="C50" s="60">
        <f t="shared" si="16"/>
        <v>1.2620192307692308</v>
      </c>
      <c r="D50" s="58">
        <f t="shared" si="17"/>
        <v>14.820628699408095</v>
      </c>
      <c r="E50" s="58">
        <f t="shared" si="6"/>
        <v>1.9888327545012154</v>
      </c>
      <c r="F50" s="60"/>
      <c r="G50" s="58">
        <f t="shared" si="7"/>
        <v>1.9888327545012154</v>
      </c>
      <c r="H50" s="60">
        <f t="shared" si="18"/>
        <v>0.7268135237319846</v>
      </c>
      <c r="I50" s="61">
        <f t="shared" si="20"/>
        <v>1.6536883776619131E-6</v>
      </c>
      <c r="J50" s="68">
        <f t="shared" si="12"/>
        <v>5.8586870947055447E-5</v>
      </c>
      <c r="K50" s="157">
        <f t="shared" si="9"/>
        <v>0.36544728162135687</v>
      </c>
      <c r="L50" s="59">
        <f t="shared" si="19"/>
        <v>-26.760285351862311</v>
      </c>
      <c r="M50" s="59">
        <f t="shared" si="13"/>
        <v>2.4508701429853765E-5</v>
      </c>
      <c r="N50" s="59">
        <f t="shared" si="11"/>
        <v>14.820628699408095</v>
      </c>
    </row>
    <row r="51" spans="1:14" x14ac:dyDescent="0.25">
      <c r="A51" s="59">
        <f t="shared" si="14"/>
        <v>12.5</v>
      </c>
      <c r="B51" s="62">
        <f t="shared" si="15"/>
        <v>5.1682692307692308</v>
      </c>
      <c r="C51" s="60">
        <f t="shared" si="16"/>
        <v>1.2920673076923077</v>
      </c>
      <c r="D51" s="58">
        <f t="shared" si="17"/>
        <v>14.820628699408095</v>
      </c>
      <c r="E51" s="58">
        <f t="shared" si="6"/>
        <v>2.0214365701487762</v>
      </c>
      <c r="F51" s="60"/>
      <c r="G51" s="58">
        <f t="shared" si="7"/>
        <v>2.0214365701487762</v>
      </c>
      <c r="H51" s="60">
        <f t="shared" si="18"/>
        <v>0.72936926245646849</v>
      </c>
      <c r="I51" s="61">
        <f t="shared" si="20"/>
        <v>1.6478937882233696E-6</v>
      </c>
      <c r="J51" s="68">
        <f t="shared" si="12"/>
        <v>6.0234764735278818E-5</v>
      </c>
      <c r="K51" s="157">
        <f t="shared" si="9"/>
        <v>0.36081728866851731</v>
      </c>
      <c r="L51" s="59">
        <f t="shared" si="19"/>
        <v>-28.134902261791964</v>
      </c>
      <c r="M51" s="59">
        <f t="shared" si="13"/>
        <v>2.4422821971319596E-5</v>
      </c>
      <c r="N51" s="59">
        <f t="shared" si="11"/>
        <v>14.820628699408095</v>
      </c>
    </row>
    <row r="52" spans="1:14" x14ac:dyDescent="0.25">
      <c r="A52" s="59">
        <f t="shared" si="14"/>
        <v>12.5</v>
      </c>
      <c r="B52" s="62">
        <f t="shared" si="15"/>
        <v>5.2884615384615383</v>
      </c>
      <c r="C52" s="60">
        <f t="shared" si="16"/>
        <v>1.3221153846153846</v>
      </c>
      <c r="D52" s="58">
        <f t="shared" si="17"/>
        <v>14.820628699408095</v>
      </c>
      <c r="E52" s="58">
        <f t="shared" si="6"/>
        <v>2.0551271796512558</v>
      </c>
      <c r="F52" s="60"/>
      <c r="G52" s="58">
        <f t="shared" si="7"/>
        <v>2.0551271796512558</v>
      </c>
      <c r="H52" s="60">
        <f t="shared" si="18"/>
        <v>0.73301179503587122</v>
      </c>
      <c r="I52" s="61">
        <f t="shared" si="20"/>
        <v>1.6397049611790446E-6</v>
      </c>
      <c r="J52" s="68">
        <f t="shared" si="12"/>
        <v>6.1874469696457859E-5</v>
      </c>
      <c r="K52" s="157">
        <f t="shared" si="9"/>
        <v>0.35667466339492404</v>
      </c>
      <c r="L52" s="59">
        <f t="shared" si="19"/>
        <v>-29.455179478975669</v>
      </c>
      <c r="M52" s="59">
        <f t="shared" si="13"/>
        <v>2.4301458406211983E-5</v>
      </c>
      <c r="N52" s="59">
        <f t="shared" si="11"/>
        <v>14.820628699408095</v>
      </c>
    </row>
    <row r="53" spans="1:14" x14ac:dyDescent="0.25">
      <c r="A53" s="59">
        <f t="shared" si="14"/>
        <v>12.5</v>
      </c>
      <c r="B53" s="62">
        <f t="shared" si="15"/>
        <v>5.4086538461538467</v>
      </c>
      <c r="C53" s="60">
        <f t="shared" si="16"/>
        <v>1.3521634615384617</v>
      </c>
      <c r="D53" s="58">
        <f t="shared" si="17"/>
        <v>14.820628699408095</v>
      </c>
      <c r="E53" s="58">
        <f t="shared" si="6"/>
        <v>2.0899598437131419</v>
      </c>
      <c r="F53" s="60"/>
      <c r="G53" s="58">
        <f t="shared" si="7"/>
        <v>2.0899598437131419</v>
      </c>
      <c r="H53" s="60">
        <f t="shared" si="18"/>
        <v>0.73779638217468024</v>
      </c>
      <c r="I53" s="61">
        <f t="shared" si="20"/>
        <v>1.6290715242874657E-6</v>
      </c>
      <c r="J53" s="68">
        <f t="shared" si="12"/>
        <v>6.3503541220745322E-5</v>
      </c>
      <c r="K53" s="157">
        <f t="shared" si="9"/>
        <v>0.35301940580057706</v>
      </c>
      <c r="L53" s="59">
        <f t="shared" si="19"/>
        <v>-30.718353968189074</v>
      </c>
      <c r="M53" s="59">
        <f t="shared" si="13"/>
        <v>2.414386418624331E-5</v>
      </c>
      <c r="N53" s="59">
        <f t="shared" si="11"/>
        <v>14.820628699408097</v>
      </c>
    </row>
    <row r="54" spans="1:14" x14ac:dyDescent="0.25">
      <c r="A54" s="59">
        <f t="shared" si="14"/>
        <v>12.5</v>
      </c>
      <c r="B54" s="62">
        <f t="shared" si="15"/>
        <v>5.5288461538461533</v>
      </c>
      <c r="C54" s="60">
        <f t="shared" si="16"/>
        <v>1.3822115384615383</v>
      </c>
      <c r="D54" s="58">
        <f t="shared" si="17"/>
        <v>14.820628699408095</v>
      </c>
      <c r="E54" s="58">
        <f t="shared" si="6"/>
        <v>2.1259936341219885</v>
      </c>
      <c r="F54" s="60"/>
      <c r="G54" s="58">
        <f t="shared" si="7"/>
        <v>2.1259936341219885</v>
      </c>
      <c r="H54" s="60">
        <f t="shared" si="18"/>
        <v>0.74378209566045017</v>
      </c>
      <c r="I54" s="61">
        <f t="shared" si="20"/>
        <v>1.6159612928781301E-6</v>
      </c>
      <c r="J54" s="68">
        <f t="shared" si="12"/>
        <v>6.5119502513623457E-5</v>
      </c>
      <c r="K54" s="157">
        <f t="shared" si="9"/>
        <v>0.34985151588547619</v>
      </c>
      <c r="L54" s="59">
        <f t="shared" si="19"/>
        <v>-31.921472140054412</v>
      </c>
      <c r="M54" s="59">
        <f t="shared" si="13"/>
        <v>2.3949562314362226E-5</v>
      </c>
      <c r="N54" s="59">
        <f t="shared" si="11"/>
        <v>14.820628699408093</v>
      </c>
    </row>
    <row r="55" spans="1:14" x14ac:dyDescent="0.25">
      <c r="A55" s="59">
        <f t="shared" si="14"/>
        <v>12.5</v>
      </c>
      <c r="B55" s="62">
        <f t="shared" si="15"/>
        <v>5.6490384615384617</v>
      </c>
      <c r="C55" s="60">
        <f t="shared" si="16"/>
        <v>1.4122596153846154</v>
      </c>
      <c r="D55" s="58">
        <f t="shared" si="17"/>
        <v>14.820628699408095</v>
      </c>
      <c r="E55" s="58">
        <f t="shared" si="6"/>
        <v>2.1632917680539534</v>
      </c>
      <c r="F55" s="60"/>
      <c r="G55" s="58">
        <f t="shared" si="7"/>
        <v>2.1632917680539534</v>
      </c>
      <c r="H55" s="60">
        <f t="shared" si="18"/>
        <v>0.75103215266933798</v>
      </c>
      <c r="I55" s="61">
        <f t="shared" si="20"/>
        <v>1.6003616791254246E-6</v>
      </c>
      <c r="J55" s="68">
        <f t="shared" si="12"/>
        <v>6.6719864192748879E-5</v>
      </c>
      <c r="K55" s="157">
        <f t="shared" si="9"/>
        <v>0.34717099364962173</v>
      </c>
      <c r="L55" s="59">
        <f t="shared" si="19"/>
        <v>-33.061373135763873</v>
      </c>
      <c r="M55" s="59">
        <f t="shared" si="13"/>
        <v>2.3718366231079197E-5</v>
      </c>
      <c r="N55" s="59">
        <f t="shared" si="11"/>
        <v>14.820628699408093</v>
      </c>
    </row>
    <row r="56" spans="1:14" x14ac:dyDescent="0.25">
      <c r="A56" s="59">
        <f t="shared" si="14"/>
        <v>12.5</v>
      </c>
      <c r="B56" s="62">
        <f t="shared" si="15"/>
        <v>5.7692307692307692</v>
      </c>
      <c r="C56" s="60">
        <f t="shared" si="16"/>
        <v>1.4423076923076923</v>
      </c>
      <c r="D56" s="58">
        <f t="shared" si="17"/>
        <v>14.820628699408095</v>
      </c>
      <c r="E56" s="58">
        <f t="shared" si="6"/>
        <v>2.2019219781977739</v>
      </c>
      <c r="F56" s="60"/>
      <c r="G56" s="58">
        <f t="shared" si="7"/>
        <v>2.2019219781977739</v>
      </c>
      <c r="H56" s="60">
        <f t="shared" si="18"/>
        <v>0.75961428589008162</v>
      </c>
      <c r="I56" s="61">
        <f t="shared" si="20"/>
        <v>1.5822807696602441E-6</v>
      </c>
      <c r="J56" s="68">
        <f t="shared" si="12"/>
        <v>6.8302144962409126E-5</v>
      </c>
      <c r="K56" s="157">
        <f t="shared" si="9"/>
        <v>0.34497783909301349</v>
      </c>
      <c r="L56" s="59">
        <f t="shared" si="19"/>
        <v>-34.134670320880538</v>
      </c>
      <c r="M56" s="59">
        <f t="shared" si="13"/>
        <v>2.3450395785348143E-5</v>
      </c>
      <c r="N56" s="59">
        <f t="shared" si="11"/>
        <v>14.820628699408093</v>
      </c>
    </row>
    <row r="57" spans="1:14" x14ac:dyDescent="0.25">
      <c r="A57" s="59">
        <f t="shared" si="14"/>
        <v>12.5</v>
      </c>
      <c r="B57" s="62">
        <f t="shared" si="15"/>
        <v>5.8894230769230766</v>
      </c>
      <c r="C57" s="60">
        <f t="shared" si="16"/>
        <v>1.4723557692307692</v>
      </c>
      <c r="D57" s="58">
        <f t="shared" si="17"/>
        <v>14.820628699408095</v>
      </c>
      <c r="E57" s="58">
        <f t="shared" si="6"/>
        <v>2.2419569232559153</v>
      </c>
      <c r="F57" s="60"/>
      <c r="G57" s="58">
        <f t="shared" si="7"/>
        <v>2.2419569232559153</v>
      </c>
      <c r="H57" s="60">
        <f t="shared" si="18"/>
        <v>0.76960115402514617</v>
      </c>
      <c r="I57" s="61">
        <f t="shared" si="20"/>
        <v>1.5617480179659437E-6</v>
      </c>
      <c r="J57" s="68">
        <f t="shared" si="12"/>
        <v>6.9863892980375075E-5</v>
      </c>
      <c r="K57" s="157">
        <f t="shared" si="9"/>
        <v>0.3432720522156516</v>
      </c>
      <c r="L57" s="59">
        <f t="shared" si="19"/>
        <v>-35.137730760281151</v>
      </c>
      <c r="M57" s="59">
        <f t="shared" si="13"/>
        <v>2.3146087496309773E-5</v>
      </c>
      <c r="N57" s="59">
        <f t="shared" si="11"/>
        <v>14.820628699408095</v>
      </c>
    </row>
    <row r="58" spans="1:14" x14ac:dyDescent="0.25">
      <c r="A58" s="59">
        <f t="shared" si="14"/>
        <v>12.5</v>
      </c>
      <c r="B58" s="62">
        <f t="shared" si="15"/>
        <v>6.009615384615385</v>
      </c>
      <c r="C58" s="60">
        <f t="shared" si="16"/>
        <v>1.5024038461538463</v>
      </c>
      <c r="D58" s="58">
        <f t="shared" si="17"/>
        <v>14.820628699408095</v>
      </c>
      <c r="E58" s="58">
        <f t="shared" si="6"/>
        <v>2.2834746440569509</v>
      </c>
      <c r="F58" s="60"/>
      <c r="G58" s="58">
        <f t="shared" si="7"/>
        <v>2.2834746440569509</v>
      </c>
      <c r="H58" s="60">
        <f t="shared" si="18"/>
        <v>0.78107079790310463</v>
      </c>
      <c r="I58" s="61">
        <f t="shared" si="20"/>
        <v>1.5388145097087447E-6</v>
      </c>
      <c r="J58" s="68">
        <f t="shared" si="12"/>
        <v>7.1402707490083816E-5</v>
      </c>
      <c r="K58" s="157">
        <f t="shared" si="9"/>
        <v>0.34205363301753589</v>
      </c>
      <c r="L58" s="59">
        <f t="shared" si="19"/>
        <v>-36.066652412537088</v>
      </c>
      <c r="M58" s="59">
        <f t="shared" si="13"/>
        <v>2.2806198485655017E-5</v>
      </c>
      <c r="N58" s="59">
        <f t="shared" si="11"/>
        <v>14.820628699408093</v>
      </c>
    </row>
    <row r="59" spans="1:14" x14ac:dyDescent="0.25">
      <c r="A59" s="59">
        <f t="shared" si="14"/>
        <v>12.5</v>
      </c>
      <c r="B59" s="62">
        <f t="shared" si="15"/>
        <v>6.1298076923076916</v>
      </c>
      <c r="C59" s="60">
        <f t="shared" si="16"/>
        <v>1.5324519230769229</v>
      </c>
      <c r="D59" s="58">
        <f t="shared" si="17"/>
        <v>14.820628699408095</v>
      </c>
      <c r="E59" s="58">
        <f t="shared" si="6"/>
        <v>2.3265590713033082</v>
      </c>
      <c r="F59" s="60"/>
      <c r="G59" s="58">
        <f t="shared" si="7"/>
        <v>2.3265590713033082</v>
      </c>
      <c r="H59" s="60">
        <f t="shared" si="18"/>
        <v>0.79410714822638528</v>
      </c>
      <c r="I59" s="61">
        <f t="shared" si="20"/>
        <v>1.5135527738385502E-6</v>
      </c>
      <c r="J59" s="68">
        <f t="shared" si="12"/>
        <v>7.291626026392237E-5</v>
      </c>
      <c r="K59" s="157">
        <f t="shared" si="9"/>
        <v>0.34132258149866651</v>
      </c>
      <c r="L59" s="59">
        <f t="shared" si="19"/>
        <v>-36.917238742526884</v>
      </c>
      <c r="M59" s="59">
        <f>I59*G59*(A59-B59)</f>
        <v>2.2431803678020346E-5</v>
      </c>
      <c r="N59" s="59">
        <f t="shared" si="11"/>
        <v>14.820628699408095</v>
      </c>
    </row>
    <row r="60" spans="1:14" x14ac:dyDescent="0.25">
      <c r="A60" s="59">
        <f t="shared" si="14"/>
        <v>12.5</v>
      </c>
      <c r="B60" s="62">
        <f t="shared" si="15"/>
        <v>6.25</v>
      </c>
      <c r="C60" s="60">
        <f t="shared" si="16"/>
        <v>1.5625</v>
      </c>
      <c r="D60" s="58">
        <f t="shared" si="17"/>
        <v>14.820628699408095</v>
      </c>
      <c r="E60" s="58">
        <f t="shared" si="6"/>
        <v>2.3713005919052952</v>
      </c>
      <c r="F60" s="60"/>
      <c r="G60" s="58">
        <f t="shared" si="7"/>
        <v>2.3713005919052952</v>
      </c>
      <c r="H60" s="60">
        <f t="shared" si="18"/>
        <v>0.80880059190529519</v>
      </c>
      <c r="I60" s="61">
        <f t="shared" si="20"/>
        <v>1.4860561292267459E-6</v>
      </c>
      <c r="J60" s="68">
        <f t="shared" si="12"/>
        <v>7.4402316393149117E-5</v>
      </c>
      <c r="K60" s="157">
        <f t="shared" si="9"/>
        <v>0.34107889765904337</v>
      </c>
      <c r="L60" s="59">
        <f t="shared" si="19"/>
        <v>-37.684970404735246</v>
      </c>
      <c r="M60" s="59">
        <f t="shared" si="13"/>
        <v>2.2024286117749215E-5</v>
      </c>
      <c r="N60" s="59">
        <f t="shared" si="11"/>
        <v>14.820628699408095</v>
      </c>
    </row>
    <row r="61" spans="1:14" x14ac:dyDescent="0.25">
      <c r="A61" s="59">
        <f t="shared" si="14"/>
        <v>12.5</v>
      </c>
      <c r="B61" s="62">
        <f t="shared" si="15"/>
        <v>6.3701923076923075</v>
      </c>
      <c r="C61" s="60">
        <f t="shared" si="16"/>
        <v>1.5925480769230769</v>
      </c>
      <c r="D61" s="58">
        <f t="shared" si="17"/>
        <v>14.820628699408095</v>
      </c>
      <c r="E61" s="58">
        <f t="shared" si="6"/>
        <v>2.417796681942654</v>
      </c>
      <c r="F61" s="60"/>
      <c r="G61" s="58">
        <f t="shared" si="7"/>
        <v>2.417796681942654</v>
      </c>
      <c r="H61" s="60">
        <f t="shared" si="18"/>
        <v>0.82524860501957709</v>
      </c>
      <c r="I61" s="61">
        <f t="shared" si="20"/>
        <v>1.456437574825785E-6</v>
      </c>
      <c r="J61" s="68">
        <f t="shared" si="12"/>
        <v>7.5858753967974904E-5</v>
      </c>
      <c r="K61" s="157">
        <f t="shared" si="9"/>
        <v>0.34132258149866657</v>
      </c>
      <c r="L61" s="59">
        <f t="shared" si="19"/>
        <v>-38.364973595174988</v>
      </c>
      <c r="M61" s="59">
        <f t="shared" si="13"/>
        <v>2.1585320520359356E-5</v>
      </c>
      <c r="N61" s="59">
        <f t="shared" si="11"/>
        <v>14.820628699408095</v>
      </c>
    </row>
    <row r="62" spans="1:14" x14ac:dyDescent="0.25">
      <c r="A62" s="59">
        <f t="shared" si="14"/>
        <v>12.5</v>
      </c>
      <c r="B62" s="62">
        <f t="shared" si="15"/>
        <v>6.4903846153846159</v>
      </c>
      <c r="C62" s="60">
        <f t="shared" si="16"/>
        <v>1.622596153846154</v>
      </c>
      <c r="D62" s="58">
        <f t="shared" si="17"/>
        <v>14.820628699408095</v>
      </c>
      <c r="E62" s="58">
        <f t="shared" si="6"/>
        <v>2.4661526155815072</v>
      </c>
      <c r="F62" s="60"/>
      <c r="G62" s="58">
        <f t="shared" si="7"/>
        <v>2.4661526155815072</v>
      </c>
      <c r="H62" s="60">
        <f t="shared" si="18"/>
        <v>0.84355646173535326</v>
      </c>
      <c r="I62" s="61">
        <f t="shared" si="20"/>
        <v>1.4248282497303188E-6</v>
      </c>
      <c r="J62" s="68">
        <f t="shared" si="12"/>
        <v>7.7283582217705225E-5</v>
      </c>
      <c r="K62" s="157">
        <f t="shared" si="9"/>
        <v>0.34205363301753594</v>
      </c>
      <c r="L62" s="59">
        <f t="shared" si="19"/>
        <v>-38.951984605540034</v>
      </c>
      <c r="M62" s="59">
        <f t="shared" si="13"/>
        <v>2.1116850449680567E-5</v>
      </c>
      <c r="N62" s="59">
        <f t="shared" si="11"/>
        <v>14.820628699408095</v>
      </c>
    </row>
    <row r="63" spans="1:14" x14ac:dyDescent="0.25">
      <c r="A63" s="59">
        <f t="shared" si="14"/>
        <v>12.5</v>
      </c>
      <c r="B63" s="62">
        <f t="shared" si="15"/>
        <v>6.6105769230769234</v>
      </c>
      <c r="C63" s="60">
        <f t="shared" si="16"/>
        <v>1.6526442307692308</v>
      </c>
      <c r="D63" s="58">
        <f t="shared" si="17"/>
        <v>14.820628699408095</v>
      </c>
      <c r="E63" s="58">
        <f t="shared" si="6"/>
        <v>2.5164822607974564</v>
      </c>
      <c r="F63" s="60"/>
      <c r="G63" s="58">
        <f t="shared" si="7"/>
        <v>2.5164822607974564</v>
      </c>
      <c r="H63" s="60">
        <f t="shared" si="18"/>
        <v>0.86383803002822557</v>
      </c>
      <c r="I63" s="61">
        <f t="shared" si="20"/>
        <v>1.391375506915113E-6</v>
      </c>
      <c r="J63" s="68">
        <f t="shared" si="12"/>
        <v>7.8674957724620339E-5</v>
      </c>
      <c r="K63" s="157">
        <f t="shared" si="9"/>
        <v>0.34327205221565166</v>
      </c>
      <c r="L63" s="59">
        <f t="shared" si="19"/>
        <v>-39.440310037050267</v>
      </c>
      <c r="M63" s="59">
        <f t="shared" si="13"/>
        <v>2.0621059769439613E-5</v>
      </c>
      <c r="N63" s="59">
        <f t="shared" si="11"/>
        <v>14.820628699408095</v>
      </c>
    </row>
    <row r="64" spans="1:14" x14ac:dyDescent="0.25">
      <c r="A64" s="59">
        <f t="shared" si="14"/>
        <v>12.5</v>
      </c>
      <c r="B64" s="62">
        <f t="shared" si="15"/>
        <v>6.7307692307692308</v>
      </c>
      <c r="C64" s="60">
        <f t="shared" si="16"/>
        <v>1.6826923076923077</v>
      </c>
      <c r="D64" s="58">
        <f t="shared" si="17"/>
        <v>14.820628699408095</v>
      </c>
      <c r="E64" s="58">
        <f t="shared" si="6"/>
        <v>2.5689089745640699</v>
      </c>
      <c r="F64" s="60"/>
      <c r="G64" s="58">
        <f t="shared" si="7"/>
        <v>2.5689089745640699</v>
      </c>
      <c r="H64" s="60">
        <f t="shared" si="18"/>
        <v>0.88621666687176215</v>
      </c>
      <c r="I64" s="61">
        <f t="shared" si="20"/>
        <v>1.3562406597087803E-6</v>
      </c>
      <c r="J64" s="68">
        <f t="shared" si="12"/>
        <v>8.0031198384329113E-5</v>
      </c>
      <c r="K64" s="157">
        <f t="shared" si="9"/>
        <v>0.34497783909301355</v>
      </c>
      <c r="L64" s="59">
        <f t="shared" si="19"/>
        <v>-39.823782041027279</v>
      </c>
      <c r="M64" s="59">
        <f t="shared" si="13"/>
        <v>2.0100339244584116E-5</v>
      </c>
      <c r="N64" s="59">
        <f t="shared" si="11"/>
        <v>14.820628699408095</v>
      </c>
    </row>
    <row r="65" spans="1:14" x14ac:dyDescent="0.25">
      <c r="A65" s="59">
        <f t="shared" si="14"/>
        <v>12.5</v>
      </c>
      <c r="B65" s="62">
        <f t="shared" si="15"/>
        <v>6.8509615384615392</v>
      </c>
      <c r="C65" s="60">
        <f t="shared" si="16"/>
        <v>1.7127403846153848</v>
      </c>
      <c r="D65" s="58">
        <f t="shared" si="17"/>
        <v>14.820628699408095</v>
      </c>
      <c r="E65" s="58">
        <f t="shared" si="6"/>
        <v>2.6235666123207526</v>
      </c>
      <c r="F65" s="60"/>
      <c r="G65" s="58">
        <f t="shared" si="7"/>
        <v>2.6235666123207526</v>
      </c>
      <c r="H65" s="60">
        <f t="shared" si="18"/>
        <v>0.91082622770536781</v>
      </c>
      <c r="I65" s="61">
        <f t="shared" si="20"/>
        <v>1.3195964722613143E-6</v>
      </c>
      <c r="J65" s="68">
        <f t="shared" si="12"/>
        <v>8.1350794856590431E-5</v>
      </c>
      <c r="K65" s="157">
        <f t="shared" si="9"/>
        <v>0.34717099364962178</v>
      </c>
      <c r="L65" s="59">
        <f t="shared" si="19"/>
        <v>-40.095707845500854</v>
      </c>
      <c r="M65" s="59">
        <f t="shared" si="13"/>
        <v>1.9557249348433715E-5</v>
      </c>
      <c r="N65" s="59">
        <f t="shared" si="11"/>
        <v>14.820628699408095</v>
      </c>
    </row>
    <row r="66" spans="1:14" x14ac:dyDescent="0.25">
      <c r="A66" s="59">
        <f t="shared" si="14"/>
        <v>12.5</v>
      </c>
      <c r="B66" s="62">
        <f t="shared" si="15"/>
        <v>6.9711538461538467</v>
      </c>
      <c r="C66" s="60">
        <f t="shared" si="16"/>
        <v>1.7427884615384617</v>
      </c>
      <c r="D66" s="58">
        <f t="shared" si="17"/>
        <v>14.820628699408095</v>
      </c>
      <c r="E66" s="58">
        <f t="shared" si="6"/>
        <v>2.6806006691103339</v>
      </c>
      <c r="F66" s="60"/>
      <c r="G66" s="58">
        <f t="shared" si="7"/>
        <v>2.6806006691103339</v>
      </c>
      <c r="H66" s="60">
        <f t="shared" si="18"/>
        <v>0.93781220757187223</v>
      </c>
      <c r="I66" s="61">
        <f t="shared" si="20"/>
        <v>1.2816244736619743E-6</v>
      </c>
      <c r="J66" s="68">
        <f t="shared" si="12"/>
        <v>8.2632419330252411E-5</v>
      </c>
      <c r="K66" s="157">
        <f t="shared" si="9"/>
        <v>0.34985151588547625</v>
      </c>
      <c r="L66" s="59">
        <f t="shared" si="19"/>
        <v>-40.248812698329473</v>
      </c>
      <c r="M66" s="59">
        <f t="shared" si="13"/>
        <v>1.8994480456218452E-5</v>
      </c>
      <c r="N66" s="59">
        <f t="shared" si="11"/>
        <v>14.820628699408095</v>
      </c>
    </row>
    <row r="67" spans="1:14" x14ac:dyDescent="0.25">
      <c r="A67" s="59">
        <f t="shared" si="14"/>
        <v>12.5</v>
      </c>
      <c r="B67" s="62">
        <f t="shared" si="15"/>
        <v>7.0913461538461533</v>
      </c>
      <c r="C67" s="60">
        <f t="shared" si="16"/>
        <v>1.7728365384615383</v>
      </c>
      <c r="D67" s="58">
        <f t="shared" si="17"/>
        <v>14.820628699408095</v>
      </c>
      <c r="E67" s="58">
        <f t="shared" si="6"/>
        <v>2.7401695728683411</v>
      </c>
      <c r="F67" s="60"/>
      <c r="G67" s="58">
        <f t="shared" si="7"/>
        <v>2.7401695728683411</v>
      </c>
      <c r="H67" s="60">
        <f t="shared" si="18"/>
        <v>0.96733303440680274</v>
      </c>
      <c r="I67" s="61">
        <f t="shared" si="20"/>
        <v>1.2425121795412693E-6</v>
      </c>
      <c r="J67" s="68">
        <f t="shared" si="12"/>
        <v>8.3874931509793675E-5</v>
      </c>
      <c r="K67" s="157">
        <f t="shared" si="9"/>
        <v>0.35301940580057706</v>
      </c>
      <c r="L67" s="59">
        <f t="shared" si="19"/>
        <v>-40.275175202736783</v>
      </c>
      <c r="M67" s="59">
        <f t="shared" si="13"/>
        <v>1.841481166747344E-5</v>
      </c>
      <c r="N67" s="59">
        <f t="shared" si="11"/>
        <v>14.820628699408097</v>
      </c>
    </row>
    <row r="68" spans="1:14" x14ac:dyDescent="0.25">
      <c r="A68" s="59">
        <f t="shared" si="14"/>
        <v>12.5</v>
      </c>
      <c r="B68" s="62">
        <f t="shared" si="15"/>
        <v>7.2115384615384608</v>
      </c>
      <c r="C68" s="60">
        <f t="shared" si="16"/>
        <v>1.8028846153846152</v>
      </c>
      <c r="D68" s="58">
        <f t="shared" si="17"/>
        <v>14.820628699408095</v>
      </c>
      <c r="E68" s="58">
        <f t="shared" si="6"/>
        <v>2.8024461540698939</v>
      </c>
      <c r="F68" s="60"/>
      <c r="G68" s="58">
        <f t="shared" si="7"/>
        <v>2.8024461540698939</v>
      </c>
      <c r="H68" s="60">
        <f t="shared" si="18"/>
        <v>0.99956153868527875</v>
      </c>
      <c r="I68" s="61">
        <f t="shared" si="20"/>
        <v>1.2024503048646329E-6</v>
      </c>
      <c r="J68" s="68">
        <f t="shared" si="12"/>
        <v>8.5077381814658312E-5</v>
      </c>
      <c r="K68" s="157">
        <f t="shared" si="9"/>
        <v>0.35667466339492399</v>
      </c>
      <c r="L68" s="59">
        <f t="shared" si="19"/>
        <v>-40.166153834966828</v>
      </c>
      <c r="M68" s="59">
        <f t="shared" si="13"/>
        <v>1.7821069497888792E-5</v>
      </c>
      <c r="N68" s="59">
        <f t="shared" si="11"/>
        <v>14.820628699408095</v>
      </c>
    </row>
    <row r="69" spans="1:14" x14ac:dyDescent="0.25">
      <c r="A69" s="59">
        <f t="shared" si="14"/>
        <v>12.5</v>
      </c>
      <c r="B69" s="62">
        <f t="shared" si="15"/>
        <v>7.3317307692307692</v>
      </c>
      <c r="C69" s="60">
        <f t="shared" si="16"/>
        <v>1.8329326923076923</v>
      </c>
      <c r="D69" s="58">
        <f t="shared" si="17"/>
        <v>14.820628699408095</v>
      </c>
      <c r="E69" s="58">
        <f t="shared" si="6"/>
        <v>2.8676193204436129</v>
      </c>
      <c r="F69" s="60"/>
      <c r="G69" s="58">
        <f t="shared" si="7"/>
        <v>2.8676193204436129</v>
      </c>
      <c r="H69" s="60">
        <f t="shared" si="18"/>
        <v>1.0346866281359206</v>
      </c>
      <c r="I69" s="61">
        <f t="shared" si="20"/>
        <v>1.1616300474361543E-6</v>
      </c>
      <c r="J69" s="68">
        <f t="shared" si="12"/>
        <v>8.6239011862094463E-5</v>
      </c>
      <c r="K69" s="157">
        <f t="shared" si="9"/>
        <v>0.36081728866851737</v>
      </c>
      <c r="L69" s="59">
        <f t="shared" si="19"/>
        <v>-39.91230320858859</v>
      </c>
      <c r="M69" s="59">
        <f t="shared" si="13"/>
        <v>1.7216087619127058E-5</v>
      </c>
      <c r="N69" s="59">
        <f t="shared" si="11"/>
        <v>14.820628699408095</v>
      </c>
    </row>
    <row r="70" spans="1:14" x14ac:dyDescent="0.25">
      <c r="A70" s="59">
        <f t="shared" si="14"/>
        <v>12.5</v>
      </c>
      <c r="B70" s="62">
        <f t="shared" si="15"/>
        <v>7.4519230769230766</v>
      </c>
      <c r="C70" s="60">
        <f t="shared" si="16"/>
        <v>1.8629807692307692</v>
      </c>
      <c r="D70" s="58">
        <f t="shared" si="17"/>
        <v>14.820628699408095</v>
      </c>
      <c r="E70" s="58">
        <f t="shared" si="6"/>
        <v>2.9358959709303654</v>
      </c>
      <c r="F70" s="60"/>
      <c r="G70" s="58">
        <f t="shared" si="7"/>
        <v>2.9358959709303654</v>
      </c>
      <c r="H70" s="60">
        <f t="shared" si="18"/>
        <v>1.0729152016995962</v>
      </c>
      <c r="I70" s="61">
        <f t="shared" si="20"/>
        <v>1.1202405138999975E-6</v>
      </c>
      <c r="J70" s="68">
        <f t="shared" si="12"/>
        <v>8.7359252375994453E-5</v>
      </c>
      <c r="K70" s="157">
        <f t="shared" si="9"/>
        <v>0.36544728162135687</v>
      </c>
      <c r="L70" s="59">
        <f t="shared" si="19"/>
        <v>-39.503278376558647</v>
      </c>
      <c r="M70" s="59">
        <f t="shared" si="13"/>
        <v>1.6602668710545977E-5</v>
      </c>
      <c r="N70" s="59">
        <f t="shared" si="11"/>
        <v>14.820628699408095</v>
      </c>
    </row>
    <row r="71" spans="1:14" x14ac:dyDescent="0.25">
      <c r="A71" s="59">
        <f t="shared" si="14"/>
        <v>12.5</v>
      </c>
      <c r="B71" s="62">
        <f t="shared" si="15"/>
        <v>7.5721153846153841</v>
      </c>
      <c r="C71" s="60">
        <f t="shared" si="16"/>
        <v>1.893028846153846</v>
      </c>
      <c r="D71" s="58">
        <f t="shared" si="17"/>
        <v>14.820628699408095</v>
      </c>
      <c r="E71" s="58">
        <f t="shared" si="6"/>
        <v>3.0075031897335447</v>
      </c>
      <c r="F71" s="60"/>
      <c r="G71" s="58">
        <f t="shared" si="7"/>
        <v>3.0075031897335447</v>
      </c>
      <c r="H71" s="60">
        <f t="shared" si="18"/>
        <v>1.1144743435796987</v>
      </c>
      <c r="I71" s="61">
        <f t="shared" si="20"/>
        <v>1.0784663494921655E-6</v>
      </c>
      <c r="J71" s="68">
        <f t="shared" si="12"/>
        <v>8.8437718725486617E-5</v>
      </c>
      <c r="K71" s="157">
        <f t="shared" si="9"/>
        <v>0.37056464225344266</v>
      </c>
      <c r="L71" s="59">
        <f t="shared" si="19"/>
        <v>-38.927725128707372</v>
      </c>
      <c r="M71" s="59">
        <f t="shared" si="13"/>
        <v>1.5983549330629466E-5</v>
      </c>
      <c r="N71" s="59">
        <f t="shared" si="11"/>
        <v>14.820628699408095</v>
      </c>
    </row>
    <row r="72" spans="1:14" x14ac:dyDescent="0.25">
      <c r="A72" s="59">
        <f t="shared" ref="A72:A103" si="21">VINMAX</f>
        <v>12.5</v>
      </c>
      <c r="B72" s="62">
        <f t="shared" ref="B72:B103" si="22">VINMAX*((ROW()-8)/104)</f>
        <v>7.6923076923076925</v>
      </c>
      <c r="C72" s="60">
        <f t="shared" ref="C72:C103" si="23">IF(B72&gt;=$H$2,IF($D$2="CC", $G$2, B72/$G$2), 0)</f>
        <v>1.9230769230769231</v>
      </c>
      <c r="D72" s="58">
        <f t="shared" ref="D72:D103" si="24">$B$2-B72*$J$2/($I$2*0.001)</f>
        <v>14.820628699408095</v>
      </c>
      <c r="E72" s="58">
        <f t="shared" si="6"/>
        <v>3.0826907694768839</v>
      </c>
      <c r="F72" s="60"/>
      <c r="G72" s="58">
        <f t="shared" si="7"/>
        <v>3.0826907694768839</v>
      </c>
      <c r="H72" s="60">
        <f t="shared" ref="H72:H103" si="25">G72-C72</f>
        <v>1.1596138463999608</v>
      </c>
      <c r="I72" s="61">
        <f t="shared" si="20"/>
        <v>1.0364856203247942E-6</v>
      </c>
      <c r="J72" s="68">
        <f t="shared" si="12"/>
        <v>8.9474204345811408E-5</v>
      </c>
      <c r="K72" s="157">
        <f t="shared" si="9"/>
        <v>0.37616937056477484</v>
      </c>
      <c r="L72" s="59">
        <f t="shared" ref="L72:L103" si="26">1/COUTMAX*(E72/2-C72)*1000</f>
        <v>-38.173153833848119</v>
      </c>
      <c r="M72" s="59">
        <f t="shared" si="13"/>
        <v>1.5361368531109449E-5</v>
      </c>
      <c r="N72" s="59">
        <f t="shared" si="11"/>
        <v>14.820628699408095</v>
      </c>
    </row>
    <row r="73" spans="1:14" x14ac:dyDescent="0.25">
      <c r="A73" s="59">
        <f t="shared" si="21"/>
        <v>12.5</v>
      </c>
      <c r="B73" s="62">
        <f t="shared" si="22"/>
        <v>7.8125</v>
      </c>
      <c r="C73" s="60">
        <f t="shared" si="23"/>
        <v>1.953125</v>
      </c>
      <c r="D73" s="58">
        <f t="shared" si="24"/>
        <v>14.820628699408095</v>
      </c>
      <c r="E73" s="58">
        <f t="shared" ref="E73:E108" si="27">MIN(D73/(A73-B73),$C$2)</f>
        <v>3.1617341225403934</v>
      </c>
      <c r="F73" s="60"/>
      <c r="G73" s="58">
        <f t="shared" ref="G73:G112" si="28">E73</f>
        <v>3.1617341225403934</v>
      </c>
      <c r="H73" s="60">
        <f t="shared" si="25"/>
        <v>1.2086091225403934</v>
      </c>
      <c r="I73" s="61">
        <f t="shared" ref="I73:I104" si="29">(COUTMAX/1000000)*(B73-B72)/H73</f>
        <v>9.9446798349224364E-7</v>
      </c>
      <c r="J73" s="68">
        <f t="shared" si="12"/>
        <v>9.0468672329303655E-5</v>
      </c>
      <c r="K73" s="157">
        <f t="shared" ref="K73:K108" si="30">H73/G73</f>
        <v>0.38226146655535315</v>
      </c>
      <c r="L73" s="59">
        <f t="shared" si="26"/>
        <v>-37.225793872980326</v>
      </c>
      <c r="M73" s="59">
        <f t="shared" ref="M73:M108" si="31">I73*G73*(A73-B73)</f>
        <v>1.4738640736787641E-5</v>
      </c>
      <c r="N73" s="59">
        <f t="shared" ref="N73:N112" si="32">G73*(A73-B73)</f>
        <v>14.820628699408093</v>
      </c>
    </row>
    <row r="74" spans="1:14" x14ac:dyDescent="0.25">
      <c r="A74" s="59">
        <f t="shared" si="21"/>
        <v>12.5</v>
      </c>
      <c r="B74" s="62">
        <f t="shared" si="22"/>
        <v>7.9326923076923075</v>
      </c>
      <c r="C74" s="60">
        <f t="shared" si="23"/>
        <v>1.9831730769230769</v>
      </c>
      <c r="D74" s="58">
        <f t="shared" si="24"/>
        <v>14.820628699408095</v>
      </c>
      <c r="E74" s="58">
        <f t="shared" si="27"/>
        <v>3.2449376520809303</v>
      </c>
      <c r="F74" s="60"/>
      <c r="G74" s="58">
        <f t="shared" si="28"/>
        <v>3.2449376520809303</v>
      </c>
      <c r="H74" s="60">
        <f t="shared" si="25"/>
        <v>1.2617645751578535</v>
      </c>
      <c r="I74" s="61">
        <f t="shared" si="29"/>
        <v>9.5257316664854704E-7</v>
      </c>
      <c r="J74" s="68">
        <f t="shared" ref="J74:J108" si="33">J73+I74</f>
        <v>9.1421245495952198E-5</v>
      </c>
      <c r="K74" s="157">
        <f t="shared" si="30"/>
        <v>0.38884093022517785</v>
      </c>
      <c r="L74" s="59">
        <f t="shared" si="26"/>
        <v>-36.070425088261175</v>
      </c>
      <c r="M74" s="59">
        <f t="shared" si="31"/>
        <v>1.4117733211917507E-5</v>
      </c>
      <c r="N74" s="59">
        <f t="shared" si="32"/>
        <v>14.820628699408095</v>
      </c>
    </row>
    <row r="75" spans="1:14" x14ac:dyDescent="0.25">
      <c r="A75" s="59">
        <f t="shared" si="21"/>
        <v>12.5</v>
      </c>
      <c r="B75" s="62">
        <f t="shared" si="22"/>
        <v>8.0528846153846168</v>
      </c>
      <c r="C75" s="60">
        <f t="shared" si="23"/>
        <v>2.0132211538461542</v>
      </c>
      <c r="D75" s="58">
        <f t="shared" si="24"/>
        <v>14.820628699408095</v>
      </c>
      <c r="E75" s="58">
        <f t="shared" si="27"/>
        <v>3.3326386697047403</v>
      </c>
      <c r="F75" s="60"/>
      <c r="G75" s="58">
        <f t="shared" si="28"/>
        <v>3.3326386697047403</v>
      </c>
      <c r="H75" s="60">
        <f t="shared" si="25"/>
        <v>1.3194175158585861</v>
      </c>
      <c r="I75" s="61">
        <f t="shared" si="29"/>
        <v>9.1094976569335887E-7</v>
      </c>
      <c r="J75" s="68">
        <f t="shared" si="33"/>
        <v>9.2332195261645553E-5</v>
      </c>
      <c r="K75" s="157">
        <f t="shared" si="30"/>
        <v>0.39590776157424884</v>
      </c>
      <c r="L75" s="59">
        <f t="shared" si="26"/>
        <v>-34.690181899378409</v>
      </c>
      <c r="M75" s="59">
        <f t="shared" si="31"/>
        <v>1.3500848241154074E-5</v>
      </c>
      <c r="N75" s="59">
        <f t="shared" si="32"/>
        <v>14.820628699408095</v>
      </c>
    </row>
    <row r="76" spans="1:14" x14ac:dyDescent="0.25">
      <c r="A76" s="59">
        <f t="shared" si="21"/>
        <v>12.5</v>
      </c>
      <c r="B76" s="62">
        <f t="shared" si="22"/>
        <v>8.1730769230769234</v>
      </c>
      <c r="C76" s="60">
        <f t="shared" si="23"/>
        <v>2.0432692307692308</v>
      </c>
      <c r="D76" s="58">
        <f t="shared" si="24"/>
        <v>14.820628699408095</v>
      </c>
      <c r="E76" s="58">
        <f t="shared" si="27"/>
        <v>3.4252119660854268</v>
      </c>
      <c r="F76" s="60"/>
      <c r="G76" s="58">
        <f t="shared" si="28"/>
        <v>3.4252119660854268</v>
      </c>
      <c r="H76" s="60">
        <f t="shared" si="25"/>
        <v>1.3819427353161959</v>
      </c>
      <c r="I76" s="61">
        <f t="shared" si="29"/>
        <v>8.6973435744286442E-7</v>
      </c>
      <c r="J76" s="68">
        <f t="shared" si="33"/>
        <v>9.3201929619088418E-5</v>
      </c>
      <c r="K76" s="157">
        <f t="shared" si="30"/>
        <v>0.40346196060256595</v>
      </c>
      <c r="L76" s="59">
        <f t="shared" si="26"/>
        <v>-33.066324772651747</v>
      </c>
      <c r="M76" s="59">
        <f t="shared" si="31"/>
        <v>1.2890009978778976E-5</v>
      </c>
      <c r="N76" s="59">
        <f t="shared" si="32"/>
        <v>14.820628699408095</v>
      </c>
    </row>
    <row r="77" spans="1:14" x14ac:dyDescent="0.25">
      <c r="A77" s="59">
        <f t="shared" si="21"/>
        <v>12.5</v>
      </c>
      <c r="B77" s="62">
        <f t="shared" si="22"/>
        <v>8.2932692307692299</v>
      </c>
      <c r="C77" s="60">
        <f t="shared" si="23"/>
        <v>2.0733173076923075</v>
      </c>
      <c r="D77" s="58">
        <f t="shared" si="24"/>
        <v>14.820628699408095</v>
      </c>
      <c r="E77" s="58">
        <f t="shared" si="27"/>
        <v>3.5230751651164378</v>
      </c>
      <c r="F77" s="60"/>
      <c r="G77" s="58">
        <f t="shared" si="28"/>
        <v>3.5230751651164378</v>
      </c>
      <c r="H77" s="60">
        <f t="shared" si="25"/>
        <v>1.4497578574241303</v>
      </c>
      <c r="I77" s="61">
        <f t="shared" si="29"/>
        <v>8.2905091410133368E-7</v>
      </c>
      <c r="J77" s="68">
        <f t="shared" si="33"/>
        <v>9.4030980533189751E-5</v>
      </c>
      <c r="K77" s="157">
        <f t="shared" si="30"/>
        <v>0.41150352731012929</v>
      </c>
      <c r="L77" s="59">
        <f t="shared" si="26"/>
        <v>-31.177972513408857</v>
      </c>
      <c r="M77" s="59">
        <f t="shared" si="31"/>
        <v>1.2287055770800743E-5</v>
      </c>
      <c r="N77" s="59">
        <f t="shared" si="32"/>
        <v>14.820628699408095</v>
      </c>
    </row>
    <row r="78" spans="1:14" x14ac:dyDescent="0.25">
      <c r="A78" s="59">
        <f t="shared" si="21"/>
        <v>12.5</v>
      </c>
      <c r="B78" s="62">
        <f t="shared" si="22"/>
        <v>8.4134615384615383</v>
      </c>
      <c r="C78" s="60">
        <f t="shared" si="23"/>
        <v>2.1033653846153846</v>
      </c>
      <c r="D78" s="58">
        <f t="shared" si="24"/>
        <v>14.820628699408095</v>
      </c>
      <c r="E78" s="58">
        <f t="shared" si="27"/>
        <v>3.6266950229139807</v>
      </c>
      <c r="F78" s="60"/>
      <c r="G78" s="58">
        <f t="shared" si="28"/>
        <v>3.6266950229139807</v>
      </c>
      <c r="H78" s="60">
        <f t="shared" si="25"/>
        <v>1.5233296382985961</v>
      </c>
      <c r="I78" s="61">
        <f t="shared" si="29"/>
        <v>7.8901049825664098E-7</v>
      </c>
      <c r="J78" s="68">
        <f t="shared" si="33"/>
        <v>9.4819991031446388E-5</v>
      </c>
      <c r="K78" s="157">
        <f t="shared" si="30"/>
        <v>0.42003246169693909</v>
      </c>
      <c r="L78" s="59">
        <f t="shared" si="26"/>
        <v>-29.001787315839426</v>
      </c>
      <c r="M78" s="59">
        <f t="shared" si="31"/>
        <v>1.1693631634596653E-5</v>
      </c>
      <c r="N78" s="59">
        <f t="shared" si="32"/>
        <v>14.820628699408095</v>
      </c>
    </row>
    <row r="79" spans="1:14" x14ac:dyDescent="0.25">
      <c r="A79" s="59">
        <f t="shared" si="21"/>
        <v>12.5</v>
      </c>
      <c r="B79" s="62">
        <f t="shared" si="22"/>
        <v>8.5336538461538467</v>
      </c>
      <c r="C79" s="60">
        <f t="shared" si="23"/>
        <v>2.1334134615384617</v>
      </c>
      <c r="D79" s="58">
        <f t="shared" si="24"/>
        <v>14.820628699408095</v>
      </c>
      <c r="E79" s="58">
        <f t="shared" si="27"/>
        <v>3.736594872093193</v>
      </c>
      <c r="F79" s="60"/>
      <c r="G79" s="58">
        <f t="shared" si="28"/>
        <v>3.736594872093193</v>
      </c>
      <c r="H79" s="60">
        <f t="shared" si="25"/>
        <v>1.6031814105547313</v>
      </c>
      <c r="I79" s="61">
        <f t="shared" si="29"/>
        <v>7.497112111019274E-7</v>
      </c>
      <c r="J79" s="68">
        <f t="shared" si="33"/>
        <v>9.5569702242548311E-5</v>
      </c>
      <c r="K79" s="157">
        <f t="shared" si="30"/>
        <v>0.42904876376299511</v>
      </c>
      <c r="L79" s="59">
        <f t="shared" si="26"/>
        <v>-26.51160254918652</v>
      </c>
      <c r="M79" s="59">
        <f t="shared" si="31"/>
        <v>1.1111191491525225E-5</v>
      </c>
      <c r="N79" s="59">
        <f t="shared" si="32"/>
        <v>14.820628699408095</v>
      </c>
    </row>
    <row r="80" spans="1:14" x14ac:dyDescent="0.25">
      <c r="A80" s="59">
        <f t="shared" si="21"/>
        <v>12.5</v>
      </c>
      <c r="B80" s="62">
        <f t="shared" si="22"/>
        <v>8.6538461538461533</v>
      </c>
      <c r="C80" s="60">
        <f t="shared" si="23"/>
        <v>2.1634615384615383</v>
      </c>
      <c r="D80" s="58">
        <f t="shared" si="24"/>
        <v>14.820628699408095</v>
      </c>
      <c r="E80" s="58">
        <f t="shared" si="27"/>
        <v>3.8533634618461043</v>
      </c>
      <c r="F80" s="60"/>
      <c r="G80" s="58">
        <f t="shared" si="28"/>
        <v>3.8533634618461043</v>
      </c>
      <c r="H80" s="60">
        <f t="shared" si="25"/>
        <v>1.689901923384566</v>
      </c>
      <c r="I80" s="61">
        <f t="shared" si="29"/>
        <v>7.1123836258842341E-7</v>
      </c>
      <c r="J80" s="68">
        <f t="shared" si="33"/>
        <v>9.6280940605136741E-5</v>
      </c>
      <c r="K80" s="157">
        <f t="shared" si="30"/>
        <v>0.43855243350829731</v>
      </c>
      <c r="L80" s="59">
        <f t="shared" si="26"/>
        <v>-23.677980753848615</v>
      </c>
      <c r="M80" s="59">
        <f t="shared" si="31"/>
        <v>1.054099968869801E-5</v>
      </c>
      <c r="N80" s="59">
        <f t="shared" si="32"/>
        <v>14.820628699408095</v>
      </c>
    </row>
    <row r="81" spans="1:14" x14ac:dyDescent="0.25">
      <c r="A81" s="59">
        <f t="shared" si="21"/>
        <v>12.5</v>
      </c>
      <c r="B81" s="62">
        <f t="shared" si="22"/>
        <v>8.7740384615384617</v>
      </c>
      <c r="C81" s="60">
        <f t="shared" si="23"/>
        <v>2.1935096153846154</v>
      </c>
      <c r="D81" s="58">
        <f t="shared" si="24"/>
        <v>14.820628699408095</v>
      </c>
      <c r="E81" s="58">
        <f t="shared" si="27"/>
        <v>3.9776655090024309</v>
      </c>
      <c r="F81" s="60"/>
      <c r="G81" s="58">
        <f t="shared" si="28"/>
        <v>3.9776655090024309</v>
      </c>
      <c r="H81" s="60">
        <f t="shared" si="25"/>
        <v>1.7841558936178155</v>
      </c>
      <c r="I81" s="61">
        <f t="shared" si="29"/>
        <v>6.7366483008717865E-7</v>
      </c>
      <c r="J81" s="68">
        <f t="shared" si="33"/>
        <v>9.6954605435223921E-5</v>
      </c>
      <c r="K81" s="157">
        <f t="shared" si="30"/>
        <v>0.44854347093284586</v>
      </c>
      <c r="L81" s="59">
        <f t="shared" si="26"/>
        <v>-20.467686088340002</v>
      </c>
      <c r="M81" s="59">
        <f t="shared" si="31"/>
        <v>9.9841363145719176E-6</v>
      </c>
      <c r="N81" s="59">
        <f t="shared" si="32"/>
        <v>14.820628699408095</v>
      </c>
    </row>
    <row r="82" spans="1:14" x14ac:dyDescent="0.25">
      <c r="A82" s="59">
        <f t="shared" si="21"/>
        <v>12.5</v>
      </c>
      <c r="B82" s="62">
        <f t="shared" si="22"/>
        <v>8.8942307692307701</v>
      </c>
      <c r="C82" s="60">
        <f t="shared" si="23"/>
        <v>2.2235576923076925</v>
      </c>
      <c r="D82" s="58">
        <f t="shared" si="24"/>
        <v>14.820628699408095</v>
      </c>
      <c r="E82" s="58">
        <f t="shared" si="27"/>
        <v>4.1102543593025125</v>
      </c>
      <c r="F82" s="60"/>
      <c r="G82" s="58">
        <f t="shared" si="28"/>
        <v>4.1102543593025125</v>
      </c>
      <c r="H82" s="60">
        <f t="shared" si="25"/>
        <v>1.88669666699482</v>
      </c>
      <c r="I82" s="61">
        <f t="shared" si="29"/>
        <v>6.3705157164322473E-7</v>
      </c>
      <c r="J82" s="68">
        <f t="shared" si="33"/>
        <v>9.7591657006867145E-5</v>
      </c>
      <c r="K82" s="157">
        <f t="shared" si="30"/>
        <v>0.45902187603664069</v>
      </c>
      <c r="L82" s="59">
        <f t="shared" si="26"/>
        <v>-16.843051265643627</v>
      </c>
      <c r="M82" s="59">
        <f t="shared" si="31"/>
        <v>9.4415048056986071E-6</v>
      </c>
      <c r="N82" s="59">
        <f t="shared" si="32"/>
        <v>14.820628699408095</v>
      </c>
    </row>
    <row r="83" spans="1:14" x14ac:dyDescent="0.25">
      <c r="A83" s="59">
        <f t="shared" si="21"/>
        <v>12.5</v>
      </c>
      <c r="B83" s="62">
        <f t="shared" si="22"/>
        <v>9.0144230769230766</v>
      </c>
      <c r="C83" s="60">
        <f t="shared" si="23"/>
        <v>2.2536057692307692</v>
      </c>
      <c r="D83" s="58">
        <f t="shared" si="24"/>
        <v>14.820628699408095</v>
      </c>
      <c r="E83" s="58">
        <f t="shared" si="27"/>
        <v>4.251987268243977</v>
      </c>
      <c r="F83" s="60"/>
      <c r="G83" s="58">
        <f t="shared" si="28"/>
        <v>4.251987268243977</v>
      </c>
      <c r="H83" s="60">
        <f t="shared" si="25"/>
        <v>1.9983814990132078</v>
      </c>
      <c r="I83" s="61">
        <f t="shared" si="29"/>
        <v>6.0144826076330799E-7</v>
      </c>
      <c r="J83" s="68">
        <f t="shared" si="33"/>
        <v>9.8193105267630455E-5</v>
      </c>
      <c r="K83" s="157">
        <f t="shared" si="30"/>
        <v>0.46998764881968164</v>
      </c>
      <c r="L83" s="59">
        <f t="shared" si="26"/>
        <v>-12.761213510878068</v>
      </c>
      <c r="M83" s="59">
        <f t="shared" si="31"/>
        <v>8.9138413546777669E-6</v>
      </c>
      <c r="N83" s="59">
        <f t="shared" si="32"/>
        <v>14.820628699408093</v>
      </c>
    </row>
    <row r="84" spans="1:14" x14ac:dyDescent="0.25">
      <c r="A84" s="59">
        <f t="shared" si="21"/>
        <v>12.5</v>
      </c>
      <c r="B84" s="62">
        <f t="shared" si="22"/>
        <v>9.1346153846153832</v>
      </c>
      <c r="C84" s="60">
        <f t="shared" si="23"/>
        <v>2.2836538461538458</v>
      </c>
      <c r="D84" s="58">
        <f t="shared" si="24"/>
        <v>14.820628699408095</v>
      </c>
      <c r="E84" s="58">
        <f t="shared" si="27"/>
        <v>4.403843956395546</v>
      </c>
      <c r="F84" s="60"/>
      <c r="G84" s="58">
        <f t="shared" si="28"/>
        <v>4.403843956395546</v>
      </c>
      <c r="H84" s="60">
        <f t="shared" si="25"/>
        <v>2.1201901102417002</v>
      </c>
      <c r="I84" s="61">
        <f t="shared" si="29"/>
        <v>5.6689401158750227E-7</v>
      </c>
      <c r="J84" s="68">
        <f t="shared" si="33"/>
        <v>9.875999927921796E-5</v>
      </c>
      <c r="K84" s="157">
        <f t="shared" si="30"/>
        <v>0.48144078928196887</v>
      </c>
      <c r="L84" s="59">
        <f t="shared" si="26"/>
        <v>-8.173186795607279</v>
      </c>
      <c r="M84" s="59">
        <f t="shared" si="31"/>
        <v>8.4017256576563207E-6</v>
      </c>
      <c r="N84" s="59">
        <f t="shared" si="32"/>
        <v>14.820628699408093</v>
      </c>
    </row>
    <row r="85" spans="1:14" x14ac:dyDescent="0.25">
      <c r="A85" s="59">
        <f t="shared" si="21"/>
        <v>12.5</v>
      </c>
      <c r="B85" s="62">
        <f t="shared" si="22"/>
        <v>9.2548076923076934</v>
      </c>
      <c r="C85" s="60">
        <f t="shared" si="23"/>
        <v>2.3137019230769234</v>
      </c>
      <c r="D85" s="58">
        <f t="shared" si="24"/>
        <v>14.820628699408095</v>
      </c>
      <c r="E85" s="58">
        <f t="shared" si="27"/>
        <v>4.5669492881139035</v>
      </c>
      <c r="F85" s="60"/>
      <c r="G85" s="58">
        <f t="shared" si="28"/>
        <v>4.5669492881139035</v>
      </c>
      <c r="H85" s="60">
        <f t="shared" si="25"/>
        <v>2.2532473650369802</v>
      </c>
      <c r="I85" s="61">
        <f t="shared" si="29"/>
        <v>5.3341816596482546E-7</v>
      </c>
      <c r="J85" s="68">
        <f t="shared" si="33"/>
        <v>9.9293417445182791E-5</v>
      </c>
      <c r="K85" s="157">
        <f t="shared" si="30"/>
        <v>0.49338129742350278</v>
      </c>
      <c r="L85" s="59">
        <f t="shared" si="26"/>
        <v>-3.0227279019971576</v>
      </c>
      <c r="M85" s="59">
        <f t="shared" si="31"/>
        <v>7.9055925792839225E-6</v>
      </c>
      <c r="N85" s="59">
        <f t="shared" si="32"/>
        <v>14.820628699408095</v>
      </c>
    </row>
    <row r="86" spans="1:14" x14ac:dyDescent="0.25">
      <c r="A86" s="59">
        <f t="shared" si="21"/>
        <v>12.5</v>
      </c>
      <c r="B86" s="62">
        <f t="shared" si="22"/>
        <v>9.375</v>
      </c>
      <c r="C86" s="60">
        <f t="shared" si="23"/>
        <v>2.34375</v>
      </c>
      <c r="D86" s="58">
        <f t="shared" si="24"/>
        <v>14.820628699408095</v>
      </c>
      <c r="E86" s="58">
        <f t="shared" si="27"/>
        <v>4.7426011838105904</v>
      </c>
      <c r="F86" s="60"/>
      <c r="G86" s="58">
        <f t="shared" si="28"/>
        <v>4.7426011838105904</v>
      </c>
      <c r="H86" s="60">
        <f t="shared" si="25"/>
        <v>2.3988511838105904</v>
      </c>
      <c r="I86" s="61">
        <f t="shared" si="29"/>
        <v>5.0104111711248536E-7</v>
      </c>
      <c r="J86" s="68">
        <f t="shared" si="33"/>
        <v>9.9794458562295273E-5</v>
      </c>
      <c r="K86" s="157">
        <f t="shared" si="30"/>
        <v>0.50580917324428254</v>
      </c>
      <c r="L86" s="59">
        <f t="shared" si="26"/>
        <v>2.7550591905295185</v>
      </c>
      <c r="M86" s="59">
        <f t="shared" si="31"/>
        <v>7.4257443598607934E-6</v>
      </c>
      <c r="N86" s="59">
        <f t="shared" si="32"/>
        <v>14.820628699408095</v>
      </c>
    </row>
    <row r="87" spans="1:14" x14ac:dyDescent="0.25">
      <c r="A87" s="59">
        <f t="shared" si="21"/>
        <v>12.5</v>
      </c>
      <c r="B87" s="62">
        <f t="shared" si="22"/>
        <v>9.4951923076923066</v>
      </c>
      <c r="C87" s="60">
        <f t="shared" si="23"/>
        <v>2.3737980769230766</v>
      </c>
      <c r="D87" s="58">
        <f t="shared" si="24"/>
        <v>14.820628699408095</v>
      </c>
      <c r="E87" s="58">
        <f t="shared" si="27"/>
        <v>4.9323052311630127</v>
      </c>
      <c r="F87" s="60"/>
      <c r="G87" s="58">
        <f t="shared" si="28"/>
        <v>4.9323052311630127</v>
      </c>
      <c r="H87" s="60">
        <f t="shared" si="25"/>
        <v>2.558507154239936</v>
      </c>
      <c r="I87" s="61">
        <f t="shared" si="29"/>
        <v>4.6977514795346559E-7</v>
      </c>
      <c r="J87" s="68">
        <f t="shared" si="33"/>
        <v>1.0026423371024873E-4</v>
      </c>
      <c r="K87" s="157">
        <f t="shared" si="30"/>
        <v>0.51872441674430858</v>
      </c>
      <c r="L87" s="59">
        <f t="shared" si="26"/>
        <v>9.2354538658429703</v>
      </c>
      <c r="M87" s="59">
        <f t="shared" si="31"/>
        <v>6.9623630400278168E-6</v>
      </c>
      <c r="N87" s="59">
        <f t="shared" si="32"/>
        <v>14.820628699408097</v>
      </c>
    </row>
    <row r="88" spans="1:14" x14ac:dyDescent="0.25">
      <c r="A88" s="59">
        <f t="shared" si="21"/>
        <v>12.5</v>
      </c>
      <c r="B88" s="62">
        <f t="shared" si="22"/>
        <v>9.6153846153846168</v>
      </c>
      <c r="C88" s="60">
        <f t="shared" si="23"/>
        <v>2.4038461538461542</v>
      </c>
      <c r="D88" s="58">
        <f t="shared" si="24"/>
        <v>14.820628699408095</v>
      </c>
      <c r="E88" s="58">
        <f t="shared" si="27"/>
        <v>5.1378179491281424</v>
      </c>
      <c r="F88" s="60"/>
      <c r="G88" s="58">
        <f t="shared" si="28"/>
        <v>5.1378179491281424</v>
      </c>
      <c r="H88" s="60">
        <f t="shared" si="25"/>
        <v>2.7339717952819882</v>
      </c>
      <c r="I88" s="61">
        <f t="shared" si="29"/>
        <v>4.3962526570217687E-7</v>
      </c>
      <c r="J88" s="68">
        <f t="shared" si="33"/>
        <v>1.007038589759509E-4</v>
      </c>
      <c r="K88" s="157">
        <f t="shared" si="30"/>
        <v>0.53212702792358124</v>
      </c>
      <c r="L88" s="59">
        <f t="shared" si="26"/>
        <v>16.506282071791702</v>
      </c>
      <c r="M88" s="59">
        <f t="shared" si="31"/>
        <v>6.5155228298505924E-6</v>
      </c>
      <c r="N88" s="59">
        <f t="shared" si="32"/>
        <v>14.820628699408095</v>
      </c>
    </row>
    <row r="89" spans="1:14" x14ac:dyDescent="0.25">
      <c r="A89" s="59">
        <f t="shared" si="21"/>
        <v>12.5</v>
      </c>
      <c r="B89" s="62">
        <f t="shared" si="22"/>
        <v>9.7355769230769234</v>
      </c>
      <c r="C89" s="60">
        <f t="shared" si="23"/>
        <v>2.4338942307692308</v>
      </c>
      <c r="D89" s="58">
        <f t="shared" si="24"/>
        <v>14.820628699408095</v>
      </c>
      <c r="E89" s="58">
        <f t="shared" si="27"/>
        <v>5.3612013382206678</v>
      </c>
      <c r="F89" s="60"/>
      <c r="G89" s="58">
        <f t="shared" si="28"/>
        <v>5.3612013382206678</v>
      </c>
      <c r="H89" s="60">
        <f t="shared" si="25"/>
        <v>2.927307107451437</v>
      </c>
      <c r="I89" s="61">
        <f t="shared" si="29"/>
        <v>4.1059001765259975E-7</v>
      </c>
      <c r="J89" s="68">
        <f t="shared" si="33"/>
        <v>1.0111444899360351E-4</v>
      </c>
      <c r="K89" s="157">
        <f t="shared" si="30"/>
        <v>0.54601700678209986</v>
      </c>
      <c r="L89" s="59">
        <f t="shared" si="26"/>
        <v>24.670643834110308</v>
      </c>
      <c r="M89" s="59">
        <f t="shared" si="31"/>
        <v>6.0852021993125965E-6</v>
      </c>
      <c r="N89" s="59">
        <f t="shared" si="32"/>
        <v>14.820628699408095</v>
      </c>
    </row>
    <row r="90" spans="1:14" x14ac:dyDescent="0.25">
      <c r="A90" s="59">
        <f t="shared" si="21"/>
        <v>12.5</v>
      </c>
      <c r="B90" s="62">
        <f t="shared" si="22"/>
        <v>9.8557692307692299</v>
      </c>
      <c r="C90" s="60">
        <f t="shared" si="23"/>
        <v>2.4639423076923075</v>
      </c>
      <c r="D90" s="58">
        <f t="shared" si="24"/>
        <v>14.820628699408095</v>
      </c>
      <c r="E90" s="58">
        <f t="shared" si="27"/>
        <v>5.5725563909774438</v>
      </c>
      <c r="F90" s="60"/>
      <c r="G90" s="58">
        <f t="shared" si="28"/>
        <v>5.5725563909774438</v>
      </c>
      <c r="H90" s="60">
        <f t="shared" si="25"/>
        <v>3.1086140832851363</v>
      </c>
      <c r="I90" s="61">
        <f t="shared" si="29"/>
        <v>3.8664274326805212E-7</v>
      </c>
      <c r="J90" s="68">
        <f t="shared" si="33"/>
        <v>1.0150109173687156E-4</v>
      </c>
      <c r="K90" s="157">
        <f t="shared" si="30"/>
        <v>0.55784345014763959</v>
      </c>
      <c r="L90" s="59">
        <f t="shared" si="26"/>
        <v>32.233588779641444</v>
      </c>
      <c r="M90" s="59">
        <f t="shared" si="31"/>
        <v>5.6972291803504309E-6</v>
      </c>
      <c r="N90" s="59">
        <f t="shared" si="32"/>
        <v>14.73512507229613</v>
      </c>
    </row>
    <row r="91" spans="1:14" x14ac:dyDescent="0.25">
      <c r="A91" s="59">
        <f t="shared" si="21"/>
        <v>12.5</v>
      </c>
      <c r="B91" s="62">
        <f t="shared" si="22"/>
        <v>9.9759615384615383</v>
      </c>
      <c r="C91" s="60">
        <f t="shared" si="23"/>
        <v>2.4939903846153846</v>
      </c>
      <c r="D91" s="58">
        <f t="shared" si="24"/>
        <v>14.820628699408095</v>
      </c>
      <c r="E91" s="58">
        <f t="shared" si="27"/>
        <v>5.5725563909774438</v>
      </c>
      <c r="F91" s="60"/>
      <c r="G91" s="58">
        <f t="shared" si="28"/>
        <v>5.5725563909774438</v>
      </c>
      <c r="H91" s="60">
        <f t="shared" si="25"/>
        <v>3.0785660063620592</v>
      </c>
      <c r="I91" s="61">
        <f t="shared" si="29"/>
        <v>3.9041653628320161E-7</v>
      </c>
      <c r="J91" s="68">
        <f t="shared" si="33"/>
        <v>1.0189150827315476E-4</v>
      </c>
      <c r="K91" s="157">
        <f t="shared" si="30"/>
        <v>0.55245129710065966</v>
      </c>
      <c r="L91" s="59">
        <f t="shared" si="26"/>
        <v>29.228781087333733</v>
      </c>
      <c r="M91" s="59">
        <f t="shared" si="31"/>
        <v>5.4913439245880873E-6</v>
      </c>
      <c r="N91" s="59">
        <f t="shared" si="32"/>
        <v>14.06534665991903</v>
      </c>
    </row>
    <row r="92" spans="1:14" x14ac:dyDescent="0.25">
      <c r="A92" s="59">
        <f t="shared" si="21"/>
        <v>12.5</v>
      </c>
      <c r="B92" s="62">
        <f t="shared" si="22"/>
        <v>10.096153846153847</v>
      </c>
      <c r="C92" s="60">
        <f t="shared" si="23"/>
        <v>2.5240384615384617</v>
      </c>
      <c r="D92" s="58">
        <f t="shared" si="24"/>
        <v>14.820628699408095</v>
      </c>
      <c r="E92" s="58">
        <f t="shared" si="27"/>
        <v>5.5725563909774438</v>
      </c>
      <c r="F92" s="60"/>
      <c r="G92" s="58">
        <f t="shared" si="28"/>
        <v>5.5725563909774438</v>
      </c>
      <c r="H92" s="60">
        <f t="shared" si="25"/>
        <v>3.0485179294389821</v>
      </c>
      <c r="I92" s="61">
        <f t="shared" si="29"/>
        <v>3.9426472297122869E-7</v>
      </c>
      <c r="J92" s="68">
        <f t="shared" si="33"/>
        <v>1.0228577299612598E-4</v>
      </c>
      <c r="K92" s="157">
        <f t="shared" si="30"/>
        <v>0.54705914405367961</v>
      </c>
      <c r="L92" s="59">
        <f t="shared" si="26"/>
        <v>26.223973395026022</v>
      </c>
      <c r="M92" s="59">
        <f t="shared" si="31"/>
        <v>5.2814000041593061E-6</v>
      </c>
      <c r="N92" s="59">
        <f t="shared" si="32"/>
        <v>13.395568247541929</v>
      </c>
    </row>
    <row r="93" spans="1:14" x14ac:dyDescent="0.25">
      <c r="A93" s="59">
        <f t="shared" si="21"/>
        <v>12.5</v>
      </c>
      <c r="B93" s="62">
        <f t="shared" si="22"/>
        <v>10.216346153846153</v>
      </c>
      <c r="C93" s="60">
        <f t="shared" si="23"/>
        <v>2.5540865384615383</v>
      </c>
      <c r="D93" s="58">
        <f t="shared" si="24"/>
        <v>14.820628699408095</v>
      </c>
      <c r="E93" s="58">
        <f t="shared" si="27"/>
        <v>5.5725563909774438</v>
      </c>
      <c r="F93" s="60"/>
      <c r="G93" s="58">
        <f t="shared" si="28"/>
        <v>5.5725563909774438</v>
      </c>
      <c r="H93" s="60">
        <f t="shared" si="25"/>
        <v>3.0184698525159055</v>
      </c>
      <c r="I93" s="61">
        <f t="shared" si="29"/>
        <v>3.9818952504072849E-7</v>
      </c>
      <c r="J93" s="68">
        <f t="shared" si="33"/>
        <v>1.0268396252116671E-4</v>
      </c>
      <c r="K93" s="157">
        <f t="shared" si="30"/>
        <v>0.54166699100669957</v>
      </c>
      <c r="L93" s="59">
        <f t="shared" si="26"/>
        <v>23.21916570271836</v>
      </c>
      <c r="M93" s="59">
        <f t="shared" si="31"/>
        <v>5.067276210232417E-6</v>
      </c>
      <c r="N93" s="59">
        <f t="shared" si="32"/>
        <v>12.725789835164839</v>
      </c>
    </row>
    <row r="94" spans="1:14" x14ac:dyDescent="0.25">
      <c r="A94" s="59">
        <f t="shared" si="21"/>
        <v>12.5</v>
      </c>
      <c r="B94" s="62">
        <f t="shared" si="22"/>
        <v>10.336538461538462</v>
      </c>
      <c r="C94" s="60">
        <f t="shared" si="23"/>
        <v>2.5841346153846154</v>
      </c>
      <c r="D94" s="58">
        <f t="shared" si="24"/>
        <v>14.820628699408095</v>
      </c>
      <c r="E94" s="58">
        <f t="shared" si="27"/>
        <v>5.5725563909774438</v>
      </c>
      <c r="F94" s="60"/>
      <c r="G94" s="58">
        <f t="shared" si="28"/>
        <v>5.5725563909774438</v>
      </c>
      <c r="H94" s="60">
        <f t="shared" si="25"/>
        <v>2.9884217755928284</v>
      </c>
      <c r="I94" s="61">
        <f t="shared" si="29"/>
        <v>4.0219325355593501E-7</v>
      </c>
      <c r="J94" s="68">
        <f t="shared" si="33"/>
        <v>1.0308615577472265E-4</v>
      </c>
      <c r="K94" s="157">
        <f t="shared" si="30"/>
        <v>0.53627483795971953</v>
      </c>
      <c r="L94" s="59">
        <f t="shared" si="26"/>
        <v>20.214358010410649</v>
      </c>
      <c r="M94" s="59">
        <f t="shared" si="31"/>
        <v>4.8488464590385173E-6</v>
      </c>
      <c r="N94" s="59">
        <f t="shared" si="32"/>
        <v>12.056011422787739</v>
      </c>
    </row>
    <row r="95" spans="1:14" x14ac:dyDescent="0.25">
      <c r="A95" s="59">
        <f t="shared" si="21"/>
        <v>12.5</v>
      </c>
      <c r="B95" s="62">
        <f t="shared" si="22"/>
        <v>10.45673076923077</v>
      </c>
      <c r="C95" s="60">
        <f t="shared" si="23"/>
        <v>2.6141826923076925</v>
      </c>
      <c r="D95" s="58">
        <f t="shared" si="24"/>
        <v>14.820628699408095</v>
      </c>
      <c r="E95" s="58">
        <f t="shared" si="27"/>
        <v>5.5725563909774438</v>
      </c>
      <c r="F95" s="60"/>
      <c r="G95" s="58">
        <f t="shared" si="28"/>
        <v>5.5725563909774438</v>
      </c>
      <c r="H95" s="60">
        <f t="shared" si="25"/>
        <v>2.9583736986697513</v>
      </c>
      <c r="I95" s="61">
        <f t="shared" si="29"/>
        <v>4.0627831347457396E-7</v>
      </c>
      <c r="J95" s="68">
        <f t="shared" si="33"/>
        <v>1.0349243408819722E-4</v>
      </c>
      <c r="K95" s="157">
        <f t="shared" si="30"/>
        <v>0.53088268491273949</v>
      </c>
      <c r="L95" s="59">
        <f t="shared" si="26"/>
        <v>17.209550318102941</v>
      </c>
      <c r="M95" s="59">
        <f t="shared" si="31"/>
        <v>4.6259795442981553E-6</v>
      </c>
      <c r="N95" s="59">
        <f t="shared" si="32"/>
        <v>11.386233010410638</v>
      </c>
    </row>
    <row r="96" spans="1:14" x14ac:dyDescent="0.25">
      <c r="A96" s="59">
        <f t="shared" si="21"/>
        <v>12.5</v>
      </c>
      <c r="B96" s="62">
        <f t="shared" si="22"/>
        <v>10.576923076923077</v>
      </c>
      <c r="C96" s="60">
        <f t="shared" si="23"/>
        <v>2.6442307692307692</v>
      </c>
      <c r="D96" s="58">
        <f t="shared" si="24"/>
        <v>14.820628699408095</v>
      </c>
      <c r="E96" s="58">
        <f t="shared" si="27"/>
        <v>5.5725563909774438</v>
      </c>
      <c r="F96" s="60"/>
      <c r="G96" s="58">
        <f t="shared" si="28"/>
        <v>5.5725563909774438</v>
      </c>
      <c r="H96" s="60">
        <f t="shared" si="25"/>
        <v>2.9283256217466747</v>
      </c>
      <c r="I96" s="61">
        <f t="shared" si="29"/>
        <v>4.1044720846520766E-7</v>
      </c>
      <c r="J96" s="68">
        <f t="shared" si="33"/>
        <v>1.0390288129666243E-4</v>
      </c>
      <c r="K96" s="157">
        <f t="shared" si="30"/>
        <v>0.52549053186575956</v>
      </c>
      <c r="L96" s="59">
        <f t="shared" si="26"/>
        <v>14.204742625795276</v>
      </c>
      <c r="M96" s="59">
        <f t="shared" si="31"/>
        <v>4.3985388744070083E-6</v>
      </c>
      <c r="N96" s="59">
        <f t="shared" si="32"/>
        <v>10.716454598033547</v>
      </c>
    </row>
    <row r="97" spans="1:14" x14ac:dyDescent="0.25">
      <c r="A97" s="59">
        <f t="shared" si="21"/>
        <v>12.5</v>
      </c>
      <c r="B97" s="62">
        <f t="shared" si="22"/>
        <v>10.697115384615383</v>
      </c>
      <c r="C97" s="60">
        <f t="shared" si="23"/>
        <v>2.6742788461538458</v>
      </c>
      <c r="D97" s="58">
        <f t="shared" si="24"/>
        <v>14.820628699408095</v>
      </c>
      <c r="E97" s="58">
        <f t="shared" si="27"/>
        <v>5.5725563909774438</v>
      </c>
      <c r="F97" s="60"/>
      <c r="G97" s="58">
        <f t="shared" si="28"/>
        <v>5.5725563909774438</v>
      </c>
      <c r="H97" s="60">
        <f t="shared" si="25"/>
        <v>2.898277544823598</v>
      </c>
      <c r="I97" s="61">
        <f t="shared" si="29"/>
        <v>4.1470254602418364E-7</v>
      </c>
      <c r="J97" s="68">
        <f t="shared" si="33"/>
        <v>1.0431758384268661E-4</v>
      </c>
      <c r="K97" s="157">
        <f t="shared" si="30"/>
        <v>0.52009837881877963</v>
      </c>
      <c r="L97" s="59">
        <f t="shared" si="26"/>
        <v>11.19993493348761</v>
      </c>
      <c r="M97" s="59">
        <f t="shared" si="31"/>
        <v>4.1663821932722666E-6</v>
      </c>
      <c r="N97" s="59">
        <f t="shared" si="32"/>
        <v>10.046676185656457</v>
      </c>
    </row>
    <row r="98" spans="1:14" x14ac:dyDescent="0.25">
      <c r="A98" s="59">
        <f t="shared" si="21"/>
        <v>12.5</v>
      </c>
      <c r="B98" s="62">
        <f t="shared" si="22"/>
        <v>10.817307692307693</v>
      </c>
      <c r="C98" s="60">
        <f t="shared" si="23"/>
        <v>2.7043269230769234</v>
      </c>
      <c r="D98" s="58">
        <f t="shared" si="24"/>
        <v>14.820628699408095</v>
      </c>
      <c r="E98" s="58">
        <f t="shared" si="27"/>
        <v>5.5725563909774438</v>
      </c>
      <c r="F98" s="60"/>
      <c r="G98" s="58">
        <f t="shared" si="28"/>
        <v>5.5725563909774438</v>
      </c>
      <c r="H98" s="60">
        <f t="shared" si="25"/>
        <v>2.8682294679005205</v>
      </c>
      <c r="I98" s="61">
        <f t="shared" si="29"/>
        <v>4.1904704291420668E-7</v>
      </c>
      <c r="J98" s="68">
        <f t="shared" si="33"/>
        <v>1.0473663088560082E-4</v>
      </c>
      <c r="K98" s="157">
        <f t="shared" si="30"/>
        <v>0.51470622577179947</v>
      </c>
      <c r="L98" s="59">
        <f t="shared" si="26"/>
        <v>8.1951272411798559</v>
      </c>
      <c r="M98" s="59">
        <f t="shared" si="31"/>
        <v>3.929361283601519E-6</v>
      </c>
      <c r="N98" s="59">
        <f t="shared" si="32"/>
        <v>9.3768977732793459</v>
      </c>
    </row>
    <row r="99" spans="1:14" x14ac:dyDescent="0.25">
      <c r="A99" s="59">
        <f t="shared" si="21"/>
        <v>12.5</v>
      </c>
      <c r="B99" s="62">
        <f t="shared" si="22"/>
        <v>10.9375</v>
      </c>
      <c r="C99" s="60">
        <f t="shared" si="23"/>
        <v>2.734375</v>
      </c>
      <c r="D99" s="58">
        <f t="shared" si="24"/>
        <v>14.820628699408095</v>
      </c>
      <c r="E99" s="58">
        <f t="shared" si="27"/>
        <v>5.5725563909774438</v>
      </c>
      <c r="F99" s="60"/>
      <c r="G99" s="58">
        <f t="shared" si="28"/>
        <v>5.5725563909774438</v>
      </c>
      <c r="H99" s="60">
        <f t="shared" si="25"/>
        <v>2.8381813909774438</v>
      </c>
      <c r="I99" s="61">
        <f t="shared" si="29"/>
        <v>4.2348353094836368E-7</v>
      </c>
      <c r="J99" s="68">
        <f t="shared" si="33"/>
        <v>1.0516011441654918E-4</v>
      </c>
      <c r="K99" s="157">
        <f t="shared" si="30"/>
        <v>0.50931407272481954</v>
      </c>
      <c r="L99" s="59">
        <f t="shared" si="26"/>
        <v>5.1903195488721909</v>
      </c>
      <c r="M99" s="59">
        <f t="shared" si="31"/>
        <v>3.6873216513437468E-6</v>
      </c>
      <c r="N99" s="59">
        <f t="shared" si="32"/>
        <v>8.7071193609022561</v>
      </c>
    </row>
    <row r="100" spans="1:14" x14ac:dyDescent="0.25">
      <c r="A100" s="59">
        <f t="shared" si="21"/>
        <v>12.5</v>
      </c>
      <c r="B100" s="62">
        <f t="shared" si="22"/>
        <v>11.057692307692307</v>
      </c>
      <c r="C100" s="60">
        <f t="shared" si="23"/>
        <v>2.7644230769230766</v>
      </c>
      <c r="D100" s="58">
        <f t="shared" si="24"/>
        <v>14.820628699408095</v>
      </c>
      <c r="E100" s="58">
        <f t="shared" si="27"/>
        <v>5.5725563909774438</v>
      </c>
      <c r="F100" s="60"/>
      <c r="G100" s="58">
        <f t="shared" si="28"/>
        <v>5.5725563909774438</v>
      </c>
      <c r="H100" s="60">
        <f t="shared" si="25"/>
        <v>2.8081333140543672</v>
      </c>
      <c r="I100" s="61">
        <f t="shared" si="29"/>
        <v>4.2801496314565508E-7</v>
      </c>
      <c r="J100" s="68">
        <f t="shared" si="33"/>
        <v>1.0558812937969483E-4</v>
      </c>
      <c r="K100" s="157">
        <f t="shared" si="30"/>
        <v>0.50392191967783961</v>
      </c>
      <c r="L100" s="59">
        <f t="shared" si="26"/>
        <v>2.185511856564526</v>
      </c>
      <c r="M100" s="59">
        <f t="shared" si="31"/>
        <v>3.4401021898720633E-6</v>
      </c>
      <c r="N100" s="59">
        <f t="shared" si="32"/>
        <v>8.0373409485251646</v>
      </c>
    </row>
    <row r="101" spans="1:14" x14ac:dyDescent="0.25">
      <c r="A101" s="59">
        <f t="shared" si="21"/>
        <v>12.5</v>
      </c>
      <c r="B101" s="62">
        <f t="shared" si="22"/>
        <v>11.177884615384617</v>
      </c>
      <c r="C101" s="60">
        <f t="shared" si="23"/>
        <v>2.7944711538461542</v>
      </c>
      <c r="D101" s="58">
        <f t="shared" si="24"/>
        <v>14.820628699408095</v>
      </c>
      <c r="E101" s="58">
        <f t="shared" si="27"/>
        <v>5.5725563909774438</v>
      </c>
      <c r="F101" s="60"/>
      <c r="G101" s="58">
        <f t="shared" si="28"/>
        <v>5.5725563909774438</v>
      </c>
      <c r="H101" s="60">
        <f t="shared" si="25"/>
        <v>2.7780852371312896</v>
      </c>
      <c r="I101" s="61">
        <f t="shared" si="29"/>
        <v>4.3264442028576237E-7</v>
      </c>
      <c r="J101" s="68">
        <f t="shared" si="33"/>
        <v>1.060207737999806E-4</v>
      </c>
      <c r="K101" s="157">
        <f t="shared" si="30"/>
        <v>0.49852976663085946</v>
      </c>
      <c r="L101" s="59">
        <f t="shared" si="26"/>
        <v>-0.81929583574322795</v>
      </c>
      <c r="M101" s="59">
        <f t="shared" si="31"/>
        <v>3.1875348223708766E-6</v>
      </c>
      <c r="N101" s="59">
        <f t="shared" si="32"/>
        <v>7.3675625361480552</v>
      </c>
    </row>
    <row r="102" spans="1:14" x14ac:dyDescent="0.25">
      <c r="A102" s="59">
        <f t="shared" si="21"/>
        <v>12.5</v>
      </c>
      <c r="B102" s="62">
        <f t="shared" si="22"/>
        <v>11.298076923076923</v>
      </c>
      <c r="C102" s="60">
        <f t="shared" si="23"/>
        <v>2.8245192307692308</v>
      </c>
      <c r="D102" s="58">
        <f t="shared" si="24"/>
        <v>14.820628699408095</v>
      </c>
      <c r="E102" s="58">
        <f t="shared" si="27"/>
        <v>5.5725563909774438</v>
      </c>
      <c r="F102" s="60"/>
      <c r="G102" s="58">
        <f t="shared" si="28"/>
        <v>5.5725563909774438</v>
      </c>
      <c r="H102" s="60">
        <f t="shared" si="25"/>
        <v>2.748037160208213</v>
      </c>
      <c r="I102" s="61">
        <f t="shared" si="29"/>
        <v>4.3737511789396581E-7</v>
      </c>
      <c r="J102" s="68">
        <f t="shared" si="33"/>
        <v>1.0645814891787456E-4</v>
      </c>
      <c r="K102" s="157">
        <f t="shared" si="30"/>
        <v>0.49313761358387953</v>
      </c>
      <c r="L102" s="59">
        <f t="shared" si="26"/>
        <v>-3.8241035280508933</v>
      </c>
      <c r="M102" s="59">
        <f t="shared" si="31"/>
        <v>2.9294441207626581E-6</v>
      </c>
      <c r="N102" s="59">
        <f t="shared" si="32"/>
        <v>6.6977841237709645</v>
      </c>
    </row>
    <row r="103" spans="1:14" x14ac:dyDescent="0.25">
      <c r="A103" s="59">
        <f t="shared" si="21"/>
        <v>12.5</v>
      </c>
      <c r="B103" s="62">
        <f t="shared" si="22"/>
        <v>11.41826923076923</v>
      </c>
      <c r="C103" s="60">
        <f t="shared" si="23"/>
        <v>2.8545673076923075</v>
      </c>
      <c r="D103" s="58">
        <f t="shared" si="24"/>
        <v>14.820628699408095</v>
      </c>
      <c r="E103" s="58">
        <f t="shared" si="27"/>
        <v>5.5725563909774438</v>
      </c>
      <c r="F103" s="60"/>
      <c r="G103" s="58">
        <f t="shared" si="28"/>
        <v>5.5725563909774438</v>
      </c>
      <c r="H103" s="60">
        <f t="shared" si="25"/>
        <v>2.7179890832851363</v>
      </c>
      <c r="I103" s="61">
        <f t="shared" si="29"/>
        <v>4.4221041368950044E-7</v>
      </c>
      <c r="J103" s="68">
        <f t="shared" si="33"/>
        <v>1.0690035933156407E-4</v>
      </c>
      <c r="K103" s="157">
        <f t="shared" si="30"/>
        <v>0.4877454605368996</v>
      </c>
      <c r="L103" s="59">
        <f t="shared" si="26"/>
        <v>-6.8289112203585578</v>
      </c>
      <c r="M103" s="59">
        <f t="shared" si="31"/>
        <v>2.6656468993581564E-6</v>
      </c>
      <c r="N103" s="59">
        <f t="shared" si="32"/>
        <v>6.0280057113938739</v>
      </c>
    </row>
    <row r="104" spans="1:14" x14ac:dyDescent="0.25">
      <c r="A104" s="59">
        <f t="shared" ref="A104:A112" si="34">VINMAX</f>
        <v>12.5</v>
      </c>
      <c r="B104" s="62">
        <f t="shared" ref="B104:B112" si="35">VINMAX*((ROW()-8)/104)</f>
        <v>11.538461538461538</v>
      </c>
      <c r="C104" s="60">
        <f t="shared" ref="C104:C108" si="36">IF(B104&gt;=$H$2,IF($D$2="CC", $G$2, B104/$G$2), 0)</f>
        <v>2.8846153846153846</v>
      </c>
      <c r="D104" s="58">
        <f t="shared" ref="D104:D108" si="37">$B$2-B104*$J$2/($I$2*0.001)</f>
        <v>14.820628699408095</v>
      </c>
      <c r="E104" s="58">
        <f t="shared" si="27"/>
        <v>5.5725563909774438</v>
      </c>
      <c r="F104" s="60"/>
      <c r="G104" s="58">
        <f t="shared" si="28"/>
        <v>5.5725563909774438</v>
      </c>
      <c r="H104" s="60">
        <f t="shared" ref="H104:H108" si="38">G104-C104</f>
        <v>2.6879410063620592</v>
      </c>
      <c r="I104" s="61">
        <f t="shared" si="29"/>
        <v>4.4715381553325197E-7</v>
      </c>
      <c r="J104" s="68">
        <f t="shared" si="33"/>
        <v>1.0734751314709732E-4</v>
      </c>
      <c r="K104" s="157">
        <f t="shared" si="30"/>
        <v>0.48235330748991956</v>
      </c>
      <c r="L104" s="59">
        <f t="shared" ref="L104:L112" si="39">1/COUTMAX*(E104/2-C104)*1000</f>
        <v>-9.8337189126662672</v>
      </c>
      <c r="M104" s="59">
        <f t="shared" si="31"/>
        <v>2.3959517812497815E-6</v>
      </c>
      <c r="N104" s="59">
        <f t="shared" si="32"/>
        <v>5.3582272990167734</v>
      </c>
    </row>
    <row r="105" spans="1:14" x14ac:dyDescent="0.25">
      <c r="A105" s="59">
        <f t="shared" si="34"/>
        <v>12.5</v>
      </c>
      <c r="B105" s="62">
        <f t="shared" si="35"/>
        <v>11.658653846153847</v>
      </c>
      <c r="C105" s="60">
        <f t="shared" si="36"/>
        <v>2.9146634615384617</v>
      </c>
      <c r="D105" s="58">
        <f t="shared" si="37"/>
        <v>14.820628699408095</v>
      </c>
      <c r="E105" s="58">
        <f t="shared" si="27"/>
        <v>5.5725563909774438</v>
      </c>
      <c r="F105" s="60"/>
      <c r="G105" s="58">
        <f t="shared" si="28"/>
        <v>5.5725563909774438</v>
      </c>
      <c r="H105" s="60">
        <f t="shared" si="38"/>
        <v>2.6578929294389821</v>
      </c>
      <c r="I105" s="61">
        <f t="shared" ref="I105:I108" si="40">(COUTMAX/1000000)*(B105-B104)/H105</f>
        <v>4.5220898991472214E-7</v>
      </c>
      <c r="J105" s="68">
        <f t="shared" si="33"/>
        <v>1.0779972213701204E-4</v>
      </c>
      <c r="K105" s="157">
        <f t="shared" si="30"/>
        <v>0.47696115444293952</v>
      </c>
      <c r="L105" s="59">
        <f t="shared" si="39"/>
        <v>-12.838526604973977</v>
      </c>
      <c r="M105" s="59">
        <f t="shared" si="31"/>
        <v>2.12015873529413E-6</v>
      </c>
      <c r="N105" s="59">
        <f t="shared" si="32"/>
        <v>4.688448886639673</v>
      </c>
    </row>
    <row r="106" spans="1:14" x14ac:dyDescent="0.25">
      <c r="A106" s="59">
        <f t="shared" si="34"/>
        <v>12.5</v>
      </c>
      <c r="B106" s="62">
        <f t="shared" si="35"/>
        <v>11.778846153846153</v>
      </c>
      <c r="C106" s="60">
        <f t="shared" si="36"/>
        <v>2.9447115384615383</v>
      </c>
      <c r="D106" s="58">
        <f t="shared" si="37"/>
        <v>14.820628699408095</v>
      </c>
      <c r="E106" s="58">
        <f t="shared" si="27"/>
        <v>5.5725563909774438</v>
      </c>
      <c r="F106" s="60"/>
      <c r="G106" s="58">
        <f t="shared" si="28"/>
        <v>5.5725563909774438</v>
      </c>
      <c r="H106" s="60">
        <f t="shared" si="38"/>
        <v>2.6278448525159055</v>
      </c>
      <c r="I106" s="61">
        <f t="shared" si="40"/>
        <v>4.5737977102123887E-7</v>
      </c>
      <c r="J106" s="68">
        <f t="shared" si="33"/>
        <v>1.0825710190803329E-4</v>
      </c>
      <c r="K106" s="157">
        <f t="shared" si="30"/>
        <v>0.47156900139595953</v>
      </c>
      <c r="L106" s="59">
        <f t="shared" si="39"/>
        <v>-15.843334297281642</v>
      </c>
      <c r="M106" s="59">
        <f t="shared" si="31"/>
        <v>1.8380585813280334E-6</v>
      </c>
      <c r="N106" s="59">
        <f t="shared" si="32"/>
        <v>4.0186704742625823</v>
      </c>
    </row>
    <row r="107" spans="1:14" x14ac:dyDescent="0.25">
      <c r="A107" s="59">
        <f t="shared" si="34"/>
        <v>12.5</v>
      </c>
      <c r="B107" s="62">
        <f t="shared" si="35"/>
        <v>11.899038461538462</v>
      </c>
      <c r="C107" s="60">
        <f t="shared" si="36"/>
        <v>2.9747596153846154</v>
      </c>
      <c r="D107" s="58">
        <f t="shared" si="37"/>
        <v>14.820628699408095</v>
      </c>
      <c r="E107" s="58">
        <f t="shared" si="27"/>
        <v>5.5725563909774438</v>
      </c>
      <c r="F107" s="60"/>
      <c r="G107" s="58">
        <f t="shared" si="28"/>
        <v>5.5725563909774438</v>
      </c>
      <c r="H107" s="60">
        <f t="shared" si="38"/>
        <v>2.5977967755928284</v>
      </c>
      <c r="I107" s="61">
        <f t="shared" si="40"/>
        <v>4.6267017043656156E-7</v>
      </c>
      <c r="J107" s="68">
        <f t="shared" si="33"/>
        <v>1.0871977207846984E-4</v>
      </c>
      <c r="K107" s="157">
        <f t="shared" si="30"/>
        <v>0.46617684834897949</v>
      </c>
      <c r="L107" s="59">
        <f t="shared" si="39"/>
        <v>-18.848141989589354</v>
      </c>
      <c r="M107" s="59">
        <f t="shared" si="31"/>
        <v>1.5494324610462042E-6</v>
      </c>
      <c r="N107" s="59">
        <f t="shared" si="32"/>
        <v>3.3488920618854823</v>
      </c>
    </row>
    <row r="108" spans="1:14" x14ac:dyDescent="0.25">
      <c r="A108" s="59">
        <f t="shared" si="34"/>
        <v>12.5</v>
      </c>
      <c r="B108" s="62">
        <f t="shared" si="35"/>
        <v>12.01923076923077</v>
      </c>
      <c r="C108" s="60">
        <f t="shared" si="36"/>
        <v>3.0048076923076925</v>
      </c>
      <c r="D108" s="58">
        <f t="shared" si="37"/>
        <v>14.820628699408095</v>
      </c>
      <c r="E108" s="58">
        <f t="shared" si="27"/>
        <v>5.5725563909774438</v>
      </c>
      <c r="F108" s="60"/>
      <c r="G108" s="58">
        <f t="shared" si="28"/>
        <v>5.5725563909774438</v>
      </c>
      <c r="H108" s="60">
        <f t="shared" si="38"/>
        <v>2.5677486986697513</v>
      </c>
      <c r="I108" s="61">
        <f t="shared" si="40"/>
        <v>4.6808438752038022E-7</v>
      </c>
      <c r="J108" s="68">
        <f t="shared" si="33"/>
        <v>1.0918785646599022E-4</v>
      </c>
      <c r="K108" s="157">
        <f t="shared" si="30"/>
        <v>0.46078469530199945</v>
      </c>
      <c r="L108" s="59">
        <f t="shared" si="39"/>
        <v>-21.852949681897062</v>
      </c>
      <c r="M108" s="59">
        <f t="shared" si="31"/>
        <v>1.2540512717276216E-6</v>
      </c>
      <c r="N108" s="59">
        <f t="shared" si="32"/>
        <v>2.6791136495083818</v>
      </c>
    </row>
    <row r="109" spans="1:14" x14ac:dyDescent="0.25">
      <c r="A109" s="59">
        <f t="shared" si="34"/>
        <v>12.5</v>
      </c>
      <c r="B109" s="62">
        <f t="shared" si="35"/>
        <v>12.139423076923077</v>
      </c>
      <c r="C109" s="60">
        <f>IF(B109&gt;=$H$2,IF($D$2="CC", $G$2, B109/$G$2), 0)</f>
        <v>3.0348557692307692</v>
      </c>
      <c r="D109" s="58">
        <f>$B$2-B109*$J$2/($I$2*0.001)</f>
        <v>14.820628699408095</v>
      </c>
      <c r="E109" s="58">
        <f>$C$2</f>
        <v>5.5725563909774438</v>
      </c>
      <c r="F109" s="60"/>
      <c r="G109" s="58">
        <f t="shared" si="28"/>
        <v>5.5725563909774438</v>
      </c>
      <c r="H109" s="60">
        <f>G109-C109</f>
        <v>2.5377006217466747</v>
      </c>
      <c r="I109" s="61">
        <f>(COUTMAX/1000000)*(B109-B108)/H109</f>
        <v>4.7362682052534401E-7</v>
      </c>
      <c r="J109" s="68">
        <f>J108+I109</f>
        <v>1.0966148328651556E-4</v>
      </c>
      <c r="K109" s="157">
        <f>H109/G109</f>
        <v>0.45539254225501952</v>
      </c>
      <c r="L109" s="59">
        <f t="shared" si="39"/>
        <v>-24.857757374204727</v>
      </c>
      <c r="M109" s="59">
        <f>I109*G109*(A109-B109)</f>
        <v>9.5167505973203158E-7</v>
      </c>
      <c r="N109" s="59">
        <f t="shared" si="32"/>
        <v>2.0093352371312911</v>
      </c>
    </row>
    <row r="110" spans="1:14" x14ac:dyDescent="0.25">
      <c r="A110" s="59">
        <f t="shared" si="34"/>
        <v>12.5</v>
      </c>
      <c r="B110" s="62">
        <f t="shared" si="35"/>
        <v>12.259615384615383</v>
      </c>
      <c r="C110" s="60">
        <f>IF(B110&gt;=$H$2,IF($D$2="CC", $G$2, B110/$G$2), 0)</f>
        <v>3.0649038461538458</v>
      </c>
      <c r="D110" s="58">
        <f t="shared" ref="D110:D111" si="41">$B$2-B110*$J$2/($I$2*0.001)</f>
        <v>14.820628699408095</v>
      </c>
      <c r="E110" s="58">
        <f>$C$2</f>
        <v>5.5725563909774438</v>
      </c>
      <c r="F110" s="60"/>
      <c r="G110" s="58">
        <f t="shared" si="28"/>
        <v>5.5725563909774438</v>
      </c>
      <c r="H110" s="60">
        <f t="shared" ref="H110:H111" si="42">G110-C110</f>
        <v>2.507652544823598</v>
      </c>
      <c r="I110" s="61">
        <f t="shared" ref="I110:I111" si="43">(COUTMAX/1000000)*(B110-B109)/H110</f>
        <v>4.7930207851327987E-7</v>
      </c>
      <c r="J110" s="68">
        <f t="shared" ref="J110:J111" si="44">J109+I110</f>
        <v>1.1014078536502884E-4</v>
      </c>
      <c r="K110" s="157">
        <f t="shared" ref="K110:K111" si="45">H110/G110</f>
        <v>0.45000038920803959</v>
      </c>
      <c r="L110" s="59">
        <f t="shared" si="39"/>
        <v>-27.862565066512392</v>
      </c>
      <c r="M110" s="59">
        <f t="shared" ref="M110:M111" si="46">I110*G110*(A110-B110)</f>
        <v>6.4205237039133788E-7</v>
      </c>
      <c r="N110" s="59">
        <f t="shared" si="32"/>
        <v>1.3395568247542009</v>
      </c>
    </row>
    <row r="111" spans="1:14" x14ac:dyDescent="0.25">
      <c r="A111" s="59">
        <f t="shared" si="34"/>
        <v>12.5</v>
      </c>
      <c r="B111" s="62">
        <f t="shared" si="35"/>
        <v>12.379807692307693</v>
      </c>
      <c r="C111" s="60">
        <f>IF(B111&gt;=$H$2,IF($D$2="CC", $G$2, B111/$G$2), 0)</f>
        <v>3.0949519230769234</v>
      </c>
      <c r="D111" s="58">
        <f t="shared" si="41"/>
        <v>14.820628699408095</v>
      </c>
      <c r="E111" s="58">
        <f>$C$2</f>
        <v>5.5725563909774438</v>
      </c>
      <c r="F111" s="60"/>
      <c r="G111" s="58">
        <f t="shared" si="28"/>
        <v>5.5725563909774438</v>
      </c>
      <c r="H111" s="60">
        <f t="shared" si="42"/>
        <v>2.4776044679005205</v>
      </c>
      <c r="I111" s="61">
        <f t="shared" si="43"/>
        <v>4.8511499413850777E-7</v>
      </c>
      <c r="J111" s="68">
        <f t="shared" si="44"/>
        <v>1.1062590035916735E-4</v>
      </c>
      <c r="K111" s="157">
        <f t="shared" si="45"/>
        <v>0.44460823616105943</v>
      </c>
      <c r="L111" s="59">
        <f t="shared" si="39"/>
        <v>-30.867372758820146</v>
      </c>
      <c r="M111" s="59">
        <f t="shared" si="46"/>
        <v>3.2491955059441128E-7</v>
      </c>
      <c r="N111" s="59">
        <f t="shared" si="32"/>
        <v>0.66977841237709057</v>
      </c>
    </row>
    <row r="112" spans="1:14" x14ac:dyDescent="0.25">
      <c r="A112" s="59">
        <f t="shared" si="34"/>
        <v>12.5</v>
      </c>
      <c r="B112" s="62">
        <f t="shared" si="35"/>
        <v>12.5</v>
      </c>
      <c r="C112" s="60">
        <f>IF(B112&gt;=$H$2,IF($D$2="CC", $G$2, B112/$G$2), 0)</f>
        <v>3.125</v>
      </c>
      <c r="D112" s="58">
        <f t="shared" ref="D112" si="47">$B$2-B112*$J$2/($I$2*0.001)</f>
        <v>14.820628699408095</v>
      </c>
      <c r="E112" s="58">
        <f>$C$2</f>
        <v>5.5725563909774438</v>
      </c>
      <c r="F112" s="60"/>
      <c r="G112" s="58">
        <f t="shared" si="28"/>
        <v>5.5725563909774438</v>
      </c>
      <c r="H112" s="60">
        <f t="shared" ref="H112" si="48">G112-C112</f>
        <v>2.4475563909774438</v>
      </c>
      <c r="I112" s="61">
        <f t="shared" ref="I112" si="49">(COUTMAX/1000000)*(B112-B111)/H112</f>
        <v>4.910706373727603E-7</v>
      </c>
      <c r="J112" s="68">
        <f t="shared" ref="J112" si="50">J111+I112</f>
        <v>1.1111697099654012E-4</v>
      </c>
      <c r="K112" s="157">
        <f t="shared" ref="K112" si="51">H112/G112</f>
        <v>0.4392160831140795</v>
      </c>
      <c r="L112" s="59">
        <f t="shared" si="39"/>
        <v>-33.872180451127811</v>
      </c>
      <c r="M112" s="59">
        <f t="shared" ref="M112" si="52">I112*G112*(A112-B112)</f>
        <v>0</v>
      </c>
      <c r="N112" s="59">
        <f t="shared" si="32"/>
        <v>0</v>
      </c>
    </row>
  </sheetData>
  <mergeCells count="1">
    <mergeCell ref="W10:X10"/>
  </mergeCells>
  <pageMargins left="0.7" right="0.7" top="0.75" bottom="0.75" header="0.3" footer="0.3"/>
  <pageSetup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3:O45"/>
  <sheetViews>
    <sheetView workbookViewId="0">
      <selection activeCell="F17" sqref="F17"/>
    </sheetView>
  </sheetViews>
  <sheetFormatPr defaultRowHeight="12.5" x14ac:dyDescent="0.25"/>
  <cols>
    <col min="1" max="2" width="24.453125" customWidth="1"/>
    <col min="4" max="4" width="27.453125" customWidth="1"/>
    <col min="7" max="8" width="10.81640625" customWidth="1"/>
    <col min="9" max="9" width="11.453125" customWidth="1"/>
  </cols>
  <sheetData>
    <row r="3" spans="1:15" ht="13" x14ac:dyDescent="0.3">
      <c r="A3" s="22" t="s">
        <v>194</v>
      </c>
      <c r="B3" s="22"/>
      <c r="C3" s="26"/>
      <c r="D3" s="27" t="s">
        <v>335</v>
      </c>
      <c r="E3" s="26" t="s">
        <v>26</v>
      </c>
      <c r="F3" s="26" t="s">
        <v>27</v>
      </c>
      <c r="G3" s="26" t="s">
        <v>28</v>
      </c>
      <c r="H3" s="26"/>
      <c r="K3" s="377" t="s">
        <v>176</v>
      </c>
      <c r="L3" s="378"/>
      <c r="N3" s="26" t="s">
        <v>191</v>
      </c>
    </row>
    <row r="4" spans="1:15" x14ac:dyDescent="0.25">
      <c r="A4" s="26" t="s">
        <v>335</v>
      </c>
      <c r="B4" s="26"/>
      <c r="D4" s="27" t="s">
        <v>176</v>
      </c>
      <c r="E4" s="130"/>
      <c r="F4" s="130">
        <v>1.3</v>
      </c>
      <c r="G4" s="129">
        <v>1.6</v>
      </c>
      <c r="H4" s="26" t="s">
        <v>63</v>
      </c>
      <c r="I4" s="26"/>
      <c r="K4" s="69" t="s">
        <v>115</v>
      </c>
      <c r="L4" s="69" t="s">
        <v>116</v>
      </c>
      <c r="M4" s="69" t="s">
        <v>140</v>
      </c>
      <c r="N4" s="69" t="s">
        <v>115</v>
      </c>
      <c r="O4" s="69" t="s">
        <v>116</v>
      </c>
    </row>
    <row r="5" spans="1:15" x14ac:dyDescent="0.25">
      <c r="A5" s="26" t="s">
        <v>193</v>
      </c>
      <c r="B5" s="26"/>
      <c r="D5" s="27" t="s">
        <v>185</v>
      </c>
      <c r="E5" s="130"/>
      <c r="F5" s="130"/>
      <c r="G5" s="129">
        <v>240</v>
      </c>
      <c r="H5" s="26" t="s">
        <v>19</v>
      </c>
      <c r="I5" s="26"/>
      <c r="K5" s="1">
        <v>0.01</v>
      </c>
      <c r="L5" s="1">
        <f>K5/(G4/1000)</f>
        <v>6.25</v>
      </c>
      <c r="M5" s="26" t="s">
        <v>190</v>
      </c>
      <c r="N5" s="1">
        <f>G10/O5</f>
        <v>30</v>
      </c>
      <c r="O5" s="1">
        <f>I15</f>
        <v>200</v>
      </c>
    </row>
    <row r="6" spans="1:15" x14ac:dyDescent="0.25">
      <c r="D6" s="27" t="s">
        <v>186</v>
      </c>
      <c r="E6" s="130"/>
      <c r="F6" s="130"/>
      <c r="G6" s="129">
        <v>30</v>
      </c>
      <c r="H6" s="26" t="s">
        <v>64</v>
      </c>
      <c r="I6" s="26"/>
      <c r="K6" s="1">
        <f>L6*($G$4/1000)</f>
        <v>0.32</v>
      </c>
      <c r="L6" s="1">
        <v>200</v>
      </c>
      <c r="N6" s="1">
        <f>J15</f>
        <v>30</v>
      </c>
      <c r="O6" s="1">
        <f>G10/N6</f>
        <v>200</v>
      </c>
    </row>
    <row r="7" spans="1:15" x14ac:dyDescent="0.25">
      <c r="D7" s="27" t="s">
        <v>197</v>
      </c>
      <c r="E7" s="130"/>
      <c r="F7" s="130">
        <v>30</v>
      </c>
      <c r="G7" s="129"/>
      <c r="H7" s="129"/>
      <c r="I7" s="26"/>
      <c r="K7" s="1"/>
      <c r="L7" s="1"/>
      <c r="N7" s="1"/>
      <c r="O7" s="1"/>
    </row>
    <row r="8" spans="1:15" x14ac:dyDescent="0.25">
      <c r="D8" s="27" t="s">
        <v>198</v>
      </c>
      <c r="E8" s="130"/>
      <c r="F8" s="130"/>
      <c r="G8" s="129">
        <v>150</v>
      </c>
      <c r="H8" s="129"/>
      <c r="I8" s="26"/>
      <c r="K8" s="1"/>
      <c r="L8" s="1"/>
      <c r="N8" s="1"/>
      <c r="O8" s="1"/>
    </row>
    <row r="9" spans="1:15" x14ac:dyDescent="0.25">
      <c r="D9" s="27"/>
      <c r="E9" s="26" t="s">
        <v>115</v>
      </c>
      <c r="F9" s="26" t="s">
        <v>116</v>
      </c>
      <c r="G9" s="26" t="s">
        <v>187</v>
      </c>
      <c r="H9" s="26"/>
      <c r="I9" s="26" t="s">
        <v>188</v>
      </c>
      <c r="M9" s="26" t="s">
        <v>135</v>
      </c>
      <c r="N9" s="1">
        <f>G11/O9</f>
        <v>8</v>
      </c>
      <c r="O9" s="1">
        <f>I16</f>
        <v>200</v>
      </c>
    </row>
    <row r="10" spans="1:15" x14ac:dyDescent="0.25">
      <c r="D10" s="27" t="s">
        <v>177</v>
      </c>
      <c r="E10" s="129">
        <v>30</v>
      </c>
      <c r="F10" s="129">
        <v>200</v>
      </c>
      <c r="G10">
        <f>E10*F10</f>
        <v>6000</v>
      </c>
      <c r="I10">
        <f>(G10/($G$4/1000))^0.5</f>
        <v>1936.4916731037085</v>
      </c>
      <c r="N10" s="1">
        <f>J16</f>
        <v>30</v>
      </c>
      <c r="O10" s="1">
        <f>G11/N10</f>
        <v>53.333333333333336</v>
      </c>
    </row>
    <row r="11" spans="1:15" x14ac:dyDescent="0.25">
      <c r="D11" s="27" t="s">
        <v>178</v>
      </c>
      <c r="E11" s="129">
        <v>8</v>
      </c>
      <c r="F11" s="129">
        <v>200</v>
      </c>
      <c r="G11">
        <f t="shared" ref="G11:G17" si="0">E11*F11</f>
        <v>1600</v>
      </c>
      <c r="I11">
        <f t="shared" ref="I11:I13" si="1">(G11/($G$4/1000))^0.5</f>
        <v>1000</v>
      </c>
      <c r="M11" s="26" t="s">
        <v>136</v>
      </c>
      <c r="N11" s="1">
        <f>G12/O11</f>
        <v>1</v>
      </c>
      <c r="O11" s="1">
        <f>I17</f>
        <v>200</v>
      </c>
    </row>
    <row r="12" spans="1:15" x14ac:dyDescent="0.25">
      <c r="D12" s="27" t="s">
        <v>179</v>
      </c>
      <c r="E12" s="129">
        <v>1</v>
      </c>
      <c r="F12" s="129">
        <v>200</v>
      </c>
      <c r="G12">
        <f t="shared" si="0"/>
        <v>200</v>
      </c>
      <c r="I12">
        <f t="shared" si="1"/>
        <v>353.55339059327378</v>
      </c>
      <c r="N12" s="1">
        <f>J17</f>
        <v>30</v>
      </c>
      <c r="O12" s="1"/>
    </row>
    <row r="13" spans="1:15" x14ac:dyDescent="0.25">
      <c r="D13" s="27" t="s">
        <v>180</v>
      </c>
      <c r="E13" s="129">
        <v>3</v>
      </c>
      <c r="F13" s="129">
        <v>20</v>
      </c>
      <c r="G13">
        <f t="shared" si="0"/>
        <v>60</v>
      </c>
      <c r="I13">
        <f t="shared" si="1"/>
        <v>193.64916731037084</v>
      </c>
      <c r="M13" s="26" t="s">
        <v>137</v>
      </c>
      <c r="N13" s="1">
        <f>G13/O13</f>
        <v>0.30983866769659335</v>
      </c>
      <c r="O13" s="1">
        <f>I18</f>
        <v>193.64916731037084</v>
      </c>
    </row>
    <row r="14" spans="1:15" x14ac:dyDescent="0.25">
      <c r="D14" s="27" t="s">
        <v>181</v>
      </c>
      <c r="E14" s="1">
        <v>31</v>
      </c>
      <c r="F14" s="1">
        <v>0</v>
      </c>
      <c r="G14">
        <f t="shared" si="0"/>
        <v>0</v>
      </c>
      <c r="I14" s="26" t="s">
        <v>189</v>
      </c>
      <c r="J14" s="26" t="s">
        <v>192</v>
      </c>
      <c r="N14" s="1">
        <f>J18</f>
        <v>30</v>
      </c>
      <c r="O14" s="1"/>
    </row>
    <row r="15" spans="1:15" x14ac:dyDescent="0.25">
      <c r="D15" s="27" t="s">
        <v>182</v>
      </c>
      <c r="E15" s="1">
        <v>31</v>
      </c>
      <c r="F15" s="1">
        <v>0</v>
      </c>
      <c r="G15">
        <f t="shared" si="0"/>
        <v>0</v>
      </c>
      <c r="I15" s="26">
        <f>IF(I10&gt;$G$5,200,I10)</f>
        <v>200</v>
      </c>
      <c r="J15" s="26">
        <f>IF(E14&gt;$G$6,$G$6,)</f>
        <v>30</v>
      </c>
    </row>
    <row r="16" spans="1:15" x14ac:dyDescent="0.25">
      <c r="D16" s="27" t="s">
        <v>183</v>
      </c>
      <c r="E16" s="1">
        <v>31</v>
      </c>
      <c r="F16" s="1">
        <v>0</v>
      </c>
      <c r="G16">
        <f t="shared" si="0"/>
        <v>0</v>
      </c>
      <c r="I16" s="26">
        <f>IF(I11&gt;$G$5,200,I11)</f>
        <v>200</v>
      </c>
      <c r="J16" s="26">
        <f t="shared" ref="J16:J18" si="2">IF(E15&gt;$G$6,$G$6,)</f>
        <v>30</v>
      </c>
    </row>
    <row r="17" spans="1:10" x14ac:dyDescent="0.25">
      <c r="D17" s="27" t="s">
        <v>184</v>
      </c>
      <c r="E17" s="1">
        <v>31</v>
      </c>
      <c r="F17" s="1">
        <v>0</v>
      </c>
      <c r="G17">
        <f t="shared" si="0"/>
        <v>0</v>
      </c>
      <c r="I17" s="26">
        <f>IF(I12&gt;$G$5,200,I12)</f>
        <v>200</v>
      </c>
      <c r="J17" s="26">
        <f t="shared" si="2"/>
        <v>30</v>
      </c>
    </row>
    <row r="18" spans="1:10" x14ac:dyDescent="0.25">
      <c r="I18" s="26">
        <f>IF(I13&gt;$G$5,200,I13)</f>
        <v>193.64916731037084</v>
      </c>
      <c r="J18" s="26">
        <f t="shared" si="2"/>
        <v>30</v>
      </c>
    </row>
    <row r="20" spans="1:10" x14ac:dyDescent="0.25">
      <c r="D20" s="27"/>
    </row>
    <row r="21" spans="1:10" x14ac:dyDescent="0.25">
      <c r="A21" s="26" t="s">
        <v>195</v>
      </c>
      <c r="B21" s="26" t="s">
        <v>344</v>
      </c>
    </row>
    <row r="22" spans="1:10" ht="14.5" x14ac:dyDescent="0.35">
      <c r="A22" s="26" t="s">
        <v>176</v>
      </c>
      <c r="B22" s="206">
        <v>1.3</v>
      </c>
    </row>
    <row r="23" spans="1:10" ht="14.5" x14ac:dyDescent="0.35">
      <c r="A23" s="26" t="s">
        <v>197</v>
      </c>
      <c r="B23" s="206">
        <v>30</v>
      </c>
    </row>
    <row r="24" spans="1:10" ht="14.5" x14ac:dyDescent="0.35">
      <c r="A24" s="26" t="s">
        <v>198</v>
      </c>
      <c r="B24" s="206">
        <v>150</v>
      </c>
    </row>
    <row r="25" spans="1:10" ht="14.5" x14ac:dyDescent="0.35">
      <c r="A25" s="26" t="s">
        <v>196</v>
      </c>
      <c r="B25" s="206">
        <v>400</v>
      </c>
    </row>
    <row r="26" spans="1:10" ht="14.5" x14ac:dyDescent="0.35">
      <c r="A26" s="26" t="s">
        <v>199</v>
      </c>
      <c r="B26" s="206">
        <v>100</v>
      </c>
    </row>
    <row r="27" spans="1:10" ht="14.5" x14ac:dyDescent="0.35">
      <c r="A27" s="26" t="s">
        <v>200</v>
      </c>
      <c r="B27" s="206">
        <v>15</v>
      </c>
    </row>
    <row r="28" spans="1:10" ht="14.5" x14ac:dyDescent="0.35">
      <c r="A28" s="26" t="s">
        <v>201</v>
      </c>
      <c r="B28" s="206">
        <v>4</v>
      </c>
    </row>
    <row r="29" spans="1:10" ht="14.5" x14ac:dyDescent="0.35">
      <c r="A29" s="26" t="s">
        <v>373</v>
      </c>
      <c r="B29" s="225">
        <v>3</v>
      </c>
    </row>
    <row r="38" spans="5:8" ht="13.5" thickBot="1" x14ac:dyDescent="0.35">
      <c r="E38" s="133" t="s">
        <v>207</v>
      </c>
      <c r="F38" s="134"/>
      <c r="G38" t="e">
        <f>Tfaultmax</f>
        <v>#REF!</v>
      </c>
      <c r="H38" s="26" t="s">
        <v>8</v>
      </c>
    </row>
    <row r="39" spans="5:8" ht="15" x14ac:dyDescent="0.4">
      <c r="E39" s="135" t="s">
        <v>33</v>
      </c>
      <c r="F39" s="136" t="s">
        <v>78</v>
      </c>
    </row>
    <row r="40" spans="5:8" ht="13" x14ac:dyDescent="0.3">
      <c r="E40" s="137" t="s">
        <v>9</v>
      </c>
      <c r="F40" s="138" t="s">
        <v>10</v>
      </c>
    </row>
    <row r="41" spans="5:8" x14ac:dyDescent="0.25">
      <c r="E41" s="139">
        <v>1</v>
      </c>
      <c r="F41" s="140">
        <f>SOA!$C$25/E41</f>
        <v>20.47096571301865</v>
      </c>
    </row>
    <row r="42" spans="5:8" x14ac:dyDescent="0.25">
      <c r="E42" s="139">
        <v>1.2</v>
      </c>
      <c r="F42" s="140">
        <f>SOA!$C$25/E42</f>
        <v>17.059138094182209</v>
      </c>
    </row>
    <row r="43" spans="5:8" x14ac:dyDescent="0.25">
      <c r="E43" s="139">
        <v>30</v>
      </c>
      <c r="F43" s="140">
        <f>SOA!$C$25/E43</f>
        <v>0.68236552376728832</v>
      </c>
    </row>
    <row r="44" spans="5:8" x14ac:dyDescent="0.25">
      <c r="E44" s="139"/>
      <c r="F44" s="140"/>
    </row>
    <row r="45" spans="5:8" ht="13" thickBot="1" x14ac:dyDescent="0.3">
      <c r="E45" s="141"/>
      <c r="F45" s="142"/>
    </row>
  </sheetData>
  <mergeCells count="1">
    <mergeCell ref="K3:L3"/>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AB69"/>
  <sheetViews>
    <sheetView zoomScale="85" zoomScaleNormal="85" workbookViewId="0">
      <selection activeCell="J10" sqref="J10"/>
    </sheetView>
  </sheetViews>
  <sheetFormatPr defaultRowHeight="12.5" x14ac:dyDescent="0.25"/>
  <cols>
    <col min="1" max="1" width="19.54296875" customWidth="1"/>
    <col min="2" max="2" width="17.453125" customWidth="1"/>
    <col min="3" max="3" width="10.453125" customWidth="1"/>
    <col min="4" max="4" width="16" customWidth="1"/>
    <col min="5" max="7" width="17.54296875" customWidth="1"/>
    <col min="8" max="8" width="17.81640625" customWidth="1"/>
    <col min="9" max="9" width="12.81640625" customWidth="1"/>
    <col min="10" max="10" width="12.453125" customWidth="1"/>
    <col min="11" max="11" width="17.453125" customWidth="1"/>
    <col min="12" max="12" width="15.453125" customWidth="1"/>
    <col min="13" max="13" width="10.453125" customWidth="1"/>
    <col min="14" max="14" width="20" customWidth="1"/>
    <col min="19" max="19" width="12.81640625" customWidth="1"/>
    <col min="21" max="21" width="17.453125" customWidth="1"/>
    <col min="23" max="23" width="13.453125" customWidth="1"/>
    <col min="24" max="24" width="16.81640625" customWidth="1"/>
    <col min="26" max="26" width="13" customWidth="1"/>
    <col min="27" max="27" width="10.1796875" customWidth="1"/>
  </cols>
  <sheetData>
    <row r="1" spans="1:28" x14ac:dyDescent="0.25">
      <c r="C1" s="7"/>
      <c r="D1" s="7"/>
      <c r="E1" s="7"/>
      <c r="F1" s="7"/>
      <c r="G1" s="7"/>
      <c r="H1" s="7"/>
      <c r="I1" s="7"/>
      <c r="J1" s="7"/>
      <c r="K1" s="7"/>
      <c r="L1" s="7"/>
    </row>
    <row r="2" spans="1:28" x14ac:dyDescent="0.25">
      <c r="A2" s="70"/>
      <c r="B2" s="197"/>
      <c r="C2" s="383" t="s">
        <v>134</v>
      </c>
      <c r="D2" s="384"/>
      <c r="E2" s="384"/>
      <c r="F2" s="82"/>
      <c r="G2" s="82"/>
      <c r="H2" s="7"/>
      <c r="I2" s="70"/>
      <c r="J2" s="381" t="s">
        <v>134</v>
      </c>
      <c r="K2" s="382"/>
      <c r="L2" s="382"/>
      <c r="M2" s="7"/>
      <c r="N2" s="7"/>
      <c r="O2" s="7"/>
      <c r="P2" s="7"/>
      <c r="Q2" s="7"/>
      <c r="R2" s="7"/>
      <c r="S2" s="7"/>
      <c r="T2" s="7"/>
      <c r="U2" s="71"/>
      <c r="V2" s="71"/>
      <c r="W2" s="71"/>
      <c r="X2" s="71"/>
      <c r="Y2" s="71"/>
      <c r="Z2" s="71"/>
      <c r="AA2" s="7"/>
      <c r="AB2" s="7"/>
    </row>
    <row r="3" spans="1:28" x14ac:dyDescent="0.25">
      <c r="A3" s="70"/>
      <c r="B3" s="72" t="s">
        <v>190</v>
      </c>
      <c r="C3" s="72" t="s">
        <v>135</v>
      </c>
      <c r="D3" s="72" t="s">
        <v>136</v>
      </c>
      <c r="E3" s="72" t="s">
        <v>137</v>
      </c>
      <c r="F3" s="198" t="s">
        <v>269</v>
      </c>
      <c r="G3" s="78"/>
      <c r="H3" s="7"/>
      <c r="I3" s="70"/>
      <c r="J3" s="72" t="s">
        <v>135</v>
      </c>
      <c r="K3" s="72" t="s">
        <v>136</v>
      </c>
      <c r="L3" s="72" t="s">
        <v>137</v>
      </c>
      <c r="M3" s="7"/>
      <c r="N3" s="7"/>
      <c r="O3" s="73"/>
      <c r="P3" s="73"/>
      <c r="Q3" s="73"/>
      <c r="R3" s="73"/>
      <c r="S3" s="73"/>
      <c r="T3" s="7"/>
      <c r="U3" s="73"/>
      <c r="V3" s="73"/>
      <c r="W3" s="74"/>
      <c r="X3" s="74"/>
      <c r="Y3" s="74"/>
      <c r="Z3" s="74"/>
      <c r="AA3" s="7"/>
      <c r="AB3" s="7"/>
    </row>
    <row r="4" spans="1:28" ht="21.65" customHeight="1" x14ac:dyDescent="0.35">
      <c r="A4" s="72" t="s">
        <v>138</v>
      </c>
      <c r="B4" s="70">
        <f>'Design Calculator'!$AN$57</f>
        <v>9</v>
      </c>
      <c r="C4" s="75">
        <f>'Design Calculator'!$AN$58</f>
        <v>2.9</v>
      </c>
      <c r="D4" s="75">
        <f>'Design Calculator'!$AN$59</f>
        <v>0.9</v>
      </c>
      <c r="E4" s="75">
        <f>'Design Calculator'!$AN$60</f>
        <v>0.6</v>
      </c>
      <c r="F4" s="75">
        <f>'Design Calculator'!F61</f>
        <v>0.6</v>
      </c>
      <c r="G4" s="84"/>
      <c r="H4" s="76"/>
      <c r="I4" s="72" t="s">
        <v>138</v>
      </c>
      <c r="J4" s="75">
        <f>'Design Calculator'!$AN$57</f>
        <v>9</v>
      </c>
      <c r="K4" s="75">
        <f>'Design Calculator'!$AN$59</f>
        <v>0.9</v>
      </c>
      <c r="L4" s="75">
        <f>'Design Calculator'!$AN$60</f>
        <v>0.6</v>
      </c>
      <c r="M4" s="71"/>
      <c r="N4" s="7"/>
      <c r="O4" s="73"/>
      <c r="P4" s="73"/>
      <c r="Q4" s="73"/>
      <c r="R4" s="74"/>
      <c r="S4" s="74"/>
      <c r="T4" s="7"/>
      <c r="U4" s="73"/>
      <c r="V4" s="73"/>
      <c r="W4" s="74"/>
      <c r="X4" s="74"/>
      <c r="Y4" s="74"/>
      <c r="Z4" s="74"/>
      <c r="AA4" s="7"/>
      <c r="AB4" s="7"/>
    </row>
    <row r="5" spans="1:28" x14ac:dyDescent="0.25">
      <c r="A5" s="7"/>
      <c r="C5" s="73"/>
      <c r="D5" s="74"/>
      <c r="E5" s="74"/>
      <c r="F5" s="77"/>
      <c r="G5" s="77"/>
      <c r="H5" s="74"/>
      <c r="J5" s="73"/>
      <c r="K5" s="74"/>
      <c r="L5" s="74"/>
      <c r="M5" s="7"/>
      <c r="N5" s="7"/>
      <c r="O5" s="73"/>
      <c r="P5" s="73"/>
      <c r="Q5" s="73"/>
      <c r="R5" s="74"/>
      <c r="S5" s="74"/>
      <c r="T5" s="385"/>
      <c r="U5" s="385"/>
      <c r="V5" s="385"/>
      <c r="W5" s="74"/>
      <c r="X5" s="386"/>
      <c r="Y5" s="380"/>
      <c r="Z5" s="380"/>
      <c r="AA5" s="7"/>
      <c r="AB5" s="7"/>
    </row>
    <row r="6" spans="1:28" x14ac:dyDescent="0.25">
      <c r="A6" s="7"/>
      <c r="C6" s="73"/>
      <c r="D6" s="74"/>
      <c r="E6" s="74"/>
      <c r="F6" s="77"/>
      <c r="G6" s="77"/>
      <c r="H6" s="74"/>
      <c r="J6" s="73"/>
      <c r="K6" s="74"/>
      <c r="L6" s="74"/>
      <c r="M6" s="7"/>
      <c r="N6" s="7"/>
      <c r="O6" s="73"/>
      <c r="P6" s="73"/>
      <c r="Q6" s="73"/>
      <c r="R6" s="74"/>
      <c r="S6" s="74"/>
      <c r="T6" s="7"/>
      <c r="U6" s="78"/>
      <c r="V6" s="7"/>
      <c r="W6" s="7"/>
      <c r="X6" s="7"/>
      <c r="Y6" s="7"/>
      <c r="Z6" s="7"/>
      <c r="AA6" s="7"/>
      <c r="AB6" s="7"/>
    </row>
    <row r="7" spans="1:28" ht="14.5" x14ac:dyDescent="0.35">
      <c r="A7" s="7"/>
      <c r="B7" s="79" t="s">
        <v>266</v>
      </c>
      <c r="H7" s="74"/>
      <c r="I7" s="79" t="s">
        <v>139</v>
      </c>
      <c r="M7" s="7"/>
      <c r="N7" s="7"/>
      <c r="O7" s="7"/>
      <c r="P7" s="7"/>
      <c r="Q7" s="7"/>
      <c r="R7" s="7"/>
      <c r="S7" s="7"/>
      <c r="T7" s="78"/>
      <c r="U7" s="78"/>
      <c r="V7" s="78"/>
      <c r="W7" s="7"/>
      <c r="X7" s="7"/>
      <c r="Y7" s="7"/>
      <c r="Z7" s="80"/>
      <c r="AA7" s="73"/>
      <c r="AB7" s="7"/>
    </row>
    <row r="8" spans="1:28" ht="14.5" x14ac:dyDescent="0.35">
      <c r="A8" s="7"/>
      <c r="B8" s="26" t="s">
        <v>140</v>
      </c>
      <c r="C8" s="3">
        <f>'Design Calculator'!$F$80</f>
        <v>1.6200000000000003</v>
      </c>
      <c r="D8" s="26" t="s">
        <v>8</v>
      </c>
      <c r="H8" s="74"/>
      <c r="I8" s="26" t="s">
        <v>140</v>
      </c>
      <c r="J8" s="3">
        <f>C8</f>
        <v>1.6200000000000003</v>
      </c>
      <c r="K8" s="26" t="s">
        <v>8</v>
      </c>
      <c r="M8" s="7"/>
      <c r="N8" s="7"/>
      <c r="O8" s="7"/>
      <c r="P8" s="7"/>
      <c r="Q8" s="7"/>
      <c r="R8" s="7"/>
      <c r="S8" s="7"/>
      <c r="T8" s="78"/>
      <c r="U8" s="7"/>
      <c r="V8" s="80"/>
      <c r="W8" s="7"/>
      <c r="X8" s="7"/>
      <c r="Y8" s="7"/>
      <c r="Z8" s="80"/>
      <c r="AA8" s="73"/>
      <c r="AB8" s="7"/>
    </row>
    <row r="9" spans="1:28" ht="14.5" x14ac:dyDescent="0.35">
      <c r="A9" s="7"/>
      <c r="B9" s="26" t="s">
        <v>141</v>
      </c>
      <c r="C9">
        <f>VINMAX</f>
        <v>12.5</v>
      </c>
      <c r="D9" t="s">
        <v>64</v>
      </c>
      <c r="H9" s="74"/>
      <c r="I9" s="26" t="s">
        <v>141</v>
      </c>
      <c r="J9">
        <f>VINMAX</f>
        <v>12.5</v>
      </c>
      <c r="K9" t="s">
        <v>64</v>
      </c>
      <c r="M9" s="7"/>
      <c r="N9" s="7"/>
      <c r="O9" s="7"/>
      <c r="P9" s="7"/>
      <c r="Q9" s="7"/>
      <c r="R9" s="7"/>
      <c r="S9" s="7"/>
      <c r="T9" s="78"/>
      <c r="U9" s="7"/>
      <c r="V9" s="80"/>
      <c r="W9" s="7"/>
      <c r="X9" s="7"/>
      <c r="Y9" s="7"/>
      <c r="Z9" s="80"/>
      <c r="AA9" s="7"/>
      <c r="AB9" s="7"/>
    </row>
    <row r="10" spans="1:28" ht="14.5" x14ac:dyDescent="0.35">
      <c r="A10" s="7"/>
      <c r="B10" s="26" t="s">
        <v>142</v>
      </c>
      <c r="C10">
        <f>IF(C8&lt;10, IF(C8&lt;1, 0.1, 1), IF(C8&lt;100, 10, 100))</f>
        <v>1</v>
      </c>
      <c r="D10" s="26" t="s">
        <v>8</v>
      </c>
      <c r="G10">
        <v>1</v>
      </c>
      <c r="H10" s="74">
        <v>10</v>
      </c>
      <c r="I10" s="26" t="s">
        <v>142</v>
      </c>
      <c r="J10">
        <f>IF(J8&lt;10, IF(J8&lt;1, 0.1, 1), IF(J8&lt;100, 10, 100))</f>
        <v>1</v>
      </c>
      <c r="K10" s="26" t="s">
        <v>8</v>
      </c>
      <c r="M10" s="7"/>
      <c r="N10" s="73"/>
      <c r="O10" s="7"/>
      <c r="P10" s="7"/>
      <c r="Q10" s="78"/>
      <c r="R10" s="7"/>
      <c r="S10" s="7"/>
      <c r="T10" s="78"/>
      <c r="U10" s="7"/>
      <c r="V10" s="80"/>
      <c r="W10" s="7"/>
      <c r="X10" s="7"/>
      <c r="Y10" s="7"/>
      <c r="Z10" s="80"/>
      <c r="AA10" s="7"/>
      <c r="AB10" s="7"/>
    </row>
    <row r="11" spans="1:28" ht="14.5" x14ac:dyDescent="0.35">
      <c r="A11" s="7"/>
      <c r="B11" s="26" t="s">
        <v>143</v>
      </c>
      <c r="C11">
        <f>C10*10</f>
        <v>10</v>
      </c>
      <c r="D11" s="26" t="s">
        <v>8</v>
      </c>
      <c r="G11">
        <v>10</v>
      </c>
      <c r="H11" s="74">
        <v>100</v>
      </c>
      <c r="I11" s="26" t="s">
        <v>143</v>
      </c>
      <c r="J11">
        <f>IF(J8&lt; 10, 10, 100)</f>
        <v>10</v>
      </c>
      <c r="K11" s="26" t="s">
        <v>8</v>
      </c>
      <c r="M11" s="7"/>
      <c r="N11" s="7"/>
      <c r="O11" s="73"/>
      <c r="P11" s="7"/>
      <c r="Q11" s="7"/>
      <c r="R11" s="7"/>
      <c r="S11" s="7"/>
      <c r="T11" s="7"/>
      <c r="U11" s="7"/>
      <c r="V11" s="80"/>
      <c r="W11" s="7"/>
      <c r="X11" s="7"/>
      <c r="Y11" s="7"/>
      <c r="Z11" s="7"/>
      <c r="AA11" s="7"/>
      <c r="AB11" s="7"/>
    </row>
    <row r="12" spans="1:28" x14ac:dyDescent="0.25">
      <c r="A12" s="7"/>
      <c r="B12" s="26" t="s">
        <v>144</v>
      </c>
      <c r="C12">
        <f>IF(C10=0.1, B4, IF(C10=1, C4, IF(C10=10, D4, E4)))</f>
        <v>2.9</v>
      </c>
      <c r="D12" s="26" t="s">
        <v>19</v>
      </c>
      <c r="G12" s="3">
        <f>C4</f>
        <v>2.9</v>
      </c>
      <c r="H12" s="74">
        <f>D4</f>
        <v>0.9</v>
      </c>
      <c r="I12" s="26" t="s">
        <v>144</v>
      </c>
      <c r="J12">
        <f>IF(J10=1, J4, K4)</f>
        <v>9</v>
      </c>
      <c r="K12" s="26" t="s">
        <v>19</v>
      </c>
      <c r="M12" s="7"/>
      <c r="N12" s="73"/>
      <c r="O12" s="7"/>
      <c r="P12" s="7"/>
      <c r="Q12" s="7"/>
      <c r="R12" s="7"/>
      <c r="S12" s="7"/>
      <c r="T12" s="7"/>
      <c r="U12" s="7"/>
      <c r="V12" s="7"/>
      <c r="W12" s="7"/>
      <c r="X12" s="7"/>
      <c r="Y12" s="7"/>
      <c r="Z12" s="7"/>
      <c r="AA12" s="7"/>
      <c r="AB12" s="7"/>
    </row>
    <row r="13" spans="1:28" x14ac:dyDescent="0.25">
      <c r="A13" s="7"/>
      <c r="B13" s="26" t="s">
        <v>145</v>
      </c>
      <c r="C13">
        <f>IF(C11=1000, F4, IF(C11=1, C4, IF(C11=10, D4, E4)))</f>
        <v>0.9</v>
      </c>
      <c r="D13" s="26" t="s">
        <v>19</v>
      </c>
      <c r="G13" s="3">
        <f>D4</f>
        <v>0.9</v>
      </c>
      <c r="H13" s="74">
        <f>E4</f>
        <v>0.6</v>
      </c>
      <c r="I13" s="26" t="s">
        <v>145</v>
      </c>
      <c r="J13">
        <f>IF(J11=10, K4, L4)</f>
        <v>0.9</v>
      </c>
      <c r="K13" s="26" t="s">
        <v>19</v>
      </c>
      <c r="M13" s="7"/>
      <c r="N13" s="73"/>
      <c r="O13" s="7"/>
      <c r="P13" s="7"/>
      <c r="Q13" s="7"/>
      <c r="R13" s="7"/>
      <c r="S13" s="7"/>
      <c r="T13" s="7"/>
      <c r="U13" s="7"/>
      <c r="V13" s="7"/>
      <c r="W13" s="7"/>
      <c r="X13" s="7"/>
      <c r="Y13" s="7"/>
      <c r="Z13" s="7"/>
      <c r="AA13" s="7"/>
      <c r="AB13" s="7"/>
    </row>
    <row r="14" spans="1:28" x14ac:dyDescent="0.25">
      <c r="A14" s="7"/>
      <c r="H14" s="74"/>
      <c r="M14" s="7"/>
      <c r="N14" s="7"/>
      <c r="O14" s="7"/>
      <c r="P14" s="7"/>
      <c r="Q14" s="7"/>
      <c r="R14" s="7"/>
      <c r="S14" s="7"/>
      <c r="T14" s="7"/>
      <c r="U14" s="7"/>
      <c r="V14" s="7"/>
      <c r="W14" s="7"/>
      <c r="X14" s="7"/>
      <c r="Y14" s="7"/>
      <c r="Z14" s="7"/>
      <c r="AA14" s="7"/>
      <c r="AB14" s="7"/>
    </row>
    <row r="15" spans="1:28" x14ac:dyDescent="0.25">
      <c r="A15" s="7"/>
      <c r="B15" s="26" t="s">
        <v>154</v>
      </c>
      <c r="H15" s="74"/>
      <c r="M15" s="7"/>
      <c r="N15" s="7"/>
      <c r="O15" s="7"/>
      <c r="P15" s="7"/>
      <c r="Q15" s="7"/>
      <c r="R15" s="7"/>
      <c r="S15" s="7"/>
      <c r="T15" s="7"/>
      <c r="U15" s="7"/>
      <c r="V15" s="7"/>
      <c r="W15" s="7"/>
      <c r="X15" s="7"/>
      <c r="Y15" s="7"/>
      <c r="Z15" s="7"/>
      <c r="AA15" s="7"/>
      <c r="AB15" s="7"/>
    </row>
    <row r="16" spans="1:28" ht="14.5" x14ac:dyDescent="0.35">
      <c r="A16" s="7"/>
      <c r="E16" s="26" t="s">
        <v>161</v>
      </c>
      <c r="F16" s="26"/>
      <c r="H16" s="74"/>
      <c r="L16" s="26" t="s">
        <v>146</v>
      </c>
      <c r="M16" s="7"/>
      <c r="N16" s="73"/>
      <c r="O16" s="7"/>
      <c r="P16" s="7"/>
      <c r="Q16" s="81"/>
      <c r="R16" s="7"/>
      <c r="S16" s="7"/>
      <c r="T16" s="7"/>
      <c r="U16" s="7"/>
      <c r="V16" s="7"/>
      <c r="W16" s="7"/>
      <c r="X16" s="7"/>
      <c r="Y16" s="7"/>
      <c r="Z16" s="7"/>
      <c r="AA16" s="7"/>
      <c r="AB16" s="7"/>
    </row>
    <row r="17" spans="1:28" x14ac:dyDescent="0.25">
      <c r="A17" s="7"/>
      <c r="B17" s="26" t="s">
        <v>147</v>
      </c>
      <c r="C17">
        <f>C12/C10^C18</f>
        <v>2.9</v>
      </c>
      <c r="E17" s="26" t="s">
        <v>159</v>
      </c>
      <c r="F17" s="26"/>
      <c r="G17">
        <f>G12/G10^G18</f>
        <v>2.9</v>
      </c>
      <c r="H17">
        <f>H12/H10^H18</f>
        <v>1.35</v>
      </c>
      <c r="I17" s="26" t="s">
        <v>147</v>
      </c>
      <c r="J17">
        <f>J12/J10^J18</f>
        <v>9</v>
      </c>
      <c r="L17" s="26" t="s">
        <v>148</v>
      </c>
      <c r="M17" s="7"/>
      <c r="N17" s="7"/>
      <c r="O17" s="387"/>
      <c r="P17" s="387"/>
      <c r="Q17" s="387"/>
      <c r="R17" s="7"/>
      <c r="S17" s="7"/>
      <c r="T17" s="7"/>
      <c r="U17" s="7"/>
      <c r="V17" s="7"/>
      <c r="W17" s="7"/>
      <c r="X17" s="7"/>
      <c r="Y17" s="7"/>
      <c r="Z17" s="7"/>
      <c r="AA17" s="7"/>
      <c r="AB17" s="7"/>
    </row>
    <row r="18" spans="1:28" x14ac:dyDescent="0.25">
      <c r="A18" s="7"/>
      <c r="B18" s="26" t="s">
        <v>149</v>
      </c>
      <c r="C18">
        <f>LOG(C12/C13)/LOG(C10/C11)</f>
        <v>-0.50815548845963121</v>
      </c>
      <c r="E18" s="26" t="s">
        <v>160</v>
      </c>
      <c r="F18" s="26"/>
      <c r="G18">
        <f>LOG(G12/G13)/LOG(G10/G11)</f>
        <v>-0.50815548845963121</v>
      </c>
      <c r="H18">
        <f>LOG(H12/H13)/LOG(H10/H11)</f>
        <v>-0.17609125905568124</v>
      </c>
      <c r="I18" s="26" t="s">
        <v>149</v>
      </c>
      <c r="J18">
        <f>LOG(J12/J13)/LOG(J10/J11)</f>
        <v>-1</v>
      </c>
      <c r="L18" s="26" t="s">
        <v>150</v>
      </c>
      <c r="M18" s="7"/>
      <c r="N18" s="7"/>
      <c r="O18" s="7"/>
      <c r="P18" s="7"/>
      <c r="Q18" s="7"/>
      <c r="R18" s="7"/>
      <c r="S18" s="387"/>
      <c r="T18" s="387"/>
      <c r="U18" s="387"/>
      <c r="V18" s="387"/>
      <c r="W18" s="7"/>
      <c r="X18" s="7"/>
      <c r="Y18" s="7"/>
      <c r="Z18" s="7"/>
      <c r="AA18" s="7"/>
      <c r="AB18" s="7"/>
    </row>
    <row r="19" spans="1:28" x14ac:dyDescent="0.25">
      <c r="A19" s="7"/>
      <c r="B19" s="26" t="s">
        <v>151</v>
      </c>
      <c r="C19">
        <f>C17*C8^C18</f>
        <v>2.2695083939045064</v>
      </c>
      <c r="D19" s="26" t="s">
        <v>19</v>
      </c>
      <c r="I19" s="26" t="s">
        <v>151</v>
      </c>
      <c r="J19">
        <f>J17*J8^J18</f>
        <v>5.5555555555555545</v>
      </c>
      <c r="K19" s="26" t="s">
        <v>19</v>
      </c>
      <c r="M19" s="7"/>
      <c r="N19" s="7"/>
      <c r="O19" s="7"/>
      <c r="P19" s="74"/>
      <c r="Q19" s="74"/>
      <c r="R19" s="7"/>
      <c r="S19" s="7"/>
      <c r="T19" s="7"/>
      <c r="U19" s="7"/>
      <c r="V19" s="7"/>
      <c r="W19" s="7"/>
      <c r="X19" s="7"/>
      <c r="Y19" s="7"/>
      <c r="Z19" s="7"/>
      <c r="AA19" s="7"/>
      <c r="AB19" s="7"/>
    </row>
    <row r="20" spans="1:28" x14ac:dyDescent="0.25">
      <c r="A20" s="7"/>
      <c r="H20" s="74"/>
      <c r="M20" s="7"/>
      <c r="N20" s="78"/>
      <c r="O20" s="73"/>
      <c r="P20" s="7"/>
      <c r="Q20" s="7"/>
      <c r="R20" s="7"/>
      <c r="S20" s="78"/>
      <c r="T20" s="7"/>
      <c r="U20" s="7"/>
      <c r="V20" s="7"/>
      <c r="W20" s="7"/>
      <c r="X20" s="7"/>
      <c r="Y20" s="7"/>
      <c r="Z20" s="7"/>
      <c r="AA20" s="7"/>
      <c r="AB20" s="7"/>
    </row>
    <row r="21" spans="1:28" x14ac:dyDescent="0.25">
      <c r="A21" s="7"/>
      <c r="B21" s="27" t="s">
        <v>156</v>
      </c>
      <c r="C21">
        <f xml:space="preserve"> C19*C9</f>
        <v>28.368854923806332</v>
      </c>
      <c r="D21" s="26"/>
      <c r="H21" s="74"/>
      <c r="I21" s="26" t="s">
        <v>152</v>
      </c>
      <c r="J21">
        <f>IF(J8&lt;1, J12, J19)*J9</f>
        <v>69.444444444444429</v>
      </c>
      <c r="K21" s="26" t="s">
        <v>153</v>
      </c>
      <c r="M21" s="7"/>
      <c r="N21" s="7"/>
      <c r="O21" s="7"/>
      <c r="P21" s="7"/>
      <c r="Q21" s="7"/>
      <c r="R21" s="7"/>
      <c r="S21" s="7"/>
      <c r="T21" s="73"/>
      <c r="U21" s="7"/>
      <c r="V21" s="7"/>
      <c r="W21" s="7"/>
      <c r="X21" s="7"/>
      <c r="Y21" s="7"/>
      <c r="Z21" s="7"/>
      <c r="AA21" s="7"/>
      <c r="AB21" s="7"/>
    </row>
    <row r="22" spans="1:28" x14ac:dyDescent="0.25">
      <c r="A22" s="7"/>
      <c r="H22" s="74"/>
      <c r="M22" s="7"/>
      <c r="N22" s="7"/>
      <c r="O22" s="7"/>
      <c r="P22" s="7"/>
      <c r="Q22" s="7"/>
      <c r="R22" s="7"/>
      <c r="S22" s="7"/>
      <c r="T22" s="7"/>
      <c r="U22" s="7"/>
      <c r="V22" s="7"/>
      <c r="W22" s="7"/>
      <c r="X22" s="7"/>
      <c r="Y22" s="7"/>
      <c r="Z22" s="7"/>
      <c r="AA22" s="7"/>
      <c r="AB22" s="7"/>
    </row>
    <row r="23" spans="1:28" x14ac:dyDescent="0.25">
      <c r="A23" s="7"/>
      <c r="H23" s="74"/>
      <c r="I23" s="26" t="s">
        <v>154</v>
      </c>
      <c r="M23" s="7"/>
      <c r="N23" s="7"/>
      <c r="O23" s="7"/>
      <c r="P23" s="7"/>
      <c r="Q23" s="7"/>
      <c r="R23" s="7"/>
      <c r="S23" s="7"/>
      <c r="T23" s="7"/>
      <c r="U23" s="7"/>
      <c r="V23" s="7"/>
      <c r="W23" s="7"/>
      <c r="X23" s="7"/>
      <c r="Y23" s="7"/>
      <c r="Z23" s="7"/>
      <c r="AA23" s="7"/>
      <c r="AB23" s="7"/>
    </row>
    <row r="24" spans="1:28" x14ac:dyDescent="0.25">
      <c r="A24" s="7"/>
      <c r="B24" s="87" t="s">
        <v>162</v>
      </c>
      <c r="C24">
        <f>(TJMAX-TJ)/(TJMAX-25)</f>
        <v>0.72160000000000002</v>
      </c>
      <c r="D24" s="74"/>
      <c r="E24" s="74"/>
      <c r="F24" s="77"/>
      <c r="G24" s="77"/>
      <c r="H24" s="74"/>
      <c r="I24" s="73"/>
      <c r="J24" s="73"/>
      <c r="K24" s="74"/>
      <c r="L24" s="74"/>
      <c r="M24" s="7"/>
      <c r="N24" s="7"/>
      <c r="O24" s="7"/>
      <c r="P24" s="7"/>
      <c r="Q24" s="7"/>
      <c r="R24" s="7"/>
      <c r="S24" s="7"/>
      <c r="T24" s="7"/>
      <c r="U24" s="73"/>
      <c r="V24" s="7"/>
      <c r="W24" s="7"/>
      <c r="X24" s="7"/>
      <c r="Y24" s="7"/>
      <c r="Z24" s="7"/>
      <c r="AA24" s="7"/>
      <c r="AB24" s="7"/>
    </row>
    <row r="25" spans="1:28" ht="14.5" x14ac:dyDescent="0.35">
      <c r="A25" s="7"/>
      <c r="B25" s="85" t="s">
        <v>157</v>
      </c>
      <c r="C25">
        <f>IF((C21*C24)&lt;0,0.000000001,C21*C24)</f>
        <v>20.47096571301865</v>
      </c>
      <c r="D25" s="86" t="s">
        <v>65</v>
      </c>
      <c r="E25" s="74"/>
      <c r="F25" s="77"/>
      <c r="G25" s="77"/>
      <c r="H25" s="74"/>
      <c r="I25" s="73"/>
      <c r="J25">
        <f>J21*(TJMAX-TJ)/(TJMAX-25)</f>
        <v>50.1111111111111</v>
      </c>
      <c r="K25" s="74"/>
      <c r="L25" s="74"/>
      <c r="M25" s="7"/>
      <c r="N25" s="7"/>
      <c r="O25" s="379"/>
      <c r="P25" s="380"/>
      <c r="Q25" s="380"/>
      <c r="R25" s="7"/>
      <c r="S25" s="7"/>
      <c r="T25" s="7"/>
      <c r="U25" s="73"/>
      <c r="V25" s="7"/>
      <c r="W25" s="7"/>
      <c r="X25" s="7"/>
      <c r="Y25" s="7"/>
      <c r="Z25" s="7"/>
      <c r="AA25" s="7"/>
      <c r="AB25" s="7"/>
    </row>
    <row r="26" spans="1:28" x14ac:dyDescent="0.25">
      <c r="A26" s="7"/>
      <c r="B26" s="73"/>
      <c r="C26" s="73"/>
      <c r="D26" s="74"/>
      <c r="E26" s="74"/>
      <c r="F26" s="77"/>
      <c r="G26" s="77"/>
      <c r="H26" s="74"/>
      <c r="I26" s="74"/>
      <c r="J26" s="74"/>
      <c r="K26" s="74"/>
      <c r="L26" s="74"/>
      <c r="M26" s="7"/>
      <c r="N26" s="83"/>
      <c r="O26" s="7"/>
      <c r="P26" s="7"/>
      <c r="Q26" s="7"/>
      <c r="R26" s="7"/>
      <c r="S26" s="7"/>
      <c r="T26" s="7"/>
      <c r="U26" s="7"/>
      <c r="V26" s="7"/>
      <c r="W26" s="7"/>
      <c r="X26" s="7"/>
      <c r="Y26" s="7"/>
      <c r="Z26" s="7"/>
      <c r="AA26" s="7"/>
      <c r="AB26" s="7"/>
    </row>
    <row r="27" spans="1:28" x14ac:dyDescent="0.25">
      <c r="A27" s="7"/>
      <c r="B27" s="73"/>
      <c r="D27" s="74"/>
      <c r="E27" s="74"/>
      <c r="F27" s="77"/>
      <c r="G27" s="77"/>
      <c r="H27" s="74"/>
      <c r="I27" s="74"/>
      <c r="J27" s="74" t="e">
        <f>'Design Calculator'!#REF!-SOA!J25</f>
        <v>#REF!</v>
      </c>
      <c r="K27" s="74"/>
      <c r="L27" s="74"/>
      <c r="M27" s="7"/>
      <c r="N27" s="7"/>
      <c r="O27" s="84"/>
      <c r="P27" s="84"/>
      <c r="Q27" s="84"/>
      <c r="R27" s="7"/>
      <c r="S27" s="7"/>
      <c r="T27" s="7"/>
      <c r="U27" s="7"/>
      <c r="V27" s="7"/>
      <c r="W27" s="7"/>
      <c r="X27" s="7"/>
      <c r="Y27" s="7"/>
      <c r="Z27" s="7"/>
      <c r="AA27" s="7"/>
      <c r="AB27" s="7"/>
    </row>
    <row r="28" spans="1:28" x14ac:dyDescent="0.25">
      <c r="A28" s="7"/>
      <c r="B28" s="73"/>
      <c r="D28" s="74"/>
      <c r="E28" s="74"/>
      <c r="F28" s="77"/>
      <c r="G28" s="77"/>
      <c r="H28" s="74"/>
      <c r="I28" s="74"/>
      <c r="J28" s="74"/>
      <c r="K28" s="74"/>
      <c r="L28" s="74"/>
      <c r="M28" s="7"/>
      <c r="N28" s="7"/>
      <c r="O28" s="84"/>
      <c r="P28" s="84"/>
      <c r="Q28" s="84"/>
      <c r="R28" s="7"/>
      <c r="S28" s="7"/>
      <c r="T28" s="7"/>
      <c r="U28" s="7"/>
      <c r="V28" s="7"/>
      <c r="W28" s="7"/>
      <c r="X28" s="7"/>
      <c r="Y28" s="7"/>
      <c r="Z28" s="7"/>
      <c r="AA28" s="7"/>
      <c r="AB28" s="7"/>
    </row>
    <row r="29" spans="1:28" x14ac:dyDescent="0.25">
      <c r="A29" s="7"/>
      <c r="B29" s="73"/>
      <c r="D29" s="74"/>
      <c r="E29" s="74"/>
      <c r="F29" s="77"/>
      <c r="G29" s="77"/>
      <c r="H29" s="74"/>
      <c r="I29" s="74"/>
      <c r="J29" s="74"/>
      <c r="K29" s="74"/>
      <c r="L29" s="74"/>
      <c r="M29" s="7"/>
      <c r="N29" s="7"/>
      <c r="O29" s="84"/>
      <c r="P29" s="84"/>
      <c r="Q29" s="84"/>
      <c r="R29" s="7"/>
      <c r="S29" s="7"/>
      <c r="T29" s="7"/>
      <c r="U29" s="7"/>
      <c r="V29" s="7"/>
      <c r="W29" s="7"/>
      <c r="X29" s="7"/>
      <c r="Y29" s="7"/>
      <c r="Z29" s="7"/>
      <c r="AA29" s="7"/>
      <c r="AB29" s="7"/>
    </row>
    <row r="30" spans="1:28" x14ac:dyDescent="0.25">
      <c r="A30" s="7"/>
      <c r="B30" s="186"/>
      <c r="C30" s="167"/>
      <c r="D30" s="74"/>
      <c r="E30" s="74"/>
      <c r="F30" s="7"/>
      <c r="G30" s="186"/>
      <c r="H30" s="167"/>
      <c r="I30" s="166"/>
      <c r="J30" s="74"/>
      <c r="K30" s="74"/>
      <c r="L30" s="74"/>
      <c r="M30" s="7"/>
      <c r="N30" s="7"/>
      <c r="O30" s="84"/>
      <c r="P30" s="84"/>
      <c r="Q30" s="84"/>
      <c r="R30" s="7"/>
      <c r="S30" s="7"/>
      <c r="T30" s="7"/>
      <c r="U30" s="7"/>
      <c r="V30" s="7"/>
      <c r="W30" s="7"/>
      <c r="X30" s="7"/>
      <c r="Y30" s="7"/>
      <c r="Z30" s="7"/>
      <c r="AA30" s="7"/>
      <c r="AB30" s="7"/>
    </row>
    <row r="31" spans="1:28" x14ac:dyDescent="0.25">
      <c r="A31" s="7"/>
      <c r="B31" s="85"/>
      <c r="C31" s="87"/>
      <c r="D31" s="74"/>
      <c r="E31" s="74"/>
      <c r="F31" s="7"/>
      <c r="G31" s="85"/>
      <c r="H31" s="87"/>
      <c r="I31" s="166"/>
      <c r="J31" s="74"/>
      <c r="K31" s="74"/>
      <c r="L31" s="74"/>
      <c r="M31" s="7"/>
      <c r="N31" s="7"/>
      <c r="O31" s="7"/>
      <c r="P31" s="7"/>
      <c r="Q31" s="7"/>
      <c r="R31" s="7"/>
      <c r="S31" s="7"/>
      <c r="T31" s="7"/>
      <c r="U31" s="7"/>
      <c r="V31" s="7"/>
      <c r="W31" s="7"/>
      <c r="X31" s="7"/>
      <c r="Y31" s="7"/>
      <c r="Z31" s="7"/>
      <c r="AA31" s="7"/>
      <c r="AB31" s="7"/>
    </row>
    <row r="32" spans="1:28" x14ac:dyDescent="0.25">
      <c r="A32" s="7"/>
      <c r="B32" s="26"/>
      <c r="D32" s="74"/>
      <c r="E32" s="74"/>
      <c r="F32" s="7"/>
      <c r="G32" s="26"/>
      <c r="I32" s="166"/>
      <c r="J32" s="74"/>
      <c r="K32" s="74"/>
      <c r="L32" s="74"/>
      <c r="M32" s="7"/>
      <c r="N32" s="7"/>
      <c r="O32" s="7"/>
      <c r="P32" s="7"/>
      <c r="Q32" s="7"/>
      <c r="R32" s="7"/>
      <c r="S32" s="7"/>
      <c r="T32" s="7"/>
      <c r="U32" s="7"/>
      <c r="V32" s="7"/>
      <c r="W32" s="7"/>
      <c r="X32" s="7"/>
      <c r="Y32" s="7"/>
      <c r="Z32" s="7"/>
      <c r="AA32" s="7"/>
      <c r="AB32" s="7"/>
    </row>
    <row r="33" spans="1:28" x14ac:dyDescent="0.25">
      <c r="A33" s="7"/>
      <c r="B33" s="26"/>
      <c r="D33" s="74"/>
      <c r="E33" s="74"/>
      <c r="F33" s="7"/>
      <c r="G33" s="26"/>
      <c r="I33" s="166"/>
      <c r="J33" s="74"/>
      <c r="K33" s="74"/>
      <c r="L33" s="74"/>
      <c r="M33" s="7"/>
      <c r="N33" s="7"/>
      <c r="O33" s="7"/>
      <c r="P33" s="7"/>
      <c r="Q33" s="7"/>
      <c r="R33" s="7"/>
      <c r="S33" s="7"/>
      <c r="T33" s="7"/>
      <c r="U33" s="7"/>
      <c r="V33" s="7"/>
      <c r="W33" s="7"/>
      <c r="X33" s="7"/>
      <c r="Y33" s="7"/>
      <c r="Z33" s="7"/>
      <c r="AA33" s="7"/>
      <c r="AB33" s="7"/>
    </row>
    <row r="34" spans="1:28" x14ac:dyDescent="0.25">
      <c r="A34" s="7"/>
      <c r="B34" s="26"/>
      <c r="D34" s="74"/>
      <c r="E34" s="74"/>
      <c r="F34" s="212"/>
      <c r="H34" s="211"/>
      <c r="I34" s="211"/>
      <c r="J34" s="211"/>
      <c r="K34" s="74"/>
      <c r="L34" s="74"/>
      <c r="M34" s="7"/>
      <c r="N34" s="7"/>
      <c r="O34" s="7"/>
      <c r="P34" s="7"/>
      <c r="Q34" s="7"/>
      <c r="R34" s="7"/>
      <c r="S34" s="7"/>
      <c r="T34" s="7"/>
      <c r="U34" s="7"/>
      <c r="V34" s="7"/>
      <c r="W34" s="7"/>
      <c r="X34" s="7"/>
      <c r="Y34" s="7"/>
      <c r="Z34" s="7"/>
      <c r="AA34" s="7"/>
      <c r="AB34" s="7"/>
    </row>
    <row r="35" spans="1:28" x14ac:dyDescent="0.25">
      <c r="A35" s="7"/>
      <c r="B35" s="26"/>
      <c r="D35" s="74"/>
      <c r="E35" s="74"/>
      <c r="F35" s="87" t="s">
        <v>337</v>
      </c>
      <c r="H35" s="211"/>
      <c r="I35" s="211"/>
      <c r="J35" s="211"/>
      <c r="K35" s="74"/>
      <c r="L35" s="74"/>
      <c r="M35" s="7"/>
      <c r="N35" s="7"/>
      <c r="O35" s="7"/>
      <c r="P35" s="7"/>
      <c r="Q35" s="7"/>
      <c r="R35" s="7"/>
      <c r="S35" s="7"/>
      <c r="T35" s="7"/>
      <c r="U35" s="7"/>
      <c r="V35" s="7"/>
      <c r="W35" s="7"/>
      <c r="X35" s="7"/>
      <c r="Y35" s="7"/>
      <c r="Z35" s="7"/>
      <c r="AA35" s="7"/>
      <c r="AB35" s="7"/>
    </row>
    <row r="36" spans="1:28" x14ac:dyDescent="0.25">
      <c r="A36" s="7"/>
      <c r="B36" s="26"/>
      <c r="D36" s="74"/>
      <c r="E36" s="74"/>
      <c r="G36" s="79" t="s">
        <v>338</v>
      </c>
      <c r="H36" s="214" t="s">
        <v>339</v>
      </c>
      <c r="I36" s="214" t="s">
        <v>340</v>
      </c>
      <c r="J36" s="214" t="s">
        <v>341</v>
      </c>
      <c r="K36" s="74"/>
      <c r="L36" s="74"/>
      <c r="M36" s="7"/>
      <c r="N36" s="7"/>
      <c r="O36" s="7"/>
      <c r="P36" s="7"/>
      <c r="Q36" s="7"/>
      <c r="R36" s="7"/>
      <c r="S36" s="7"/>
      <c r="T36" s="7"/>
      <c r="U36" s="7"/>
      <c r="V36" s="7"/>
      <c r="W36" s="7"/>
      <c r="X36" s="7"/>
      <c r="Y36" s="7"/>
      <c r="Z36" s="7"/>
      <c r="AA36" s="7"/>
      <c r="AB36" s="7"/>
    </row>
    <row r="37" spans="1:28" x14ac:dyDescent="0.25">
      <c r="A37" s="7"/>
      <c r="B37" s="26"/>
      <c r="D37" s="74"/>
      <c r="E37" s="74"/>
      <c r="F37" s="87" t="s">
        <v>342</v>
      </c>
      <c r="G37" s="209">
        <v>0.1</v>
      </c>
      <c r="H37" s="210">
        <v>1</v>
      </c>
      <c r="I37" s="211">
        <v>10</v>
      </c>
      <c r="J37" s="212">
        <v>100</v>
      </c>
      <c r="K37" s="74"/>
      <c r="L37" s="74"/>
      <c r="M37" s="7"/>
      <c r="N37" s="7"/>
      <c r="O37" s="7"/>
      <c r="P37" s="7"/>
      <c r="Q37" s="7"/>
      <c r="R37" s="7"/>
      <c r="S37" s="7"/>
      <c r="T37" s="7"/>
      <c r="U37" s="7"/>
      <c r="V37" s="7"/>
      <c r="W37" s="7"/>
      <c r="X37" s="7"/>
      <c r="Y37" s="7"/>
      <c r="Z37" s="7"/>
      <c r="AA37" s="7"/>
      <c r="AB37" s="7"/>
    </row>
    <row r="38" spans="1:28" x14ac:dyDescent="0.25">
      <c r="A38" s="7"/>
      <c r="D38" s="74"/>
      <c r="E38" s="74"/>
      <c r="F38" s="209" t="s">
        <v>343</v>
      </c>
      <c r="G38" s="210">
        <v>1</v>
      </c>
      <c r="H38" s="210">
        <v>10</v>
      </c>
      <c r="I38" s="211">
        <v>100</v>
      </c>
      <c r="J38" s="212">
        <v>1000</v>
      </c>
      <c r="K38" s="74"/>
      <c r="L38" s="74"/>
      <c r="M38" s="7"/>
      <c r="N38" s="7"/>
      <c r="O38" s="7"/>
      <c r="P38" s="7"/>
      <c r="Q38" s="7"/>
      <c r="R38" s="7"/>
      <c r="S38" s="7"/>
      <c r="T38" s="7"/>
      <c r="U38" s="7"/>
      <c r="V38" s="7"/>
      <c r="W38" s="7"/>
      <c r="X38" s="7"/>
      <c r="Y38" s="7"/>
      <c r="Z38" s="7"/>
      <c r="AA38" s="7"/>
      <c r="AB38" s="7"/>
    </row>
    <row r="39" spans="1:28" x14ac:dyDescent="0.25">
      <c r="A39" s="7"/>
      <c r="B39" s="26"/>
      <c r="D39" s="74"/>
      <c r="E39" s="74"/>
      <c r="F39" s="209" t="s">
        <v>147</v>
      </c>
      <c r="G39" s="210">
        <f>B4/(G37^G40)</f>
        <v>2.9000000000000008</v>
      </c>
      <c r="H39" s="210">
        <f>C4/(H37^H40)</f>
        <v>2.9</v>
      </c>
      <c r="I39" s="210">
        <f>E4/(I37^I40)</f>
        <v>0.9</v>
      </c>
      <c r="J39" s="210">
        <f>E4/(J37^J40)</f>
        <v>0.6</v>
      </c>
      <c r="K39" s="74"/>
      <c r="L39" s="74"/>
      <c r="M39" s="7"/>
      <c r="N39" s="7"/>
      <c r="O39" s="7"/>
      <c r="P39" s="7"/>
      <c r="Q39" s="7"/>
      <c r="R39" s="7"/>
      <c r="S39" s="7"/>
      <c r="T39" s="7"/>
      <c r="U39" s="7"/>
      <c r="V39" s="7"/>
      <c r="W39" s="7"/>
      <c r="X39" s="7"/>
      <c r="Y39" s="7"/>
      <c r="Z39" s="7"/>
      <c r="AA39" s="7"/>
      <c r="AB39" s="7"/>
    </row>
    <row r="40" spans="1:28" x14ac:dyDescent="0.25">
      <c r="A40" s="7"/>
      <c r="D40" s="74"/>
      <c r="E40" s="74"/>
      <c r="F40" s="209" t="s">
        <v>149</v>
      </c>
      <c r="G40" s="13">
        <f>LOG(B4/C4)/LOG(G37/G38)</f>
        <v>-0.49184451154036879</v>
      </c>
      <c r="H40" s="13">
        <f>LOG(C4/D4)/LOG(H37/H38)</f>
        <v>-0.50815548845963121</v>
      </c>
      <c r="I40" s="13">
        <f>LOG(D4/E4)/LOG(I37/I38)</f>
        <v>-0.17609125905568124</v>
      </c>
      <c r="J40" s="13">
        <f>LOG(E4/F4)/LOG(J37/J38)</f>
        <v>0</v>
      </c>
      <c r="K40" s="74"/>
      <c r="L40" s="74"/>
      <c r="M40" s="7"/>
      <c r="N40" s="7"/>
      <c r="O40" s="7"/>
      <c r="P40" s="7"/>
      <c r="Q40" s="7"/>
      <c r="R40" s="7"/>
      <c r="S40" s="7"/>
      <c r="T40" s="7"/>
      <c r="U40" s="7"/>
      <c r="V40" s="7"/>
      <c r="W40" s="7"/>
      <c r="X40" s="7"/>
      <c r="Y40" s="7"/>
      <c r="Z40" s="7"/>
      <c r="AA40" s="7"/>
      <c r="AB40" s="7"/>
    </row>
    <row r="41" spans="1:28" x14ac:dyDescent="0.25">
      <c r="A41" s="7"/>
      <c r="B41" s="26"/>
      <c r="D41" s="74"/>
      <c r="E41" s="74"/>
      <c r="F41" s="7"/>
      <c r="G41" s="26"/>
      <c r="I41" s="166"/>
      <c r="J41" s="74"/>
      <c r="K41" s="74"/>
      <c r="L41" s="74"/>
      <c r="M41" s="7"/>
      <c r="N41" s="7"/>
      <c r="O41" s="7"/>
      <c r="P41" s="7"/>
      <c r="Q41" s="7"/>
      <c r="R41" s="7"/>
      <c r="S41" s="7"/>
      <c r="T41" s="7"/>
      <c r="U41" s="7"/>
      <c r="V41" s="7"/>
      <c r="W41" s="7"/>
      <c r="X41" s="7"/>
      <c r="Y41" s="7"/>
      <c r="Z41" s="7"/>
      <c r="AA41" s="7"/>
      <c r="AB41" s="7"/>
    </row>
    <row r="42" spans="1:28" x14ac:dyDescent="0.25">
      <c r="A42" s="7"/>
      <c r="B42" s="26"/>
      <c r="D42" s="74"/>
      <c r="E42" s="74"/>
      <c r="F42" s="7"/>
      <c r="G42" s="26"/>
      <c r="I42" s="166"/>
      <c r="J42" s="74"/>
      <c r="K42" s="74"/>
      <c r="L42" s="74"/>
      <c r="M42" s="7"/>
      <c r="N42" s="7"/>
      <c r="O42" s="7"/>
      <c r="P42" s="7"/>
      <c r="Q42" s="7"/>
      <c r="R42" s="7"/>
      <c r="S42" s="7"/>
      <c r="T42" s="7"/>
      <c r="U42" s="7"/>
      <c r="V42" s="7"/>
      <c r="W42" s="7"/>
      <c r="X42" s="7"/>
      <c r="Y42" s="7"/>
      <c r="Z42" s="7"/>
      <c r="AA42" s="7"/>
      <c r="AB42" s="7"/>
    </row>
    <row r="43" spans="1:28" x14ac:dyDescent="0.25">
      <c r="A43" s="7"/>
      <c r="B43" s="26"/>
      <c r="D43" s="74"/>
      <c r="E43" s="74"/>
      <c r="F43" s="7"/>
      <c r="G43" s="26"/>
      <c r="I43" s="166"/>
      <c r="J43" s="74"/>
      <c r="K43" s="74"/>
      <c r="L43" s="74"/>
      <c r="M43" s="7"/>
      <c r="N43" s="7"/>
      <c r="O43" s="7"/>
      <c r="P43" s="7"/>
      <c r="Q43" s="7"/>
      <c r="R43" s="7"/>
      <c r="S43" s="7"/>
      <c r="T43" s="7"/>
      <c r="U43" s="7"/>
      <c r="V43" s="7"/>
      <c r="W43" s="7"/>
      <c r="X43" s="7"/>
      <c r="Y43" s="7"/>
      <c r="Z43" s="7"/>
      <c r="AA43" s="7"/>
      <c r="AB43" s="7"/>
    </row>
    <row r="44" spans="1:28" x14ac:dyDescent="0.25">
      <c r="A44" s="7"/>
      <c r="D44" s="74"/>
      <c r="E44" s="74"/>
      <c r="F44" s="7"/>
      <c r="I44" s="166"/>
      <c r="J44" s="74"/>
      <c r="K44" s="74"/>
      <c r="L44" s="74"/>
      <c r="M44" s="7"/>
      <c r="N44" s="7"/>
      <c r="O44" s="7"/>
      <c r="P44" s="7"/>
      <c r="Q44" s="7"/>
      <c r="R44" s="7"/>
      <c r="S44" s="7"/>
      <c r="T44" s="7"/>
      <c r="U44" s="7"/>
      <c r="V44" s="7"/>
      <c r="W44" s="7"/>
      <c r="X44" s="7"/>
      <c r="Y44" s="7"/>
      <c r="Z44" s="7"/>
      <c r="AA44" s="7"/>
      <c r="AB44" s="7"/>
    </row>
    <row r="45" spans="1:28" x14ac:dyDescent="0.25">
      <c r="A45" s="7"/>
      <c r="B45" s="27"/>
      <c r="D45" s="74"/>
      <c r="E45" s="74"/>
      <c r="F45" s="7"/>
      <c r="G45" s="27"/>
      <c r="I45" s="166"/>
      <c r="J45" s="74"/>
      <c r="K45" s="74"/>
      <c r="L45" s="74"/>
      <c r="M45" s="7"/>
      <c r="N45" s="7"/>
      <c r="O45" s="7"/>
      <c r="P45" s="7"/>
      <c r="Q45" s="7"/>
      <c r="R45" s="7"/>
      <c r="S45" s="7"/>
      <c r="T45" s="7"/>
      <c r="U45" s="7"/>
      <c r="V45" s="7"/>
      <c r="W45" s="7"/>
      <c r="X45" s="7"/>
      <c r="Y45" s="7"/>
      <c r="Z45" s="7"/>
      <c r="AA45" s="7"/>
      <c r="AB45" s="7"/>
    </row>
    <row r="46" spans="1:28" x14ac:dyDescent="0.25">
      <c r="A46" s="7"/>
      <c r="D46" s="74"/>
      <c r="E46" s="74"/>
      <c r="F46" s="7"/>
      <c r="I46" s="166"/>
      <c r="J46" s="74"/>
      <c r="K46" s="74"/>
      <c r="L46" s="74"/>
      <c r="M46" s="7"/>
      <c r="N46" s="7"/>
      <c r="O46" s="7"/>
      <c r="P46" s="7"/>
      <c r="Q46" s="7"/>
      <c r="R46" s="7"/>
      <c r="S46" s="7"/>
      <c r="T46" s="7"/>
      <c r="U46" s="7"/>
      <c r="V46" s="7"/>
      <c r="W46" s="7"/>
      <c r="X46" s="7"/>
      <c r="Y46" s="7"/>
      <c r="Z46" s="7"/>
      <c r="AA46" s="7"/>
      <c r="AB46" s="7"/>
    </row>
    <row r="47" spans="1:28" x14ac:dyDescent="0.25">
      <c r="A47" s="7"/>
      <c r="B47" s="26"/>
      <c r="D47" s="74"/>
      <c r="E47" s="74"/>
      <c r="F47" s="7"/>
      <c r="I47" s="166"/>
      <c r="J47" s="74"/>
      <c r="K47" s="74"/>
      <c r="L47" s="74"/>
      <c r="M47" s="7"/>
      <c r="N47" s="7"/>
      <c r="O47" s="7"/>
      <c r="P47" s="7"/>
      <c r="Q47" s="7"/>
      <c r="R47" s="7"/>
      <c r="S47" s="7"/>
      <c r="T47" s="7"/>
      <c r="U47" s="7"/>
      <c r="V47" s="7"/>
      <c r="W47" s="7"/>
      <c r="X47" s="7"/>
      <c r="Y47" s="7"/>
      <c r="Z47" s="7"/>
      <c r="AA47" s="7"/>
      <c r="AB47" s="7"/>
    </row>
    <row r="48" spans="1:28" x14ac:dyDescent="0.25">
      <c r="A48" s="7"/>
      <c r="B48" s="26"/>
      <c r="D48" s="74"/>
      <c r="E48" s="74"/>
      <c r="F48" s="7"/>
      <c r="G48" s="87"/>
      <c r="I48" s="166"/>
      <c r="J48" s="74"/>
      <c r="K48" s="74"/>
      <c r="L48" s="74"/>
      <c r="M48" s="7"/>
      <c r="N48" s="7"/>
      <c r="O48" s="7"/>
      <c r="P48" s="7"/>
      <c r="Q48" s="7"/>
      <c r="R48" s="7"/>
      <c r="S48" s="7"/>
      <c r="T48" s="7"/>
      <c r="U48" s="7"/>
      <c r="V48" s="7"/>
      <c r="W48" s="7"/>
      <c r="X48" s="7"/>
      <c r="Y48" s="7"/>
      <c r="Z48" s="7"/>
      <c r="AA48" s="7"/>
      <c r="AB48" s="7"/>
    </row>
    <row r="49" spans="1:28" x14ac:dyDescent="0.25">
      <c r="A49" s="7"/>
      <c r="D49" s="74"/>
      <c r="E49" s="74"/>
      <c r="F49" s="7"/>
      <c r="G49" s="85"/>
      <c r="I49" s="166"/>
      <c r="J49" s="74"/>
      <c r="K49" s="74"/>
      <c r="L49" s="74"/>
      <c r="M49" s="7"/>
      <c r="N49" s="7"/>
      <c r="O49" s="7"/>
      <c r="P49" s="7"/>
      <c r="Q49" s="7"/>
      <c r="R49" s="7"/>
      <c r="S49" s="7"/>
      <c r="T49" s="7"/>
      <c r="U49" s="7"/>
      <c r="V49" s="7"/>
      <c r="W49" s="7"/>
      <c r="X49" s="7"/>
      <c r="Y49" s="7"/>
      <c r="Z49" s="7"/>
      <c r="AA49" s="7"/>
      <c r="AB49" s="7"/>
    </row>
    <row r="50" spans="1:28" x14ac:dyDescent="0.25">
      <c r="A50" s="7"/>
      <c r="B50" s="87"/>
      <c r="D50" s="74"/>
      <c r="E50" s="74"/>
      <c r="F50" s="77"/>
      <c r="G50" s="77"/>
      <c r="H50" s="74"/>
      <c r="I50" s="74"/>
      <c r="J50" s="74"/>
      <c r="K50" s="74"/>
      <c r="L50" s="74"/>
      <c r="M50" s="7"/>
      <c r="N50" s="7"/>
      <c r="O50" s="7"/>
      <c r="P50" s="7"/>
      <c r="Q50" s="7"/>
      <c r="R50" s="7"/>
      <c r="S50" s="7"/>
      <c r="T50" s="7"/>
      <c r="U50" s="7"/>
      <c r="V50" s="7"/>
      <c r="W50" s="7"/>
      <c r="X50" s="7"/>
      <c r="Y50" s="7"/>
      <c r="Z50" s="7"/>
      <c r="AA50" s="7"/>
      <c r="AB50" s="7"/>
    </row>
    <row r="51" spans="1:28" x14ac:dyDescent="0.25">
      <c r="A51" s="7"/>
      <c r="B51" s="85"/>
      <c r="D51" s="74"/>
      <c r="E51" s="74"/>
      <c r="F51" s="77"/>
      <c r="G51" s="77"/>
      <c r="H51" s="74"/>
      <c r="I51" s="74"/>
      <c r="J51" s="74"/>
      <c r="K51" s="74"/>
      <c r="L51" s="74"/>
      <c r="M51" s="7"/>
      <c r="N51" s="7"/>
      <c r="O51" s="7"/>
      <c r="P51" s="7"/>
      <c r="Q51" s="7"/>
      <c r="R51" s="7"/>
      <c r="S51" s="7"/>
      <c r="T51" s="7"/>
      <c r="U51" s="7"/>
      <c r="V51" s="7"/>
      <c r="W51" s="7"/>
      <c r="X51" s="7"/>
      <c r="Y51" s="7"/>
      <c r="Z51" s="7"/>
      <c r="AA51" s="7"/>
      <c r="AB51" s="7"/>
    </row>
    <row r="52" spans="1:28" x14ac:dyDescent="0.25">
      <c r="A52" s="7"/>
      <c r="B52" s="7"/>
      <c r="C52" s="73"/>
      <c r="D52" s="74"/>
      <c r="E52" s="74"/>
      <c r="F52" s="77"/>
      <c r="G52" s="77"/>
      <c r="H52" s="74"/>
      <c r="I52" s="74"/>
      <c r="J52" s="74"/>
      <c r="K52" s="74"/>
      <c r="L52" s="74"/>
      <c r="M52" s="7"/>
      <c r="N52" s="7"/>
      <c r="O52" s="7"/>
      <c r="P52" s="7"/>
      <c r="Q52" s="7"/>
      <c r="R52" s="7"/>
      <c r="S52" s="7"/>
      <c r="T52" s="7"/>
      <c r="U52" s="7"/>
      <c r="V52" s="7"/>
      <c r="W52" s="7"/>
      <c r="X52" s="7"/>
      <c r="Y52" s="7"/>
      <c r="Z52" s="7"/>
      <c r="AA52" s="7"/>
      <c r="AB52" s="7"/>
    </row>
    <row r="53" spans="1:28" x14ac:dyDescent="0.25">
      <c r="A53" s="7"/>
      <c r="B53" s="7"/>
      <c r="C53" s="73"/>
      <c r="D53" s="74"/>
      <c r="E53" s="74"/>
      <c r="F53" s="77"/>
      <c r="G53" s="77"/>
      <c r="H53" s="74"/>
      <c r="I53" s="74"/>
      <c r="J53" s="74"/>
      <c r="K53" s="74"/>
      <c r="L53" s="74"/>
      <c r="M53" s="7"/>
      <c r="N53" s="7"/>
      <c r="O53" s="7"/>
      <c r="P53" s="7"/>
      <c r="Q53" s="7"/>
      <c r="R53" s="7"/>
      <c r="S53" s="7"/>
      <c r="T53" s="7"/>
      <c r="U53" s="7"/>
      <c r="V53" s="7"/>
      <c r="W53" s="7"/>
      <c r="X53" s="7"/>
      <c r="Y53" s="7"/>
      <c r="Z53" s="7"/>
      <c r="AA53" s="7"/>
      <c r="AB53" s="7"/>
    </row>
    <row r="54" spans="1:28" x14ac:dyDescent="0.25">
      <c r="A54" s="7"/>
      <c r="B54" s="7"/>
      <c r="C54" s="73"/>
      <c r="D54" s="74"/>
      <c r="E54" s="74"/>
      <c r="F54" s="77"/>
      <c r="G54" s="77"/>
      <c r="H54" s="74"/>
      <c r="I54" s="74"/>
      <c r="J54" s="74"/>
      <c r="K54" s="74"/>
      <c r="L54" s="74"/>
      <c r="M54" s="7"/>
      <c r="N54" s="7"/>
      <c r="O54" s="7"/>
      <c r="P54" s="7"/>
      <c r="Q54" s="7"/>
      <c r="R54" s="7"/>
      <c r="S54" s="7"/>
      <c r="T54" s="7"/>
      <c r="U54" s="7"/>
      <c r="V54" s="7"/>
      <c r="W54" s="7"/>
      <c r="X54" s="7"/>
      <c r="Y54" s="7"/>
      <c r="Z54" s="7"/>
      <c r="AA54" s="7"/>
      <c r="AB54" s="7"/>
    </row>
    <row r="55" spans="1:28" x14ac:dyDescent="0.25">
      <c r="A55" s="7"/>
      <c r="B55" s="7"/>
      <c r="C55" s="73"/>
      <c r="D55" s="74"/>
      <c r="E55" s="74"/>
      <c r="F55" s="77"/>
      <c r="G55" s="77"/>
      <c r="H55" s="74"/>
      <c r="I55" s="74"/>
      <c r="J55" s="74"/>
      <c r="K55" s="74"/>
      <c r="L55" s="74"/>
      <c r="M55" s="7"/>
      <c r="N55" s="7"/>
      <c r="O55" s="7"/>
      <c r="P55" s="7"/>
      <c r="Q55" s="7"/>
      <c r="R55" s="7"/>
      <c r="S55" s="7"/>
      <c r="T55" s="7"/>
      <c r="U55" s="7"/>
      <c r="V55" s="7"/>
      <c r="W55" s="7"/>
      <c r="X55" s="7"/>
      <c r="Y55" s="7"/>
      <c r="Z55" s="7"/>
      <c r="AA55" s="7"/>
      <c r="AB55" s="7"/>
    </row>
    <row r="56" spans="1:28" x14ac:dyDescent="0.25">
      <c r="A56" s="7"/>
      <c r="B56" s="7"/>
      <c r="C56" s="73"/>
      <c r="D56" s="74"/>
      <c r="E56" s="74"/>
      <c r="F56" s="77"/>
      <c r="G56" s="77"/>
      <c r="H56" s="74"/>
      <c r="I56" s="74"/>
      <c r="J56" s="74"/>
      <c r="K56" s="74"/>
      <c r="L56" s="74"/>
    </row>
    <row r="57" spans="1:28" x14ac:dyDescent="0.25">
      <c r="A57" s="7"/>
      <c r="B57" s="7"/>
      <c r="C57" s="73"/>
      <c r="D57" s="74"/>
      <c r="E57" s="74"/>
      <c r="F57" s="77"/>
      <c r="G57" s="77"/>
      <c r="H57" s="74"/>
      <c r="I57" s="74"/>
      <c r="J57" s="74"/>
      <c r="K57" s="74"/>
      <c r="L57" s="74"/>
    </row>
    <row r="58" spans="1:28" x14ac:dyDescent="0.25">
      <c r="A58" s="7"/>
      <c r="B58" s="7"/>
      <c r="C58" s="73"/>
      <c r="D58" s="74"/>
      <c r="E58" s="74"/>
      <c r="F58" s="77"/>
      <c r="G58" s="77"/>
      <c r="H58" s="74"/>
      <c r="I58" s="74"/>
      <c r="J58" s="74"/>
      <c r="K58" s="74"/>
      <c r="L58" s="74"/>
    </row>
    <row r="59" spans="1:28" x14ac:dyDescent="0.25">
      <c r="A59" s="7"/>
      <c r="B59" s="7"/>
      <c r="C59" s="73"/>
      <c r="D59" s="74"/>
      <c r="E59" s="74"/>
      <c r="F59" s="77"/>
      <c r="G59" s="77"/>
      <c r="H59" s="74"/>
      <c r="I59" s="74"/>
      <c r="J59" s="74"/>
      <c r="K59" s="74"/>
      <c r="L59" s="74"/>
    </row>
    <row r="60" spans="1:28" x14ac:dyDescent="0.25">
      <c r="A60" s="7"/>
      <c r="B60" s="7"/>
      <c r="C60" s="73"/>
      <c r="D60" s="74"/>
      <c r="E60" s="74"/>
      <c r="F60" s="77"/>
      <c r="G60" s="77"/>
      <c r="H60" s="74"/>
      <c r="I60" s="74"/>
      <c r="J60" s="74"/>
      <c r="K60" s="74"/>
      <c r="L60" s="74"/>
    </row>
    <row r="61" spans="1:28" x14ac:dyDescent="0.25">
      <c r="A61" s="7"/>
      <c r="B61" s="7"/>
      <c r="C61" s="73"/>
      <c r="D61" s="74"/>
      <c r="E61" s="74"/>
      <c r="F61" s="77"/>
      <c r="G61" s="77"/>
      <c r="H61" s="74"/>
      <c r="I61" s="74"/>
      <c r="J61" s="74"/>
      <c r="K61" s="74"/>
      <c r="L61" s="74"/>
    </row>
    <row r="62" spans="1:28" x14ac:dyDescent="0.25">
      <c r="A62" s="7"/>
      <c r="B62" s="7"/>
      <c r="C62" s="73"/>
      <c r="D62" s="74"/>
      <c r="E62" s="74"/>
      <c r="F62" s="77"/>
      <c r="G62" s="77"/>
      <c r="H62" s="74"/>
      <c r="I62" s="74"/>
      <c r="J62" s="74"/>
      <c r="K62" s="74"/>
      <c r="L62" s="74"/>
    </row>
    <row r="63" spans="1:28" x14ac:dyDescent="0.25">
      <c r="A63" s="7"/>
      <c r="B63" s="7"/>
      <c r="C63" s="73"/>
      <c r="D63" s="74"/>
      <c r="E63" s="74"/>
      <c r="F63" s="77"/>
      <c r="G63" s="77"/>
      <c r="H63" s="74"/>
      <c r="I63" s="74"/>
      <c r="J63" s="74"/>
      <c r="K63" s="74"/>
      <c r="L63" s="74"/>
    </row>
    <row r="64" spans="1:28" x14ac:dyDescent="0.25">
      <c r="A64" s="7"/>
      <c r="B64" s="7"/>
      <c r="C64" s="73"/>
      <c r="D64" s="74"/>
      <c r="E64" s="74"/>
      <c r="F64" s="77"/>
      <c r="G64" s="77"/>
      <c r="H64" s="74"/>
      <c r="I64" s="74"/>
      <c r="J64" s="74"/>
      <c r="K64" s="74"/>
      <c r="L64" s="74"/>
    </row>
    <row r="65" spans="1:12" x14ac:dyDescent="0.25">
      <c r="A65" s="7"/>
      <c r="B65" s="7"/>
      <c r="C65" s="73"/>
      <c r="D65" s="74"/>
      <c r="E65" s="74"/>
      <c r="F65" s="77"/>
      <c r="G65" s="77"/>
      <c r="H65" s="74"/>
      <c r="I65" s="74"/>
      <c r="J65" s="74"/>
      <c r="K65" s="74"/>
      <c r="L65" s="74"/>
    </row>
    <row r="66" spans="1:12" x14ac:dyDescent="0.25">
      <c r="A66" s="7"/>
      <c r="B66" s="7"/>
      <c r="C66" s="73"/>
      <c r="D66" s="74"/>
      <c r="E66" s="74"/>
      <c r="F66" s="77"/>
      <c r="G66" s="77"/>
      <c r="H66" s="74"/>
      <c r="I66" s="74"/>
      <c r="J66" s="74"/>
      <c r="K66" s="74"/>
      <c r="L66" s="74"/>
    </row>
    <row r="67" spans="1:12" x14ac:dyDescent="0.25">
      <c r="A67" s="7"/>
      <c r="B67" s="7"/>
      <c r="C67" s="73"/>
      <c r="D67" s="74"/>
      <c r="E67" s="74"/>
      <c r="F67" s="77"/>
      <c r="G67" s="77"/>
      <c r="H67" s="74"/>
      <c r="I67" s="74"/>
      <c r="J67" s="74"/>
      <c r="K67" s="74"/>
      <c r="L67" s="74"/>
    </row>
    <row r="68" spans="1:12" x14ac:dyDescent="0.25">
      <c r="A68" s="7"/>
      <c r="B68" s="7"/>
      <c r="C68" s="73"/>
      <c r="D68" s="74"/>
      <c r="E68" s="74"/>
      <c r="F68" s="77"/>
      <c r="G68" s="77"/>
      <c r="H68" s="74"/>
      <c r="I68" s="74"/>
      <c r="J68" s="74"/>
      <c r="K68" s="74"/>
      <c r="L68" s="74"/>
    </row>
    <row r="69" spans="1:12" x14ac:dyDescent="0.25">
      <c r="A69" s="7"/>
      <c r="B69" s="7"/>
    </row>
  </sheetData>
  <scenarios current="0">
    <scenario name="MaxFaultTime" count="1" user="Dennis Hudgins" comment="Created by Dennis Hudgins on 2/27/2014">
      <inputCells r="J8" val="24.2278058218803"/>
    </scenario>
  </scenarios>
  <mergeCells count="7">
    <mergeCell ref="O25:Q25"/>
    <mergeCell ref="J2:L2"/>
    <mergeCell ref="C2:E2"/>
    <mergeCell ref="T5:V5"/>
    <mergeCell ref="X5:Z5"/>
    <mergeCell ref="O17:Q17"/>
    <mergeCell ref="S18:V18"/>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F72F43736E84F41BD4B3E7ABAD1B9F8" ma:contentTypeVersion="0" ma:contentTypeDescription="Create a new document." ma:contentTypeScope="" ma:versionID="6d41e9362d2f52e62f002b8bc1f10a2a">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A7E1EAA-79A5-49B4-BC4B-56CB47CA31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ED2FA136-4B63-47FA-924A-5B99D6F7109B}">
  <ds:schemaRefs>
    <ds:schemaRef ds:uri="http://schemas.microsoft.com/sharepoint/v3/contenttype/forms"/>
  </ds:schemaRefs>
</ds:datastoreItem>
</file>

<file path=customXml/itemProps3.xml><?xml version="1.0" encoding="utf-8"?>
<ds:datastoreItem xmlns:ds="http://schemas.openxmlformats.org/officeDocument/2006/customXml" ds:itemID="{795A1E2A-3F71-47E6-AD3D-E3AC481CC4C4}">
  <ds:schemaRefs>
    <ds:schemaRef ds:uri="http://www.w3.org/XML/1998/namespace"/>
    <ds:schemaRef ds:uri="http://purl.org/dc/elements/1.1/"/>
    <ds:schemaRef ds:uri="http://purl.org/dc/dcmitype/"/>
    <ds:schemaRef ds:uri="http://purl.org/dc/terms/"/>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37</vt:i4>
      </vt:variant>
    </vt:vector>
  </HeadingPairs>
  <TitlesOfParts>
    <vt:vector size="44" baseType="lpstr">
      <vt:lpstr>Instructions</vt:lpstr>
      <vt:lpstr>Design Calculator</vt:lpstr>
      <vt:lpstr>Device Parmaters</vt:lpstr>
      <vt:lpstr>Equations</vt:lpstr>
      <vt:lpstr>Start_up</vt:lpstr>
      <vt:lpstr>FET Data</vt:lpstr>
      <vt:lpstr>SOA</vt:lpstr>
      <vt:lpstr>C_ISS</vt:lpstr>
      <vt:lpstr>CLMAX</vt:lpstr>
      <vt:lpstr>CLMAX_Threshold</vt:lpstr>
      <vt:lpstr>CLMIN</vt:lpstr>
      <vt:lpstr>CLMIN_Threshold</vt:lpstr>
      <vt:lpstr>CLNOM</vt:lpstr>
      <vt:lpstr>CLNOM_Threshold</vt:lpstr>
      <vt:lpstr>COUTMAX</vt:lpstr>
      <vt:lpstr>FBmax</vt:lpstr>
      <vt:lpstr>FETPDISS</vt:lpstr>
      <vt:lpstr>FoldBack_max</vt:lpstr>
      <vt:lpstr>ILIM_tgt</vt:lpstr>
      <vt:lpstr>IOUTMAX</vt:lpstr>
      <vt:lpstr>NUMFETS</vt:lpstr>
      <vt:lpstr>'Design Calculator'!Print_Area</vt:lpstr>
      <vt:lpstr>RDIV1</vt:lpstr>
      <vt:lpstr>RDSON</vt:lpstr>
      <vt:lpstr>RIMON</vt:lpstr>
      <vt:lpstr>Rimon_recom</vt:lpstr>
      <vt:lpstr>RPROG</vt:lpstr>
      <vt:lpstr>RPWR</vt:lpstr>
      <vt:lpstr>Rs</vt:lpstr>
      <vt:lpstr>RsEFF</vt:lpstr>
      <vt:lpstr>Rset_recom</vt:lpstr>
      <vt:lpstr>RsMAX</vt:lpstr>
      <vt:lpstr>ss_rate</vt:lpstr>
      <vt:lpstr>TAMB</vt:lpstr>
      <vt:lpstr>Tfault</vt:lpstr>
      <vt:lpstr>ThetaJA</vt:lpstr>
      <vt:lpstr>TINSERT</vt:lpstr>
      <vt:lpstr>TJ</vt:lpstr>
      <vt:lpstr>TJMAX</vt:lpstr>
      <vt:lpstr>VINMAX</vt:lpstr>
      <vt:lpstr>VINMIN</vt:lpstr>
      <vt:lpstr>VINNOM</vt:lpstr>
      <vt:lpstr>Vsns_min</vt:lpstr>
      <vt:lpstr>yesno</vt:lpstr>
    </vt:vector>
  </TitlesOfParts>
  <Company>NSC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TPS24720 Design Calculator</dc:title>
  <dc:creator>a-rogachev@ti.com</dc:creator>
  <cp:lastModifiedBy>Pal, Avishek</cp:lastModifiedBy>
  <cp:lastPrinted>2013-08-26T22:42:43Z</cp:lastPrinted>
  <dcterms:created xsi:type="dcterms:W3CDTF">2009-04-21T16:00:33Z</dcterms:created>
  <dcterms:modified xsi:type="dcterms:W3CDTF">2021-02-15T11:31:30Z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0x010100CF72F43736E84F41BD4B3E7ABAD1B9F8</vt:lpwstr>
  </property>
</Properties>
</file>